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S:\REAJUSTE\Permissionárias de Distribuição\2022\09- SETEMBRO\13  CERAÇA - Godoy\Estrutura\"/>
    </mc:Choice>
  </mc:AlternateContent>
  <xr:revisionPtr revIDLastSave="0" documentId="13_ncr:1_{1B5B4F0A-66D9-4445-A695-AF5642B96062}" xr6:coauthVersionLast="47" xr6:coauthVersionMax="47" xr10:uidLastSave="{00000000-0000-0000-0000-000000000000}"/>
  <bookViews>
    <workbookView xWindow="-120" yWindow="-120" windowWidth="29040" windowHeight="15840" tabRatio="759" firstSheet="1" activeTab="1" xr2:uid="{62DFD5D6-C50A-4B78-AD20-7620FFEE39D4}"/>
  </bookViews>
  <sheets>
    <sheet name="Mercado_Receita" sheetId="1" r:id="rId1"/>
    <sheet name="EVENTOS" sheetId="2" r:id="rId2"/>
    <sheet name="TAR FIN" sheetId="24" r:id="rId3"/>
    <sheet name="MERCADO TUSD" sheetId="3" r:id="rId4"/>
    <sheet name="MERCADO TE" sheetId="4" r:id="rId5"/>
    <sheet name="CUSTOS" sheetId="5" r:id="rId6"/>
    <sheet name="TRANSICAO" sheetId="23" r:id="rId7"/>
    <sheet name="TR TUSD" sheetId="15" r:id="rId8"/>
    <sheet name="TUSD BE" sheetId="16" r:id="rId9"/>
    <sheet name="TUSD BF" sheetId="17" r:id="rId10"/>
    <sheet name="TUSD CVA" sheetId="18" r:id="rId11"/>
    <sheet name="TR TE" sheetId="19" r:id="rId12"/>
    <sheet name="TE BE" sheetId="20" r:id="rId13"/>
    <sheet name="TE BF" sheetId="21" r:id="rId14"/>
    <sheet name="TE CVA" sheetId="22" r:id="rId15"/>
    <sheet name="EFEITO" sheetId="25" r:id="rId16"/>
    <sheet name="SUBSIDIO" sheetId="26" r:id="rId17"/>
    <sheet name="TabDinEfeito" sheetId="27" r:id="rId18"/>
    <sheet name="TabDinSubsidio" sheetId="28" r:id="rId19"/>
    <sheet name="TABELAS REH" sheetId="37" r:id="rId20"/>
    <sheet name="CONSISTENCIA" sheetId="30" r:id="rId21"/>
    <sheet name="TUSD" sheetId="32" r:id="rId22"/>
    <sheet name="TE" sheetId="33" r:id="rId23"/>
    <sheet name="RESUMO TUSD" sheetId="34" r:id="rId24"/>
    <sheet name="RESUMO TE" sheetId="35" r:id="rId25"/>
    <sheet name="Descontos" sheetId="29" r:id="rId26"/>
    <sheet name="ERD" sheetId="36" r:id="rId27"/>
  </sheets>
  <calcPr calcId="191029" iterate="1"/>
  <pivotCaches>
    <pivotCache cacheId="133" r:id="rId28"/>
    <pivotCache cacheId="134" r:id="rId2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3" i="37" l="1"/>
  <c r="V32" i="37"/>
  <c r="V31" i="37"/>
  <c r="V30" i="37"/>
  <c r="V29" i="37"/>
  <c r="V28" i="37"/>
  <c r="V27" i="37"/>
  <c r="V26" i="37"/>
  <c r="V21" i="37"/>
  <c r="V16" i="37"/>
  <c r="V25" i="37"/>
  <c r="V20" i="37"/>
  <c r="V15" i="37"/>
  <c r="V24" i="37"/>
  <c r="V23" i="37"/>
  <c r="V22" i="37"/>
  <c r="V19" i="37"/>
  <c r="V18" i="37"/>
  <c r="V17" i="37"/>
  <c r="V14" i="37"/>
  <c r="V13" i="37"/>
  <c r="V12" i="37"/>
  <c r="V11" i="37"/>
  <c r="V9" i="37"/>
  <c r="V10" i="37"/>
  <c r="V8" i="37"/>
  <c r="V7" i="37"/>
  <c r="V6" i="37"/>
  <c r="V5" i="37"/>
  <c r="J11" i="37"/>
  <c r="J10" i="37"/>
  <c r="J6" i="37"/>
  <c r="J5" i="37"/>
  <c r="I3" i="36"/>
  <c r="B2" i="36"/>
  <c r="C2" i="36"/>
  <c r="D2" i="36"/>
  <c r="E2" i="36"/>
  <c r="F2" i="36"/>
  <c r="G2" i="36"/>
  <c r="H2" i="36"/>
  <c r="I2" i="36"/>
  <c r="J2" i="36"/>
  <c r="K2" i="36"/>
  <c r="L2" i="36"/>
  <c r="B11" i="36"/>
  <c r="K26" i="30" l="1"/>
  <c r="L5" i="35" l="1"/>
  <c r="K5" i="35"/>
  <c r="J5" i="35"/>
  <c r="I5" i="35"/>
  <c r="H5" i="35"/>
  <c r="G5" i="35"/>
  <c r="F5" i="35"/>
  <c r="E5" i="35"/>
  <c r="D5" i="35"/>
  <c r="C5" i="35"/>
  <c r="B5" i="35"/>
  <c r="I2" i="35"/>
  <c r="W5" i="34"/>
  <c r="V5" i="34"/>
  <c r="U5" i="34"/>
  <c r="T5" i="34"/>
  <c r="S5" i="34"/>
  <c r="R5" i="34"/>
  <c r="Q5" i="34"/>
  <c r="P5" i="34"/>
  <c r="O5" i="34"/>
  <c r="N5" i="34"/>
  <c r="M5" i="34"/>
  <c r="L5" i="34"/>
  <c r="K5" i="34"/>
  <c r="J5" i="34"/>
  <c r="I5" i="34"/>
  <c r="H5" i="34"/>
  <c r="G5" i="34"/>
  <c r="F5" i="34"/>
  <c r="E5" i="34"/>
  <c r="D5" i="34"/>
  <c r="C5" i="34"/>
  <c r="B5" i="34"/>
  <c r="I2" i="34"/>
  <c r="AE13" i="30"/>
  <c r="AD13" i="30"/>
  <c r="AC13" i="30"/>
  <c r="AB13" i="30"/>
  <c r="AA13" i="30"/>
  <c r="W13" i="30"/>
  <c r="V13" i="30"/>
  <c r="U13" i="30"/>
  <c r="AI13" i="30" s="1"/>
  <c r="T13" i="30"/>
  <c r="Z13" i="30" s="1"/>
  <c r="S13" i="30"/>
  <c r="Y13" i="30" s="1"/>
  <c r="AG13" i="30" s="1"/>
  <c r="R13" i="30"/>
  <c r="X13" i="30" s="1"/>
  <c r="AF13" i="30" s="1"/>
  <c r="AE12" i="30"/>
  <c r="AD12" i="30"/>
  <c r="AE8" i="30"/>
  <c r="AD8" i="30"/>
  <c r="AC8" i="30"/>
  <c r="AB8" i="30"/>
  <c r="AA8" i="30"/>
  <c r="W8" i="30"/>
  <c r="V8" i="30"/>
  <c r="U8" i="30"/>
  <c r="AI8" i="30" s="1"/>
  <c r="T8" i="30"/>
  <c r="S8" i="30"/>
  <c r="R8" i="30"/>
  <c r="AE6" i="30"/>
  <c r="AD6" i="30"/>
  <c r="AC6" i="30"/>
  <c r="AB6" i="30"/>
  <c r="AA6" i="30"/>
  <c r="W6" i="30"/>
  <c r="V6" i="30"/>
  <c r="U6" i="30"/>
  <c r="AI6" i="30" s="1"/>
  <c r="T6" i="30"/>
  <c r="S6" i="30"/>
  <c r="Y6" i="30" s="1"/>
  <c r="R6" i="30"/>
  <c r="AE5" i="30"/>
  <c r="AD5" i="30"/>
  <c r="AC5" i="30"/>
  <c r="AB5" i="30"/>
  <c r="AA5" i="30"/>
  <c r="W5" i="30"/>
  <c r="V5" i="30"/>
  <c r="U5" i="30"/>
  <c r="T5" i="30"/>
  <c r="S5" i="30"/>
  <c r="R5" i="30"/>
  <c r="AE4" i="30"/>
  <c r="AD4" i="30"/>
  <c r="AC4" i="30"/>
  <c r="AB4" i="30"/>
  <c r="AA4" i="30"/>
  <c r="W4" i="30"/>
  <c r="V4" i="30"/>
  <c r="U4" i="30"/>
  <c r="T4" i="30"/>
  <c r="S4" i="30"/>
  <c r="R4" i="30"/>
  <c r="AE3" i="30"/>
  <c r="AD3" i="30"/>
  <c r="AC3" i="30"/>
  <c r="AB3" i="30"/>
  <c r="AA3" i="30"/>
  <c r="W3" i="30"/>
  <c r="V3" i="30"/>
  <c r="U3" i="30"/>
  <c r="T3" i="30"/>
  <c r="S3" i="30"/>
  <c r="R3" i="30"/>
  <c r="X3" i="30" s="1"/>
  <c r="AF3" i="30" s="1"/>
  <c r="J541" i="30"/>
  <c r="J540" i="30"/>
  <c r="M540" i="30" s="1"/>
  <c r="J539" i="30"/>
  <c r="M539" i="30" s="1"/>
  <c r="J538" i="30"/>
  <c r="M538" i="30" s="1"/>
  <c r="J537" i="30"/>
  <c r="J536" i="30"/>
  <c r="J535" i="30"/>
  <c r="M535" i="30" s="1"/>
  <c r="J534" i="30"/>
  <c r="M534" i="30" s="1"/>
  <c r="J533" i="30"/>
  <c r="J532" i="30"/>
  <c r="M532" i="30" s="1"/>
  <c r="J531" i="30"/>
  <c r="J530" i="30"/>
  <c r="J240" i="30"/>
  <c r="J239" i="30"/>
  <c r="J238" i="30"/>
  <c r="J237" i="30"/>
  <c r="J236" i="30"/>
  <c r="J235" i="30"/>
  <c r="J234" i="30"/>
  <c r="J233" i="30"/>
  <c r="M233" i="30" s="1"/>
  <c r="J232" i="30"/>
  <c r="J231" i="30"/>
  <c r="J230" i="30"/>
  <c r="L229" i="30"/>
  <c r="K229" i="30"/>
  <c r="L228" i="30"/>
  <c r="K228" i="30"/>
  <c r="L227" i="30"/>
  <c r="O227" i="30" s="1"/>
  <c r="K227" i="30"/>
  <c r="L226" i="30"/>
  <c r="K226" i="30"/>
  <c r="L225" i="30"/>
  <c r="K225" i="30"/>
  <c r="L224" i="30"/>
  <c r="K224" i="30"/>
  <c r="L223" i="30"/>
  <c r="O223" i="30" s="1"/>
  <c r="K223" i="30"/>
  <c r="L222" i="30"/>
  <c r="K222" i="30"/>
  <c r="L221" i="30"/>
  <c r="K221" i="30"/>
  <c r="L220" i="30"/>
  <c r="K220" i="30"/>
  <c r="L219" i="30"/>
  <c r="O219" i="30" s="1"/>
  <c r="K219" i="30"/>
  <c r="L218" i="30"/>
  <c r="K218" i="30"/>
  <c r="J217" i="30"/>
  <c r="J216" i="30"/>
  <c r="J215" i="30"/>
  <c r="J214" i="30"/>
  <c r="J213" i="30"/>
  <c r="M213" i="30" s="1"/>
  <c r="J212" i="30"/>
  <c r="J211" i="30"/>
  <c r="J210" i="30"/>
  <c r="J209" i="30"/>
  <c r="J208" i="30"/>
  <c r="J207" i="30"/>
  <c r="J206" i="30"/>
  <c r="J205" i="30"/>
  <c r="M205" i="30" s="1"/>
  <c r="J204" i="30"/>
  <c r="J203" i="30"/>
  <c r="J202" i="30"/>
  <c r="J201" i="30"/>
  <c r="J200" i="30"/>
  <c r="J199" i="30"/>
  <c r="J198" i="30"/>
  <c r="J197" i="30"/>
  <c r="M197" i="30" s="1"/>
  <c r="J196" i="30"/>
  <c r="J195" i="30"/>
  <c r="J194" i="30"/>
  <c r="J193" i="30"/>
  <c r="J192" i="30"/>
  <c r="J191" i="30"/>
  <c r="J190" i="30"/>
  <c r="J189" i="30"/>
  <c r="M189" i="30" s="1"/>
  <c r="J188" i="30"/>
  <c r="J187" i="30"/>
  <c r="J186" i="30"/>
  <c r="J185" i="30"/>
  <c r="L184" i="30"/>
  <c r="K184" i="30"/>
  <c r="L183" i="30"/>
  <c r="K183" i="30"/>
  <c r="N183" i="30" s="1"/>
  <c r="L182" i="30"/>
  <c r="K182" i="30"/>
  <c r="L181" i="30"/>
  <c r="K181" i="30"/>
  <c r="L180" i="30"/>
  <c r="K180" i="30"/>
  <c r="L179" i="30"/>
  <c r="K179" i="30"/>
  <c r="N179" i="30" s="1"/>
  <c r="L178" i="30"/>
  <c r="K178" i="30"/>
  <c r="L177" i="30"/>
  <c r="K177" i="30"/>
  <c r="L176" i="30"/>
  <c r="K176" i="30"/>
  <c r="L175" i="30"/>
  <c r="K175" i="30"/>
  <c r="N175" i="30" s="1"/>
  <c r="L174" i="30"/>
  <c r="K174" i="30"/>
  <c r="L173" i="30"/>
  <c r="K173" i="30"/>
  <c r="L172" i="30"/>
  <c r="K172" i="30"/>
  <c r="L171" i="30"/>
  <c r="K171" i="30"/>
  <c r="N171" i="30" s="1"/>
  <c r="L170" i="30"/>
  <c r="K170" i="30"/>
  <c r="L169" i="30"/>
  <c r="K169" i="30"/>
  <c r="L168" i="30"/>
  <c r="K168" i="30"/>
  <c r="L167" i="30"/>
  <c r="K167" i="30"/>
  <c r="N167" i="30" s="1"/>
  <c r="L166" i="30"/>
  <c r="K166" i="30"/>
  <c r="L165" i="30"/>
  <c r="K165" i="30"/>
  <c r="L164" i="30"/>
  <c r="K164" i="30"/>
  <c r="L163" i="30"/>
  <c r="K163" i="30"/>
  <c r="N163" i="30" s="1"/>
  <c r="L162" i="30"/>
  <c r="K162" i="30"/>
  <c r="L161" i="30"/>
  <c r="K161" i="30"/>
  <c r="J160" i="30"/>
  <c r="J159" i="30"/>
  <c r="J158" i="30"/>
  <c r="J157" i="30"/>
  <c r="M157" i="30" s="1"/>
  <c r="J156" i="30"/>
  <c r="J155" i="30"/>
  <c r="J154" i="30"/>
  <c r="J153" i="30"/>
  <c r="J152" i="30"/>
  <c r="J151" i="30"/>
  <c r="J150" i="30"/>
  <c r="J149" i="30"/>
  <c r="M149" i="30" s="1"/>
  <c r="J148" i="30"/>
  <c r="J147" i="30"/>
  <c r="J146" i="30"/>
  <c r="J145" i="30"/>
  <c r="J144" i="30"/>
  <c r="J143" i="30"/>
  <c r="J142" i="30"/>
  <c r="J141" i="30"/>
  <c r="M141" i="30" s="1"/>
  <c r="J140" i="30"/>
  <c r="J139" i="30"/>
  <c r="J138" i="30"/>
  <c r="M553" i="30"/>
  <c r="J553" i="30"/>
  <c r="J552" i="30"/>
  <c r="M552" i="30" s="1"/>
  <c r="M551" i="30"/>
  <c r="J551" i="30"/>
  <c r="M550" i="30"/>
  <c r="J550" i="30"/>
  <c r="M549" i="30"/>
  <c r="J549" i="30"/>
  <c r="J548" i="30"/>
  <c r="M548" i="30" s="1"/>
  <c r="M547" i="30"/>
  <c r="J547" i="30"/>
  <c r="M546" i="30"/>
  <c r="J546" i="30"/>
  <c r="M545" i="30"/>
  <c r="J545" i="30"/>
  <c r="J544" i="30"/>
  <c r="M544" i="30" s="1"/>
  <c r="M543" i="30"/>
  <c r="J543" i="30"/>
  <c r="M542" i="30"/>
  <c r="J542" i="30"/>
  <c r="R12" i="30" s="1"/>
  <c r="M541" i="30"/>
  <c r="M537" i="30"/>
  <c r="M536" i="30"/>
  <c r="M533" i="30"/>
  <c r="M531" i="30"/>
  <c r="M530" i="30"/>
  <c r="J529" i="30"/>
  <c r="M529" i="30" s="1"/>
  <c r="J528" i="30"/>
  <c r="M528" i="30" s="1"/>
  <c r="M527" i="30"/>
  <c r="J527" i="30"/>
  <c r="J526" i="30"/>
  <c r="M526" i="30" s="1"/>
  <c r="J525" i="30"/>
  <c r="M525" i="30" s="1"/>
  <c r="M524" i="30"/>
  <c r="J524" i="30"/>
  <c r="J523" i="30"/>
  <c r="M523" i="30" s="1"/>
  <c r="J522" i="30"/>
  <c r="M522" i="30" s="1"/>
  <c r="J521" i="30"/>
  <c r="M521" i="30" s="1"/>
  <c r="M520" i="30"/>
  <c r="J520" i="30"/>
  <c r="M519" i="30"/>
  <c r="J519" i="30"/>
  <c r="J518" i="30"/>
  <c r="M518" i="30" s="1"/>
  <c r="J517" i="30"/>
  <c r="M517" i="30" s="1"/>
  <c r="M516" i="30"/>
  <c r="J516" i="30"/>
  <c r="M515" i="30"/>
  <c r="J515" i="30"/>
  <c r="M514" i="30"/>
  <c r="J514" i="30"/>
  <c r="J513" i="30"/>
  <c r="M513" i="30" s="1"/>
  <c r="J512" i="30"/>
  <c r="M512" i="30" s="1"/>
  <c r="J511" i="30"/>
  <c r="M511" i="30" s="1"/>
  <c r="J510" i="30"/>
  <c r="M510" i="30" s="1"/>
  <c r="J509" i="30"/>
  <c r="M509" i="30" s="1"/>
  <c r="J508" i="30"/>
  <c r="M508" i="30" s="1"/>
  <c r="J507" i="30"/>
  <c r="M507" i="30" s="1"/>
  <c r="J506" i="30"/>
  <c r="M506" i="30" s="1"/>
  <c r="J505" i="30"/>
  <c r="M505" i="30" s="1"/>
  <c r="J504" i="30"/>
  <c r="M504" i="30" s="1"/>
  <c r="J503" i="30"/>
  <c r="M503" i="30" s="1"/>
  <c r="J502" i="30"/>
  <c r="M502" i="30" s="1"/>
  <c r="J501" i="30"/>
  <c r="M501" i="30" s="1"/>
  <c r="J500" i="30"/>
  <c r="M500" i="30" s="1"/>
  <c r="J499" i="30"/>
  <c r="M499" i="30" s="1"/>
  <c r="J498" i="30"/>
  <c r="M498" i="30" s="1"/>
  <c r="J497" i="30"/>
  <c r="M497" i="30" s="1"/>
  <c r="M496" i="30"/>
  <c r="J496" i="30"/>
  <c r="J495" i="30"/>
  <c r="M495" i="30" s="1"/>
  <c r="J494" i="30"/>
  <c r="M494" i="30" s="1"/>
  <c r="J493" i="30"/>
  <c r="M493" i="30" s="1"/>
  <c r="J492" i="30"/>
  <c r="M492" i="30" s="1"/>
  <c r="J491" i="30"/>
  <c r="M491" i="30" s="1"/>
  <c r="J490" i="30"/>
  <c r="M490" i="30" s="1"/>
  <c r="J489" i="30"/>
  <c r="M489" i="30" s="1"/>
  <c r="J488" i="30"/>
  <c r="M488" i="30" s="1"/>
  <c r="J487" i="30"/>
  <c r="M487" i="30" s="1"/>
  <c r="M486" i="30"/>
  <c r="J486" i="30"/>
  <c r="J485" i="30"/>
  <c r="M485" i="30" s="1"/>
  <c r="J484" i="30"/>
  <c r="M484" i="30" s="1"/>
  <c r="J483" i="30"/>
  <c r="M483" i="30" s="1"/>
  <c r="J482" i="30"/>
  <c r="M482" i="30" s="1"/>
  <c r="M481" i="30"/>
  <c r="J481" i="30"/>
  <c r="M480" i="30"/>
  <c r="J480" i="30"/>
  <c r="J479" i="30"/>
  <c r="M479" i="30" s="1"/>
  <c r="J478" i="30"/>
  <c r="M478" i="30" s="1"/>
  <c r="J477" i="30"/>
  <c r="M477" i="30" s="1"/>
  <c r="M476" i="30"/>
  <c r="J476" i="30"/>
  <c r="J475" i="30"/>
  <c r="M475" i="30" s="1"/>
  <c r="J474" i="30"/>
  <c r="M474" i="30" s="1"/>
  <c r="J473" i="30"/>
  <c r="M473" i="30" s="1"/>
  <c r="M472" i="30"/>
  <c r="J472" i="30"/>
  <c r="J471" i="30"/>
  <c r="M471" i="30" s="1"/>
  <c r="M470" i="30"/>
  <c r="J470" i="30"/>
  <c r="J469" i="30"/>
  <c r="M469" i="30" s="1"/>
  <c r="J468" i="30"/>
  <c r="M468" i="30" s="1"/>
  <c r="J467" i="30"/>
  <c r="M467" i="30" s="1"/>
  <c r="J466" i="30"/>
  <c r="M466" i="30" s="1"/>
  <c r="M465" i="30"/>
  <c r="J465" i="30"/>
  <c r="M464" i="30"/>
  <c r="J464" i="30"/>
  <c r="J463" i="30"/>
  <c r="M463" i="30" s="1"/>
  <c r="M462" i="30"/>
  <c r="J462" i="30"/>
  <c r="J461" i="30"/>
  <c r="M461" i="30" s="1"/>
  <c r="J460" i="30"/>
  <c r="M460" i="30" s="1"/>
  <c r="J459" i="30"/>
  <c r="M459" i="30" s="1"/>
  <c r="J458" i="30"/>
  <c r="M458" i="30" s="1"/>
  <c r="J457" i="30"/>
  <c r="M457" i="30" s="1"/>
  <c r="J456" i="30"/>
  <c r="M456" i="30" s="1"/>
  <c r="J455" i="30"/>
  <c r="M455" i="30" s="1"/>
  <c r="J454" i="30"/>
  <c r="M454" i="30" s="1"/>
  <c r="M453" i="30"/>
  <c r="J453" i="30"/>
  <c r="M452" i="30"/>
  <c r="J452" i="30"/>
  <c r="J451" i="30"/>
  <c r="M451" i="30" s="1"/>
  <c r="J450" i="30"/>
  <c r="M450" i="30" s="1"/>
  <c r="J449" i="30"/>
  <c r="M449" i="30" s="1"/>
  <c r="J448" i="30"/>
  <c r="M448" i="30" s="1"/>
  <c r="M447" i="30"/>
  <c r="J447" i="30"/>
  <c r="J446" i="30"/>
  <c r="M446" i="30" s="1"/>
  <c r="M445" i="30"/>
  <c r="J445" i="30"/>
  <c r="J444" i="30"/>
  <c r="M444" i="30" s="1"/>
  <c r="J443" i="30"/>
  <c r="M443" i="30" s="1"/>
  <c r="M442" i="30"/>
  <c r="J442" i="30"/>
  <c r="J441" i="30"/>
  <c r="M441" i="30" s="1"/>
  <c r="J440" i="30"/>
  <c r="M440" i="30" s="1"/>
  <c r="M439" i="30"/>
  <c r="J439" i="30"/>
  <c r="M438" i="30"/>
  <c r="J438" i="30"/>
  <c r="J437" i="30"/>
  <c r="M437" i="30" s="1"/>
  <c r="J436" i="30"/>
  <c r="M436" i="30" s="1"/>
  <c r="J435" i="30"/>
  <c r="M435" i="30" s="1"/>
  <c r="J434" i="30"/>
  <c r="M434" i="30" s="1"/>
  <c r="M433" i="30"/>
  <c r="J433" i="30"/>
  <c r="J432" i="30"/>
  <c r="M432" i="30" s="1"/>
  <c r="M431" i="30"/>
  <c r="J431" i="30"/>
  <c r="M430" i="30"/>
  <c r="J430" i="30"/>
  <c r="M429" i="30"/>
  <c r="J429" i="30"/>
  <c r="J428" i="30"/>
  <c r="M428" i="30" s="1"/>
  <c r="J427" i="30"/>
  <c r="M427" i="30" s="1"/>
  <c r="J426" i="30"/>
  <c r="M426" i="30" s="1"/>
  <c r="J425" i="30"/>
  <c r="M425" i="30" s="1"/>
  <c r="J424" i="30"/>
  <c r="M424" i="30" s="1"/>
  <c r="J423" i="30"/>
  <c r="M423" i="30" s="1"/>
  <c r="M422" i="30"/>
  <c r="J422" i="30"/>
  <c r="M421" i="30"/>
  <c r="J421" i="30"/>
  <c r="J420" i="30"/>
  <c r="M420" i="30" s="1"/>
  <c r="M419" i="30"/>
  <c r="J419" i="30"/>
  <c r="J418" i="30"/>
  <c r="M418" i="30" s="1"/>
  <c r="J417" i="30"/>
  <c r="M417" i="30" s="1"/>
  <c r="J416" i="30"/>
  <c r="M416" i="30" s="1"/>
  <c r="M415" i="30"/>
  <c r="J415" i="30"/>
  <c r="J414" i="30"/>
  <c r="M414" i="30" s="1"/>
  <c r="M413" i="30"/>
  <c r="J413" i="30"/>
  <c r="J412" i="30"/>
  <c r="M412" i="30" s="1"/>
  <c r="J411" i="30"/>
  <c r="M411" i="30" s="1"/>
  <c r="M410" i="30"/>
  <c r="J410" i="30"/>
  <c r="J409" i="30"/>
  <c r="M409" i="30" s="1"/>
  <c r="J408" i="30"/>
  <c r="M408" i="30" s="1"/>
  <c r="M407" i="30"/>
  <c r="J407" i="30"/>
  <c r="M406" i="30"/>
  <c r="J406" i="30"/>
  <c r="J405" i="30"/>
  <c r="M405" i="30" s="1"/>
  <c r="J404" i="30"/>
  <c r="M404" i="30" s="1"/>
  <c r="J403" i="30"/>
  <c r="M403" i="30" s="1"/>
  <c r="J402" i="30"/>
  <c r="M402" i="30" s="1"/>
  <c r="M401" i="30"/>
  <c r="J401" i="30"/>
  <c r="J400" i="30"/>
  <c r="M400" i="30" s="1"/>
  <c r="M399" i="30"/>
  <c r="J399" i="30"/>
  <c r="M398" i="30"/>
  <c r="J398" i="30"/>
  <c r="M397" i="30"/>
  <c r="J397" i="30"/>
  <c r="J396" i="30"/>
  <c r="M396" i="30" s="1"/>
  <c r="J395" i="30"/>
  <c r="M395" i="30" s="1"/>
  <c r="J394" i="30"/>
  <c r="M394" i="30" s="1"/>
  <c r="J393" i="30"/>
  <c r="M393" i="30" s="1"/>
  <c r="J392" i="30"/>
  <c r="M392" i="30" s="1"/>
  <c r="M391" i="30"/>
  <c r="J391" i="30"/>
  <c r="J390" i="30"/>
  <c r="M390" i="30" s="1"/>
  <c r="J389" i="30"/>
  <c r="M389" i="30" s="1"/>
  <c r="M388" i="30"/>
  <c r="J388" i="30"/>
  <c r="M387" i="30"/>
  <c r="J387" i="30"/>
  <c r="J386" i="30"/>
  <c r="M386" i="30" s="1"/>
  <c r="J385" i="30"/>
  <c r="M385" i="30" s="1"/>
  <c r="M384" i="30"/>
  <c r="J384" i="30"/>
  <c r="M383" i="30"/>
  <c r="J383" i="30"/>
  <c r="J382" i="30"/>
  <c r="M382" i="30" s="1"/>
  <c r="J381" i="30"/>
  <c r="M381" i="30" s="1"/>
  <c r="J380" i="30"/>
  <c r="M380" i="30" s="1"/>
  <c r="M379" i="30"/>
  <c r="J379" i="30"/>
  <c r="J378" i="30"/>
  <c r="M378" i="30" s="1"/>
  <c r="J377" i="30"/>
  <c r="M377" i="30" s="1"/>
  <c r="M376" i="30"/>
  <c r="J376" i="30"/>
  <c r="J375" i="30"/>
  <c r="M375" i="30" s="1"/>
  <c r="J374" i="30"/>
  <c r="M374" i="30" s="1"/>
  <c r="J373" i="30"/>
  <c r="M373" i="30" s="1"/>
  <c r="M372" i="30"/>
  <c r="J372" i="30"/>
  <c r="M371" i="30"/>
  <c r="J371" i="30"/>
  <c r="J370" i="30"/>
  <c r="M370" i="30" s="1"/>
  <c r="J369" i="30"/>
  <c r="M369" i="30" s="1"/>
  <c r="M368" i="30"/>
  <c r="J368" i="30"/>
  <c r="M367" i="30"/>
  <c r="J367" i="30"/>
  <c r="J366" i="30"/>
  <c r="M366" i="30" s="1"/>
  <c r="J365" i="30"/>
  <c r="M365" i="30" s="1"/>
  <c r="J364" i="30"/>
  <c r="M364" i="30" s="1"/>
  <c r="M363" i="30"/>
  <c r="J363" i="30"/>
  <c r="J362" i="30"/>
  <c r="M362" i="30" s="1"/>
  <c r="J361" i="30"/>
  <c r="M361" i="30" s="1"/>
  <c r="M360" i="30"/>
  <c r="J360" i="30"/>
  <c r="J359" i="30"/>
  <c r="M359" i="30" s="1"/>
  <c r="J358" i="30"/>
  <c r="M358" i="30" s="1"/>
  <c r="J357" i="30"/>
  <c r="M357" i="30" s="1"/>
  <c r="M356" i="30"/>
  <c r="J356" i="30"/>
  <c r="M355" i="30"/>
  <c r="J355" i="30"/>
  <c r="J354" i="30"/>
  <c r="M354" i="30" s="1"/>
  <c r="J353" i="30"/>
  <c r="M353" i="30" s="1"/>
  <c r="M352" i="30"/>
  <c r="J352" i="30"/>
  <c r="M351" i="30"/>
  <c r="J351" i="30"/>
  <c r="J350" i="30"/>
  <c r="M350" i="30" s="1"/>
  <c r="J349" i="30"/>
  <c r="M349" i="30" s="1"/>
  <c r="J348" i="30"/>
  <c r="M348" i="30" s="1"/>
  <c r="M347" i="30"/>
  <c r="J347" i="30"/>
  <c r="J346" i="30"/>
  <c r="M346" i="30" s="1"/>
  <c r="J345" i="30"/>
  <c r="M345" i="30" s="1"/>
  <c r="M344" i="30"/>
  <c r="J344" i="30"/>
  <c r="J343" i="30"/>
  <c r="M343" i="30" s="1"/>
  <c r="J342" i="30"/>
  <c r="M342" i="30" s="1"/>
  <c r="J341" i="30"/>
  <c r="M341" i="30" s="1"/>
  <c r="M340" i="30"/>
  <c r="J340" i="30"/>
  <c r="M339" i="30"/>
  <c r="J339" i="30"/>
  <c r="J338" i="30"/>
  <c r="M338" i="30" s="1"/>
  <c r="J337" i="30"/>
  <c r="M337" i="30" s="1"/>
  <c r="M336" i="30"/>
  <c r="J336" i="30"/>
  <c r="M335" i="30"/>
  <c r="J335" i="30"/>
  <c r="J334" i="30"/>
  <c r="M334" i="30" s="1"/>
  <c r="J333" i="30"/>
  <c r="J332" i="30"/>
  <c r="M332" i="30" s="1"/>
  <c r="J331" i="30"/>
  <c r="M331" i="30" s="1"/>
  <c r="J330" i="30"/>
  <c r="M330" i="30" s="1"/>
  <c r="J329" i="30"/>
  <c r="M329" i="30" s="1"/>
  <c r="M328" i="30"/>
  <c r="J328" i="30"/>
  <c r="J327" i="30"/>
  <c r="M327" i="30" s="1"/>
  <c r="J326" i="30"/>
  <c r="M326" i="30" s="1"/>
  <c r="J325" i="30"/>
  <c r="M325" i="30" s="1"/>
  <c r="M324" i="30"/>
  <c r="J324" i="30"/>
  <c r="J323" i="30"/>
  <c r="M323" i="30" s="1"/>
  <c r="M322" i="30"/>
  <c r="J322" i="30"/>
  <c r="J321" i="30"/>
  <c r="M321" i="30" s="1"/>
  <c r="M320" i="30"/>
  <c r="J320" i="30"/>
  <c r="J319" i="30"/>
  <c r="M319" i="30" s="1"/>
  <c r="J318" i="30"/>
  <c r="M318" i="30" s="1"/>
  <c r="J317" i="30"/>
  <c r="M317" i="30" s="1"/>
  <c r="J316" i="30"/>
  <c r="M316" i="30" s="1"/>
  <c r="J315" i="30"/>
  <c r="M315" i="30" s="1"/>
  <c r="J314" i="30"/>
  <c r="M314" i="30" s="1"/>
  <c r="J313" i="30"/>
  <c r="M313" i="30" s="1"/>
  <c r="M312" i="30"/>
  <c r="J312" i="30"/>
  <c r="J311" i="30"/>
  <c r="M311" i="30" s="1"/>
  <c r="J310" i="30"/>
  <c r="M310" i="30" s="1"/>
  <c r="J309" i="30"/>
  <c r="M309" i="30" s="1"/>
  <c r="M308" i="30"/>
  <c r="J308" i="30"/>
  <c r="J307" i="30"/>
  <c r="M307" i="30" s="1"/>
  <c r="M306" i="30"/>
  <c r="J306" i="30"/>
  <c r="J305" i="30"/>
  <c r="M305" i="30" s="1"/>
  <c r="M304" i="30"/>
  <c r="J304" i="30"/>
  <c r="J303" i="30"/>
  <c r="M303" i="30" s="1"/>
  <c r="J302" i="30"/>
  <c r="M302" i="30" s="1"/>
  <c r="J301" i="30"/>
  <c r="M301" i="30" s="1"/>
  <c r="J300" i="30"/>
  <c r="M300" i="30" s="1"/>
  <c r="J299" i="30"/>
  <c r="M299" i="30" s="1"/>
  <c r="J298" i="30"/>
  <c r="M298" i="30" s="1"/>
  <c r="J297" i="30"/>
  <c r="M297" i="30" s="1"/>
  <c r="M296" i="30"/>
  <c r="J296" i="30"/>
  <c r="J295" i="30"/>
  <c r="M295" i="30" s="1"/>
  <c r="J294" i="30"/>
  <c r="M294" i="30" s="1"/>
  <c r="J293" i="30"/>
  <c r="M293" i="30" s="1"/>
  <c r="M292" i="30"/>
  <c r="J292" i="30"/>
  <c r="J291" i="30"/>
  <c r="M291" i="30" s="1"/>
  <c r="M290" i="30"/>
  <c r="J290" i="30"/>
  <c r="J289" i="30"/>
  <c r="M289" i="30" s="1"/>
  <c r="M288" i="30"/>
  <c r="J288" i="30"/>
  <c r="J287" i="30"/>
  <c r="M287" i="30" s="1"/>
  <c r="J286" i="30"/>
  <c r="M286" i="30" s="1"/>
  <c r="J285" i="30"/>
  <c r="M285" i="30" s="1"/>
  <c r="J284" i="30"/>
  <c r="M284" i="30" s="1"/>
  <c r="J283" i="30"/>
  <c r="M283" i="30" s="1"/>
  <c r="J282" i="30"/>
  <c r="M282" i="30" s="1"/>
  <c r="J281" i="30"/>
  <c r="M281" i="30" s="1"/>
  <c r="M280" i="30"/>
  <c r="J280" i="30"/>
  <c r="J279" i="30"/>
  <c r="M279" i="30" s="1"/>
  <c r="J278" i="30"/>
  <c r="M278" i="30" s="1"/>
  <c r="M277" i="30"/>
  <c r="J277" i="30"/>
  <c r="M276" i="30"/>
  <c r="J276" i="30"/>
  <c r="J275" i="30"/>
  <c r="M275" i="30" s="1"/>
  <c r="J274" i="30"/>
  <c r="M274" i="30" s="1"/>
  <c r="J273" i="30"/>
  <c r="M273" i="30" s="1"/>
  <c r="M272" i="30"/>
  <c r="J272" i="30"/>
  <c r="J271" i="30"/>
  <c r="M271" i="30" s="1"/>
  <c r="J270" i="30"/>
  <c r="M270" i="30" s="1"/>
  <c r="J269" i="30"/>
  <c r="M269" i="30" s="1"/>
  <c r="J268" i="30"/>
  <c r="M268" i="30" s="1"/>
  <c r="M267" i="30"/>
  <c r="J267" i="30"/>
  <c r="M266" i="30"/>
  <c r="J266" i="30"/>
  <c r="J265" i="30"/>
  <c r="M265" i="30" s="1"/>
  <c r="M264" i="30"/>
  <c r="J264" i="30"/>
  <c r="J263" i="30"/>
  <c r="M263" i="30" s="1"/>
  <c r="J262" i="30"/>
  <c r="M262" i="30" s="1"/>
  <c r="J261" i="30"/>
  <c r="M261" i="30" s="1"/>
  <c r="M260" i="30"/>
  <c r="J260" i="30"/>
  <c r="J259" i="30"/>
  <c r="M259" i="30" s="1"/>
  <c r="M258" i="30"/>
  <c r="J258" i="30"/>
  <c r="J257" i="30"/>
  <c r="M257" i="30" s="1"/>
  <c r="J256" i="30"/>
  <c r="M256" i="30" s="1"/>
  <c r="M255" i="30"/>
  <c r="J255" i="30"/>
  <c r="J254" i="30"/>
  <c r="M254" i="30" s="1"/>
  <c r="J253" i="30"/>
  <c r="M253" i="30" s="1"/>
  <c r="M252" i="30"/>
  <c r="J252" i="30"/>
  <c r="M251" i="30"/>
  <c r="J251" i="30"/>
  <c r="J250" i="30"/>
  <c r="M250" i="30" s="1"/>
  <c r="J249" i="30"/>
  <c r="M249" i="30" s="1"/>
  <c r="J248" i="30"/>
  <c r="M248" i="30" s="1"/>
  <c r="J247" i="30"/>
  <c r="M247" i="30" s="1"/>
  <c r="M246" i="30"/>
  <c r="J246" i="30"/>
  <c r="J245" i="30"/>
  <c r="M245" i="30" s="1"/>
  <c r="M244" i="30"/>
  <c r="J244" i="30"/>
  <c r="M243" i="30"/>
  <c r="J243" i="30"/>
  <c r="M242" i="30"/>
  <c r="J242" i="30"/>
  <c r="J241" i="30"/>
  <c r="M240" i="30"/>
  <c r="M239" i="30"/>
  <c r="M238" i="30"/>
  <c r="M237" i="30"/>
  <c r="M236" i="30"/>
  <c r="M235" i="30"/>
  <c r="M234" i="30"/>
  <c r="M232" i="30"/>
  <c r="M231" i="30"/>
  <c r="M230" i="30"/>
  <c r="O229" i="30"/>
  <c r="N229" i="30"/>
  <c r="O228" i="30"/>
  <c r="N228" i="30"/>
  <c r="N227" i="30"/>
  <c r="O226" i="30"/>
  <c r="N226" i="30"/>
  <c r="O225" i="30"/>
  <c r="N225" i="30"/>
  <c r="O224" i="30"/>
  <c r="N224" i="30"/>
  <c r="N223" i="30"/>
  <c r="O222" i="30"/>
  <c r="N222" i="30"/>
  <c r="O221" i="30"/>
  <c r="N221" i="30"/>
  <c r="O220" i="30"/>
  <c r="N220" i="30"/>
  <c r="N219" i="30"/>
  <c r="O218" i="30"/>
  <c r="N218" i="30"/>
  <c r="M217" i="30"/>
  <c r="M216" i="30"/>
  <c r="M215" i="30"/>
  <c r="M214" i="30"/>
  <c r="M212" i="30"/>
  <c r="M211" i="30"/>
  <c r="M210" i="30"/>
  <c r="M209" i="30"/>
  <c r="M208" i="30"/>
  <c r="M207" i="30"/>
  <c r="M206" i="30"/>
  <c r="M204" i="30"/>
  <c r="M203" i="30"/>
  <c r="M202" i="30"/>
  <c r="M201" i="30"/>
  <c r="M200" i="30"/>
  <c r="M199" i="30"/>
  <c r="M198" i="30"/>
  <c r="M196" i="30"/>
  <c r="M195" i="30"/>
  <c r="M194" i="30"/>
  <c r="M193" i="30"/>
  <c r="M192" i="30"/>
  <c r="M191" i="30"/>
  <c r="M190" i="30"/>
  <c r="M188" i="30"/>
  <c r="M187" i="30"/>
  <c r="M186" i="30"/>
  <c r="M185" i="30"/>
  <c r="O184" i="30"/>
  <c r="N184" i="30"/>
  <c r="O183" i="30"/>
  <c r="O182" i="30"/>
  <c r="N182" i="30"/>
  <c r="O181" i="30"/>
  <c r="N181" i="30"/>
  <c r="O180" i="30"/>
  <c r="N180" i="30"/>
  <c r="O179" i="30"/>
  <c r="O178" i="30"/>
  <c r="N178" i="30"/>
  <c r="O177" i="30"/>
  <c r="N177" i="30"/>
  <c r="O176" i="30"/>
  <c r="N176" i="30"/>
  <c r="O175" i="30"/>
  <c r="O174" i="30"/>
  <c r="N174" i="30"/>
  <c r="O173" i="30"/>
  <c r="N173" i="30"/>
  <c r="O172" i="30"/>
  <c r="N172" i="30"/>
  <c r="O171" i="30"/>
  <c r="O170" i="30"/>
  <c r="N170" i="30"/>
  <c r="O169" i="30"/>
  <c r="N169" i="30"/>
  <c r="O168" i="30"/>
  <c r="N168" i="30"/>
  <c r="O167" i="30"/>
  <c r="O166" i="30"/>
  <c r="N166" i="30"/>
  <c r="O165" i="30"/>
  <c r="N165" i="30"/>
  <c r="O164" i="30"/>
  <c r="N164" i="30"/>
  <c r="O163" i="30"/>
  <c r="O162" i="30"/>
  <c r="N162" i="30"/>
  <c r="O161" i="30"/>
  <c r="N161" i="30"/>
  <c r="M160" i="30"/>
  <c r="M159" i="30"/>
  <c r="M158" i="30"/>
  <c r="M156" i="30"/>
  <c r="M155" i="30"/>
  <c r="M154" i="30"/>
  <c r="M153" i="30"/>
  <c r="M152" i="30"/>
  <c r="M151" i="30"/>
  <c r="M150" i="30"/>
  <c r="M148" i="30"/>
  <c r="M147" i="30"/>
  <c r="M146" i="30"/>
  <c r="M145" i="30"/>
  <c r="M144" i="30"/>
  <c r="M143" i="30"/>
  <c r="M142" i="30"/>
  <c r="M140" i="30"/>
  <c r="M139" i="30"/>
  <c r="M138" i="30"/>
  <c r="M137" i="30"/>
  <c r="J137" i="30"/>
  <c r="M136" i="30"/>
  <c r="J136" i="30"/>
  <c r="J135" i="30"/>
  <c r="M135" i="30" s="1"/>
  <c r="J134" i="30"/>
  <c r="M134" i="30" s="1"/>
  <c r="M133" i="30"/>
  <c r="J133" i="30"/>
  <c r="M132" i="30"/>
  <c r="J132" i="30"/>
  <c r="J131" i="30"/>
  <c r="M131" i="30" s="1"/>
  <c r="J130" i="30"/>
  <c r="M130" i="30" s="1"/>
  <c r="J129" i="30"/>
  <c r="M129" i="30" s="1"/>
  <c r="M128" i="30"/>
  <c r="J128" i="30"/>
  <c r="J127" i="30"/>
  <c r="M127" i="30" s="1"/>
  <c r="J126" i="30"/>
  <c r="M126" i="30" s="1"/>
  <c r="M125" i="30"/>
  <c r="J125" i="30"/>
  <c r="J124" i="30"/>
  <c r="M124" i="30" s="1"/>
  <c r="J123" i="30"/>
  <c r="M123" i="30" s="1"/>
  <c r="J122" i="30"/>
  <c r="M122" i="30" s="1"/>
  <c r="M121" i="30"/>
  <c r="J121" i="30"/>
  <c r="M120" i="30"/>
  <c r="J120" i="30"/>
  <c r="J119" i="30"/>
  <c r="M119" i="30" s="1"/>
  <c r="J118" i="30"/>
  <c r="M118" i="30" s="1"/>
  <c r="O117" i="30"/>
  <c r="L117" i="30"/>
  <c r="K117" i="30"/>
  <c r="N117" i="30" s="1"/>
  <c r="L116" i="30"/>
  <c r="O116" i="30" s="1"/>
  <c r="K116" i="30"/>
  <c r="N116" i="30" s="1"/>
  <c r="L115" i="30"/>
  <c r="O115" i="30" s="1"/>
  <c r="K115" i="30"/>
  <c r="N115" i="30" s="1"/>
  <c r="O114" i="30"/>
  <c r="N114" i="30"/>
  <c r="L114" i="30"/>
  <c r="K114" i="30"/>
  <c r="L113" i="30"/>
  <c r="O113" i="30" s="1"/>
  <c r="K113" i="30"/>
  <c r="N113" i="30" s="1"/>
  <c r="L112" i="30"/>
  <c r="O112" i="30" s="1"/>
  <c r="K112" i="30"/>
  <c r="N112" i="30" s="1"/>
  <c r="L111" i="30"/>
  <c r="O111" i="30" s="1"/>
  <c r="K111" i="30"/>
  <c r="N111" i="30" s="1"/>
  <c r="O110" i="30"/>
  <c r="L110" i="30"/>
  <c r="K110" i="30"/>
  <c r="N110" i="30" s="1"/>
  <c r="O109" i="30"/>
  <c r="L109" i="30"/>
  <c r="K109" i="30"/>
  <c r="N109" i="30" s="1"/>
  <c r="L108" i="30"/>
  <c r="O108" i="30" s="1"/>
  <c r="K108" i="30"/>
  <c r="N108" i="30" s="1"/>
  <c r="L107" i="30"/>
  <c r="O107" i="30" s="1"/>
  <c r="K107" i="30"/>
  <c r="N107" i="30" s="1"/>
  <c r="O106" i="30"/>
  <c r="L106" i="30"/>
  <c r="K106" i="30"/>
  <c r="N106" i="30" s="1"/>
  <c r="O105" i="30"/>
  <c r="N105" i="30"/>
  <c r="L105" i="30"/>
  <c r="K105" i="30"/>
  <c r="L104" i="30"/>
  <c r="O104" i="30" s="1"/>
  <c r="K104" i="30"/>
  <c r="N104" i="30" s="1"/>
  <c r="L103" i="30"/>
  <c r="O103" i="30" s="1"/>
  <c r="K103" i="30"/>
  <c r="N103" i="30" s="1"/>
  <c r="L102" i="30"/>
  <c r="O102" i="30" s="1"/>
  <c r="K102" i="30"/>
  <c r="N102" i="30" s="1"/>
  <c r="O101" i="30"/>
  <c r="L101" i="30"/>
  <c r="K101" i="30"/>
  <c r="N101" i="30" s="1"/>
  <c r="L100" i="30"/>
  <c r="O100" i="30" s="1"/>
  <c r="K100" i="30"/>
  <c r="N100" i="30" s="1"/>
  <c r="L99" i="30"/>
  <c r="O99" i="30" s="1"/>
  <c r="K99" i="30"/>
  <c r="N99" i="30" s="1"/>
  <c r="L98" i="30"/>
  <c r="O98" i="30" s="1"/>
  <c r="K98" i="30"/>
  <c r="N98" i="30" s="1"/>
  <c r="O97" i="30"/>
  <c r="L97" i="30"/>
  <c r="K97" i="30"/>
  <c r="N97" i="30" s="1"/>
  <c r="L96" i="30"/>
  <c r="O96" i="30" s="1"/>
  <c r="K96" i="30"/>
  <c r="N96" i="30" s="1"/>
  <c r="L95" i="30"/>
  <c r="O95" i="30" s="1"/>
  <c r="K95" i="30"/>
  <c r="N95" i="30" s="1"/>
  <c r="O94" i="30"/>
  <c r="L94" i="30"/>
  <c r="K94" i="30"/>
  <c r="N94" i="30" s="1"/>
  <c r="M93" i="30"/>
  <c r="J93" i="30"/>
  <c r="M92" i="30"/>
  <c r="J92" i="30"/>
  <c r="J91" i="30"/>
  <c r="M91" i="30" s="1"/>
  <c r="J90" i="30"/>
  <c r="M90" i="30" s="1"/>
  <c r="J89" i="30"/>
  <c r="M89" i="30" s="1"/>
  <c r="M88" i="30"/>
  <c r="J88" i="30"/>
  <c r="J87" i="30"/>
  <c r="M87" i="30" s="1"/>
  <c r="J86" i="30"/>
  <c r="M86" i="30" s="1"/>
  <c r="M85" i="30"/>
  <c r="J85" i="30"/>
  <c r="J84" i="30"/>
  <c r="M84" i="30" s="1"/>
  <c r="J83" i="30"/>
  <c r="M83" i="30" s="1"/>
  <c r="J82" i="30"/>
  <c r="M82" i="30" s="1"/>
  <c r="M81" i="30"/>
  <c r="J81" i="30"/>
  <c r="M80" i="30"/>
  <c r="J80" i="30"/>
  <c r="J79" i="30"/>
  <c r="M79" i="30" s="1"/>
  <c r="J78" i="30"/>
  <c r="M78" i="30" s="1"/>
  <c r="M77" i="30"/>
  <c r="J77" i="30"/>
  <c r="M76" i="30"/>
  <c r="J76" i="30"/>
  <c r="J75" i="30"/>
  <c r="M75" i="30" s="1"/>
  <c r="J74" i="30"/>
  <c r="M74" i="30" s="1"/>
  <c r="J73" i="30"/>
  <c r="M73" i="30" s="1"/>
  <c r="M72" i="30"/>
  <c r="J72" i="30"/>
  <c r="J71" i="30"/>
  <c r="M71" i="30" s="1"/>
  <c r="J70" i="30"/>
  <c r="M70" i="30" s="1"/>
  <c r="M69" i="30"/>
  <c r="J69" i="30"/>
  <c r="J68" i="30"/>
  <c r="M68" i="30" s="1"/>
  <c r="J67" i="30"/>
  <c r="M67" i="30" s="1"/>
  <c r="J66" i="30"/>
  <c r="M66" i="30" s="1"/>
  <c r="M65" i="30"/>
  <c r="J65" i="30"/>
  <c r="M64" i="30"/>
  <c r="J64" i="30"/>
  <c r="J63" i="30"/>
  <c r="M63" i="30" s="1"/>
  <c r="J62" i="30"/>
  <c r="M62" i="30" s="1"/>
  <c r="L61" i="30"/>
  <c r="O61" i="30" s="1"/>
  <c r="K61" i="30"/>
  <c r="N61" i="30" s="1"/>
  <c r="L60" i="30"/>
  <c r="O60" i="30" s="1"/>
  <c r="K60" i="30"/>
  <c r="N60" i="30" s="1"/>
  <c r="L59" i="30"/>
  <c r="O59" i="30" s="1"/>
  <c r="K59" i="30"/>
  <c r="N59" i="30" s="1"/>
  <c r="L58" i="30"/>
  <c r="O58" i="30" s="1"/>
  <c r="K58" i="30"/>
  <c r="N58" i="30" s="1"/>
  <c r="O57" i="30"/>
  <c r="L57" i="30"/>
  <c r="K57" i="30"/>
  <c r="N57" i="30" s="1"/>
  <c r="L56" i="30"/>
  <c r="O56" i="30" s="1"/>
  <c r="K56" i="30"/>
  <c r="N56" i="30" s="1"/>
  <c r="L55" i="30"/>
  <c r="O55" i="30" s="1"/>
  <c r="K55" i="30"/>
  <c r="N55" i="30" s="1"/>
  <c r="O54" i="30"/>
  <c r="L54" i="30"/>
  <c r="K54" i="30"/>
  <c r="N54" i="30" s="1"/>
  <c r="L53" i="30"/>
  <c r="O53" i="30" s="1"/>
  <c r="K53" i="30"/>
  <c r="N53" i="30" s="1"/>
  <c r="L52" i="30"/>
  <c r="O52" i="30" s="1"/>
  <c r="K52" i="30"/>
  <c r="N52" i="30" s="1"/>
  <c r="O51" i="30"/>
  <c r="L51" i="30"/>
  <c r="K51" i="30"/>
  <c r="N51" i="30" s="1"/>
  <c r="L50" i="30"/>
  <c r="O50" i="30" s="1"/>
  <c r="K50" i="30"/>
  <c r="N50" i="30" s="1"/>
  <c r="M49" i="30"/>
  <c r="J49" i="30"/>
  <c r="M48" i="30"/>
  <c r="J48" i="30"/>
  <c r="J47" i="30"/>
  <c r="M47" i="30" s="1"/>
  <c r="J46" i="30"/>
  <c r="M46" i="30" s="1"/>
  <c r="J45" i="30"/>
  <c r="M45" i="30" s="1"/>
  <c r="J44" i="30"/>
  <c r="M44" i="30" s="1"/>
  <c r="J43" i="30"/>
  <c r="M43" i="30" s="1"/>
  <c r="J42" i="30"/>
  <c r="M42" i="30" s="1"/>
  <c r="M41" i="30"/>
  <c r="J41" i="30"/>
  <c r="M40" i="30"/>
  <c r="J40" i="30"/>
  <c r="J39" i="30"/>
  <c r="M39" i="30" s="1"/>
  <c r="M38" i="30"/>
  <c r="J38" i="30"/>
  <c r="L37" i="30"/>
  <c r="O37" i="30" s="1"/>
  <c r="K37" i="30"/>
  <c r="N37" i="30" s="1"/>
  <c r="L36" i="30"/>
  <c r="O36" i="30" s="1"/>
  <c r="K36" i="30"/>
  <c r="N36" i="30" s="1"/>
  <c r="O35" i="30"/>
  <c r="L35" i="30"/>
  <c r="K35" i="30"/>
  <c r="N35" i="30" s="1"/>
  <c r="L34" i="30"/>
  <c r="O34" i="30" s="1"/>
  <c r="K34" i="30"/>
  <c r="N34" i="30" s="1"/>
  <c r="O33" i="30"/>
  <c r="L33" i="30"/>
  <c r="K33" i="30"/>
  <c r="N33" i="30" s="1"/>
  <c r="L32" i="30"/>
  <c r="O32" i="30" s="1"/>
  <c r="K32" i="30"/>
  <c r="N32" i="30" s="1"/>
  <c r="L31" i="30"/>
  <c r="O31" i="30" s="1"/>
  <c r="K31" i="30"/>
  <c r="N31" i="30" s="1"/>
  <c r="O30" i="30"/>
  <c r="L30" i="30"/>
  <c r="K30" i="30"/>
  <c r="N30" i="30" s="1"/>
  <c r="L29" i="30"/>
  <c r="O29" i="30" s="1"/>
  <c r="K29" i="30"/>
  <c r="N29" i="30" s="1"/>
  <c r="L28" i="30"/>
  <c r="O28" i="30" s="1"/>
  <c r="K28" i="30"/>
  <c r="N28" i="30" s="1"/>
  <c r="O27" i="30"/>
  <c r="L27" i="30"/>
  <c r="K27" i="30"/>
  <c r="N27" i="30" s="1"/>
  <c r="L26" i="30"/>
  <c r="O26" i="30" s="1"/>
  <c r="X541" i="25"/>
  <c r="W541" i="25"/>
  <c r="X540" i="25"/>
  <c r="W540" i="25"/>
  <c r="X539" i="25"/>
  <c r="W539" i="25"/>
  <c r="X538" i="25"/>
  <c r="W538" i="25"/>
  <c r="X537" i="25"/>
  <c r="W537" i="25"/>
  <c r="X536" i="25"/>
  <c r="W536" i="25"/>
  <c r="X535" i="25"/>
  <c r="W535" i="25"/>
  <c r="X534" i="25"/>
  <c r="W534" i="25"/>
  <c r="X533" i="25"/>
  <c r="W533" i="25"/>
  <c r="X532" i="25"/>
  <c r="W532" i="25"/>
  <c r="X531" i="25"/>
  <c r="W531" i="25"/>
  <c r="X530" i="25"/>
  <c r="W530" i="25"/>
  <c r="AD337" i="26"/>
  <c r="AC337" i="26"/>
  <c r="X337" i="26"/>
  <c r="W337" i="26"/>
  <c r="AD336" i="26"/>
  <c r="X336" i="26"/>
  <c r="W336" i="26"/>
  <c r="AC336" i="26" s="1"/>
  <c r="AD335" i="26"/>
  <c r="X335" i="26"/>
  <c r="W335" i="26"/>
  <c r="AD334" i="26"/>
  <c r="X334" i="26"/>
  <c r="W334" i="26"/>
  <c r="AC334" i="26" s="1"/>
  <c r="AD333" i="26"/>
  <c r="X333" i="26"/>
  <c r="W333" i="26"/>
  <c r="AD332" i="26"/>
  <c r="X332" i="26"/>
  <c r="W332" i="26"/>
  <c r="AC332" i="26" s="1"/>
  <c r="AD331" i="26"/>
  <c r="X331" i="26"/>
  <c r="W331" i="26"/>
  <c r="AD330" i="26"/>
  <c r="X330" i="26"/>
  <c r="W330" i="26"/>
  <c r="AC330" i="26" s="1"/>
  <c r="AD329" i="26"/>
  <c r="X329" i="26"/>
  <c r="W329" i="26"/>
  <c r="AD328" i="26"/>
  <c r="X328" i="26"/>
  <c r="W328" i="26"/>
  <c r="AC328" i="26" s="1"/>
  <c r="AD327" i="26"/>
  <c r="X327" i="26"/>
  <c r="W327" i="26"/>
  <c r="AD326" i="26"/>
  <c r="AD11" i="30" s="1"/>
  <c r="X326" i="26"/>
  <c r="W326" i="26"/>
  <c r="X240" i="25"/>
  <c r="W240" i="25"/>
  <c r="X239" i="25"/>
  <c r="W239" i="25"/>
  <c r="X238" i="25"/>
  <c r="W238" i="25"/>
  <c r="X237" i="25"/>
  <c r="W237" i="25"/>
  <c r="AC237" i="25" s="1"/>
  <c r="X236" i="25"/>
  <c r="W236" i="25"/>
  <c r="X235" i="25"/>
  <c r="W235" i="25"/>
  <c r="X234" i="25"/>
  <c r="W234" i="25"/>
  <c r="X233" i="25"/>
  <c r="W233" i="25"/>
  <c r="X232" i="25"/>
  <c r="W232" i="25"/>
  <c r="X231" i="25"/>
  <c r="W231" i="25"/>
  <c r="X230" i="25"/>
  <c r="W230" i="25"/>
  <c r="V229" i="25"/>
  <c r="V228" i="25"/>
  <c r="V227" i="25"/>
  <c r="V226" i="25"/>
  <c r="V225" i="25"/>
  <c r="V224" i="25"/>
  <c r="AB224" i="25" s="1"/>
  <c r="V223" i="25"/>
  <c r="V222" i="25"/>
  <c r="V221" i="25"/>
  <c r="V220" i="25"/>
  <c r="V219" i="25"/>
  <c r="V218" i="25"/>
  <c r="X217" i="25"/>
  <c r="W217" i="25"/>
  <c r="X216" i="25"/>
  <c r="W216" i="25"/>
  <c r="X215" i="25"/>
  <c r="AD215" i="25" s="1"/>
  <c r="W215" i="25"/>
  <c r="X214" i="25"/>
  <c r="W214" i="25"/>
  <c r="X213" i="25"/>
  <c r="W213" i="25"/>
  <c r="X212" i="25"/>
  <c r="W212" i="25"/>
  <c r="X211" i="25"/>
  <c r="W211" i="25"/>
  <c r="X210" i="25"/>
  <c r="W210" i="25"/>
  <c r="X209" i="25"/>
  <c r="W209" i="25"/>
  <c r="X208" i="25"/>
  <c r="W208" i="25"/>
  <c r="X207" i="25"/>
  <c r="W207" i="25"/>
  <c r="X206" i="25"/>
  <c r="AD206" i="25" s="1"/>
  <c r="W206" i="25"/>
  <c r="X205" i="25"/>
  <c r="W205" i="25"/>
  <c r="X204" i="25"/>
  <c r="W204" i="25"/>
  <c r="X203" i="25"/>
  <c r="W203" i="25"/>
  <c r="X202" i="25"/>
  <c r="W202" i="25"/>
  <c r="AC202" i="25" s="1"/>
  <c r="X201" i="25"/>
  <c r="W201" i="25"/>
  <c r="X200" i="25"/>
  <c r="W200" i="25"/>
  <c r="X199" i="25"/>
  <c r="AD199" i="25" s="1"/>
  <c r="W199" i="25"/>
  <c r="X198" i="25"/>
  <c r="W198" i="25"/>
  <c r="X197" i="25"/>
  <c r="W197" i="25"/>
  <c r="X196" i="25"/>
  <c r="W196" i="25"/>
  <c r="X195" i="25"/>
  <c r="W195" i="25"/>
  <c r="X194" i="25"/>
  <c r="W194" i="25"/>
  <c r="X193" i="25"/>
  <c r="W193" i="25"/>
  <c r="X192" i="25"/>
  <c r="W192" i="25"/>
  <c r="X191" i="25"/>
  <c r="W191" i="25"/>
  <c r="X190" i="25"/>
  <c r="AD190" i="25" s="1"/>
  <c r="W190" i="25"/>
  <c r="X189" i="25"/>
  <c r="W189" i="25"/>
  <c r="X188" i="25"/>
  <c r="W188" i="25"/>
  <c r="X187" i="25"/>
  <c r="W187" i="25"/>
  <c r="X186" i="25"/>
  <c r="W186" i="25"/>
  <c r="AC186" i="25" s="1"/>
  <c r="X185" i="25"/>
  <c r="W185" i="25"/>
  <c r="V184" i="25"/>
  <c r="V183" i="25"/>
  <c r="V182" i="25"/>
  <c r="V181" i="25"/>
  <c r="V180" i="25"/>
  <c r="V179" i="25"/>
  <c r="V178" i="25"/>
  <c r="V177" i="25"/>
  <c r="V176" i="25"/>
  <c r="V175" i="25"/>
  <c r="AB175" i="25" s="1"/>
  <c r="V174" i="25"/>
  <c r="V173" i="25"/>
  <c r="V172" i="25"/>
  <c r="V171" i="25"/>
  <c r="V170" i="25"/>
  <c r="V169" i="25"/>
  <c r="V168" i="25"/>
  <c r="V167" i="25"/>
  <c r="V166" i="25"/>
  <c r="V165" i="25"/>
  <c r="V164" i="25"/>
  <c r="V163" i="25"/>
  <c r="V162" i="25"/>
  <c r="AB162" i="25" s="1"/>
  <c r="V161" i="25"/>
  <c r="X160" i="25"/>
  <c r="W160" i="25"/>
  <c r="X159" i="25"/>
  <c r="W159" i="25"/>
  <c r="X158" i="25"/>
  <c r="W158" i="25"/>
  <c r="X157" i="25"/>
  <c r="W157" i="25"/>
  <c r="X156" i="25"/>
  <c r="W156" i="25"/>
  <c r="X155" i="25"/>
  <c r="W155" i="25"/>
  <c r="X154" i="25"/>
  <c r="AD154" i="25" s="1"/>
  <c r="W154" i="25"/>
  <c r="X153" i="25"/>
  <c r="W153" i="25"/>
  <c r="X152" i="25"/>
  <c r="W152" i="25"/>
  <c r="X151" i="25"/>
  <c r="W151" i="25"/>
  <c r="X150" i="25"/>
  <c r="W150" i="25"/>
  <c r="AC150" i="25" s="1"/>
  <c r="X149" i="25"/>
  <c r="W149" i="25"/>
  <c r="X148" i="25"/>
  <c r="W148" i="25"/>
  <c r="X147" i="25"/>
  <c r="AD147" i="25" s="1"/>
  <c r="W147" i="25"/>
  <c r="X146" i="25"/>
  <c r="W146" i="25"/>
  <c r="X145" i="25"/>
  <c r="W145" i="25"/>
  <c r="X144" i="25"/>
  <c r="W144" i="25"/>
  <c r="X143" i="25"/>
  <c r="W143" i="25"/>
  <c r="X142" i="25"/>
  <c r="W142" i="25"/>
  <c r="X141" i="25"/>
  <c r="W141" i="25"/>
  <c r="AD140" i="26"/>
  <c r="X140" i="26"/>
  <c r="W140" i="26"/>
  <c r="X140" i="25"/>
  <c r="W140" i="25"/>
  <c r="AD139" i="26"/>
  <c r="X139" i="26"/>
  <c r="AC139" i="26" s="1"/>
  <c r="W139" i="26"/>
  <c r="X139" i="25"/>
  <c r="W139" i="25"/>
  <c r="AD138" i="26"/>
  <c r="X138" i="26"/>
  <c r="W138" i="26"/>
  <c r="X138" i="25"/>
  <c r="W138" i="25"/>
  <c r="AD137" i="26"/>
  <c r="X137" i="26"/>
  <c r="W137" i="26"/>
  <c r="AD136" i="26"/>
  <c r="X136" i="26"/>
  <c r="W136" i="26"/>
  <c r="AD135" i="26"/>
  <c r="X135" i="26"/>
  <c r="W135" i="26"/>
  <c r="AD134" i="26"/>
  <c r="X134" i="26"/>
  <c r="W134" i="26"/>
  <c r="AD133" i="26"/>
  <c r="X133" i="26"/>
  <c r="W133" i="26"/>
  <c r="AC133" i="26" s="1"/>
  <c r="AD132" i="26"/>
  <c r="AC132" i="26"/>
  <c r="X132" i="26"/>
  <c r="W132" i="26"/>
  <c r="AD131" i="26"/>
  <c r="X131" i="26"/>
  <c r="AC131" i="26" s="1"/>
  <c r="W131" i="26"/>
  <c r="AD130" i="26"/>
  <c r="X130" i="26"/>
  <c r="W130" i="26"/>
  <c r="AE129" i="26"/>
  <c r="AB129" i="26"/>
  <c r="V129" i="26"/>
  <c r="AE128" i="26"/>
  <c r="V128" i="26"/>
  <c r="AB128" i="26" s="1"/>
  <c r="AE127" i="26"/>
  <c r="V127" i="26"/>
  <c r="AB127" i="26" s="1"/>
  <c r="AE126" i="26"/>
  <c r="V126" i="26"/>
  <c r="AB126" i="26" s="1"/>
  <c r="AE125" i="26"/>
  <c r="V125" i="26"/>
  <c r="AB125" i="26" s="1"/>
  <c r="AE124" i="26"/>
  <c r="V124" i="26"/>
  <c r="AB124" i="26" s="1"/>
  <c r="AE123" i="26"/>
  <c r="V123" i="26"/>
  <c r="AB123" i="26" s="1"/>
  <c r="AE122" i="26"/>
  <c r="V122" i="26"/>
  <c r="AB122" i="26" s="1"/>
  <c r="AE121" i="26"/>
  <c r="V121" i="26"/>
  <c r="AB121" i="26" s="1"/>
  <c r="AE120" i="26"/>
  <c r="V120" i="26"/>
  <c r="AB120" i="26" s="1"/>
  <c r="AE119" i="26"/>
  <c r="V119" i="26"/>
  <c r="AB119" i="26" s="1"/>
  <c r="AE118" i="26"/>
  <c r="V118" i="26"/>
  <c r="AB118" i="26" s="1"/>
  <c r="AD117" i="26"/>
  <c r="X117" i="26"/>
  <c r="W117" i="26"/>
  <c r="AD116" i="26"/>
  <c r="AC116" i="26"/>
  <c r="X116" i="26"/>
  <c r="W116" i="26"/>
  <c r="AD115" i="26"/>
  <c r="X115" i="26"/>
  <c r="W115" i="26"/>
  <c r="AC115" i="26" s="1"/>
  <c r="AD114" i="26"/>
  <c r="X114" i="26"/>
  <c r="W114" i="26"/>
  <c r="AC114" i="26" s="1"/>
  <c r="AD113" i="26"/>
  <c r="X113" i="26"/>
  <c r="W113" i="26"/>
  <c r="AC113" i="26" s="1"/>
  <c r="AD112" i="26"/>
  <c r="X112" i="26"/>
  <c r="W112" i="26"/>
  <c r="AC112" i="26" s="1"/>
  <c r="AD111" i="26"/>
  <c r="X111" i="26"/>
  <c r="W111" i="26"/>
  <c r="AC111" i="26" s="1"/>
  <c r="AD110" i="26"/>
  <c r="X110" i="26"/>
  <c r="W110" i="26"/>
  <c r="AC110" i="26" s="1"/>
  <c r="AD109" i="26"/>
  <c r="X109" i="26"/>
  <c r="W109" i="26"/>
  <c r="AD108" i="26"/>
  <c r="AC108" i="26"/>
  <c r="X108" i="26"/>
  <c r="W108" i="26"/>
  <c r="AD107" i="26"/>
  <c r="X107" i="26"/>
  <c r="W107" i="26"/>
  <c r="AD106" i="26"/>
  <c r="X106" i="26"/>
  <c r="W106" i="26"/>
  <c r="AD105" i="26"/>
  <c r="X105" i="26"/>
  <c r="W105" i="26"/>
  <c r="AD104" i="26"/>
  <c r="X104" i="26"/>
  <c r="W104" i="26"/>
  <c r="AD103" i="26"/>
  <c r="X103" i="26"/>
  <c r="W103" i="26"/>
  <c r="AC103" i="26" s="1"/>
  <c r="AD102" i="26"/>
  <c r="X102" i="26"/>
  <c r="W102" i="26"/>
  <c r="AD101" i="26"/>
  <c r="X101" i="26"/>
  <c r="AC101" i="26" s="1"/>
  <c r="W101" i="26"/>
  <c r="AD100" i="26"/>
  <c r="X100" i="26"/>
  <c r="W100" i="26"/>
  <c r="AC100" i="26" s="1"/>
  <c r="AD99" i="26"/>
  <c r="X99" i="26"/>
  <c r="W99" i="26"/>
  <c r="AC99" i="26" s="1"/>
  <c r="AD98" i="26"/>
  <c r="X98" i="26"/>
  <c r="W98" i="26"/>
  <c r="AC98" i="26" s="1"/>
  <c r="AD97" i="26"/>
  <c r="X97" i="26"/>
  <c r="W97" i="26"/>
  <c r="AC97" i="26" s="1"/>
  <c r="AD96" i="26"/>
  <c r="X96" i="26"/>
  <c r="W96" i="26"/>
  <c r="AC96" i="26" s="1"/>
  <c r="AD95" i="26"/>
  <c r="X95" i="26"/>
  <c r="W95" i="26"/>
  <c r="AC95" i="26" s="1"/>
  <c r="AD94" i="26"/>
  <c r="X94" i="26"/>
  <c r="W94" i="26"/>
  <c r="AC94" i="26" s="1"/>
  <c r="AD93" i="26"/>
  <c r="X93" i="26"/>
  <c r="W93" i="26"/>
  <c r="AC93" i="26" s="1"/>
  <c r="AD92" i="26"/>
  <c r="X92" i="26"/>
  <c r="W92" i="26"/>
  <c r="AC92" i="26" s="1"/>
  <c r="AD91" i="26"/>
  <c r="X91" i="26"/>
  <c r="W91" i="26"/>
  <c r="AC91" i="26" s="1"/>
  <c r="AD90" i="26"/>
  <c r="X90" i="26"/>
  <c r="W90" i="26"/>
  <c r="AC90" i="26" s="1"/>
  <c r="AD89" i="26"/>
  <c r="X89" i="26"/>
  <c r="W89" i="26"/>
  <c r="AC89" i="26" s="1"/>
  <c r="AD88" i="26"/>
  <c r="X88" i="26"/>
  <c r="W88" i="26"/>
  <c r="AC88" i="26" s="1"/>
  <c r="AD87" i="26"/>
  <c r="X87" i="26"/>
  <c r="W87" i="26"/>
  <c r="AC87" i="26" s="1"/>
  <c r="AD86" i="26"/>
  <c r="X86" i="26"/>
  <c r="W86" i="26"/>
  <c r="AC86" i="26" s="1"/>
  <c r="AD85" i="26"/>
  <c r="X85" i="26"/>
  <c r="W85" i="26"/>
  <c r="AC85" i="26" s="1"/>
  <c r="AE84" i="26"/>
  <c r="V84" i="26"/>
  <c r="AB84" i="26" s="1"/>
  <c r="AE83" i="26"/>
  <c r="V83" i="26"/>
  <c r="AB83" i="26" s="1"/>
  <c r="AE82" i="26"/>
  <c r="V82" i="26"/>
  <c r="AB82" i="26" s="1"/>
  <c r="AE81" i="26"/>
  <c r="V81" i="26"/>
  <c r="AB81" i="26" s="1"/>
  <c r="AE80" i="26"/>
  <c r="AB80" i="26"/>
  <c r="V80" i="26"/>
  <c r="AE79" i="26"/>
  <c r="V79" i="26"/>
  <c r="AB79" i="26" s="1"/>
  <c r="AE78" i="26"/>
  <c r="V78" i="26"/>
  <c r="AB78" i="26" s="1"/>
  <c r="AE77" i="26"/>
  <c r="V77" i="26"/>
  <c r="AB77" i="26" s="1"/>
  <c r="AE76" i="26"/>
  <c r="V76" i="26"/>
  <c r="AB76" i="26" s="1"/>
  <c r="AE75" i="26"/>
  <c r="V75" i="26"/>
  <c r="AB75" i="26" s="1"/>
  <c r="AE74" i="26"/>
  <c r="V74" i="26"/>
  <c r="AB74" i="26" s="1"/>
  <c r="AE73" i="26"/>
  <c r="V73" i="26"/>
  <c r="AB73" i="26" s="1"/>
  <c r="AE72" i="26"/>
  <c r="AB72" i="26"/>
  <c r="V72" i="26"/>
  <c r="AE71" i="26"/>
  <c r="V71" i="26"/>
  <c r="AB71" i="26" s="1"/>
  <c r="AE70" i="26"/>
  <c r="V70" i="26"/>
  <c r="AB70" i="26" s="1"/>
  <c r="AE69" i="26"/>
  <c r="V69" i="26"/>
  <c r="AB69" i="26" s="1"/>
  <c r="AE68" i="26"/>
  <c r="V68" i="26"/>
  <c r="AB68" i="26" s="1"/>
  <c r="AE67" i="26"/>
  <c r="V67" i="26"/>
  <c r="AB67" i="26" s="1"/>
  <c r="AE66" i="26"/>
  <c r="V66" i="26"/>
  <c r="AB66" i="26" s="1"/>
  <c r="AE65" i="26"/>
  <c r="V65" i="26"/>
  <c r="AB65" i="26" s="1"/>
  <c r="AE64" i="26"/>
  <c r="AB64" i="26"/>
  <c r="V64" i="26"/>
  <c r="AE63" i="26"/>
  <c r="V63" i="26"/>
  <c r="AB63" i="26" s="1"/>
  <c r="AE62" i="26"/>
  <c r="V62" i="26"/>
  <c r="AB62" i="26" s="1"/>
  <c r="AE61" i="26"/>
  <c r="V61" i="26"/>
  <c r="AB61" i="26" s="1"/>
  <c r="AD60" i="26"/>
  <c r="X60" i="26"/>
  <c r="W60" i="26"/>
  <c r="AD59" i="26"/>
  <c r="X59" i="26"/>
  <c r="W59" i="26"/>
  <c r="AD58" i="26"/>
  <c r="X58" i="26"/>
  <c r="W58" i="26"/>
  <c r="AD57" i="26"/>
  <c r="X57" i="26"/>
  <c r="W57" i="26"/>
  <c r="AD56" i="26"/>
  <c r="X56" i="26"/>
  <c r="W56" i="26"/>
  <c r="AD55" i="26"/>
  <c r="X55" i="26"/>
  <c r="W55" i="26"/>
  <c r="AD54" i="26"/>
  <c r="X54" i="26"/>
  <c r="W54" i="26"/>
  <c r="AD53" i="26"/>
  <c r="X53" i="26"/>
  <c r="W53" i="26"/>
  <c r="AD52" i="26"/>
  <c r="X52" i="26"/>
  <c r="W52" i="26"/>
  <c r="AD51" i="26"/>
  <c r="X51" i="26"/>
  <c r="W51" i="26"/>
  <c r="AD50" i="26"/>
  <c r="X50" i="26"/>
  <c r="W50" i="26"/>
  <c r="AD49" i="26"/>
  <c r="X49" i="26"/>
  <c r="W49" i="26"/>
  <c r="AD48" i="26"/>
  <c r="X48" i="26"/>
  <c r="W48" i="26"/>
  <c r="AD47" i="26"/>
  <c r="X47" i="26"/>
  <c r="W47" i="26"/>
  <c r="AD46" i="26"/>
  <c r="X46" i="26"/>
  <c r="W46" i="26"/>
  <c r="AD45" i="26"/>
  <c r="X45" i="26"/>
  <c r="W45" i="26"/>
  <c r="AD44" i="26"/>
  <c r="X44" i="26"/>
  <c r="W44" i="26"/>
  <c r="AD43" i="26"/>
  <c r="X43" i="26"/>
  <c r="W43" i="26"/>
  <c r="AD42" i="26"/>
  <c r="X42" i="26"/>
  <c r="W42" i="26"/>
  <c r="AD41" i="26"/>
  <c r="X41" i="26"/>
  <c r="W41" i="26"/>
  <c r="AD40" i="26"/>
  <c r="X40" i="26"/>
  <c r="W40" i="26"/>
  <c r="AD39" i="26"/>
  <c r="X39" i="26"/>
  <c r="W39" i="26"/>
  <c r="AD38" i="26"/>
  <c r="X38" i="26"/>
  <c r="W38" i="26"/>
  <c r="X25" i="26"/>
  <c r="W25" i="26"/>
  <c r="AC25" i="26" s="1"/>
  <c r="V25" i="26"/>
  <c r="AB25" i="26" s="1"/>
  <c r="X25" i="25"/>
  <c r="W25" i="25"/>
  <c r="V25" i="25"/>
  <c r="AB24" i="26"/>
  <c r="X24" i="26"/>
  <c r="W24" i="26"/>
  <c r="AC24" i="26" s="1"/>
  <c r="V24" i="26"/>
  <c r="X24" i="25"/>
  <c r="W24" i="25"/>
  <c r="V24" i="25"/>
  <c r="AB23" i="26"/>
  <c r="X23" i="26"/>
  <c r="W23" i="26"/>
  <c r="V23" i="26"/>
  <c r="X23" i="25"/>
  <c r="W23" i="25"/>
  <c r="V23" i="25"/>
  <c r="X22" i="26"/>
  <c r="W22" i="26"/>
  <c r="AC22" i="26" s="1"/>
  <c r="V22" i="26"/>
  <c r="AB22" i="26" s="1"/>
  <c r="X22" i="25"/>
  <c r="W22" i="25"/>
  <c r="V22" i="25"/>
  <c r="X21" i="26"/>
  <c r="W21" i="26"/>
  <c r="AC21" i="26" s="1"/>
  <c r="V21" i="26"/>
  <c r="AB21" i="26" s="1"/>
  <c r="X21" i="25"/>
  <c r="W21" i="25"/>
  <c r="V21" i="25"/>
  <c r="AB20" i="26"/>
  <c r="X20" i="26"/>
  <c r="W20" i="26"/>
  <c r="V20" i="26"/>
  <c r="X20" i="25"/>
  <c r="W20" i="25"/>
  <c r="V20" i="25"/>
  <c r="AB19" i="26"/>
  <c r="X19" i="26"/>
  <c r="W19" i="26"/>
  <c r="V19" i="26"/>
  <c r="X19" i="25"/>
  <c r="W19" i="25"/>
  <c r="V19" i="25"/>
  <c r="X18" i="26"/>
  <c r="W18" i="26"/>
  <c r="AC18" i="26" s="1"/>
  <c r="V18" i="26"/>
  <c r="AB18" i="26" s="1"/>
  <c r="X18" i="25"/>
  <c r="W18" i="25"/>
  <c r="V18" i="25"/>
  <c r="X17" i="26"/>
  <c r="W17" i="26"/>
  <c r="AC17" i="26" s="1"/>
  <c r="V17" i="26"/>
  <c r="AB17" i="26" s="1"/>
  <c r="X17" i="25"/>
  <c r="W17" i="25"/>
  <c r="V17" i="25"/>
  <c r="AB16" i="26"/>
  <c r="X16" i="26"/>
  <c r="W16" i="26"/>
  <c r="V16" i="26"/>
  <c r="X16" i="25"/>
  <c r="W16" i="25"/>
  <c r="V16" i="25"/>
  <c r="AB15" i="26"/>
  <c r="X15" i="26"/>
  <c r="W15" i="26"/>
  <c r="V15" i="26"/>
  <c r="X15" i="25"/>
  <c r="W15" i="25"/>
  <c r="V15" i="25"/>
  <c r="X14" i="26"/>
  <c r="W14" i="26"/>
  <c r="AC14" i="26" s="1"/>
  <c r="V14" i="26"/>
  <c r="AB14" i="26" s="1"/>
  <c r="X14" i="25"/>
  <c r="W14" i="25"/>
  <c r="V14" i="25"/>
  <c r="X13" i="26"/>
  <c r="W13" i="26"/>
  <c r="AC13" i="26" s="1"/>
  <c r="V13" i="26"/>
  <c r="AB13" i="26" s="1"/>
  <c r="X13" i="25"/>
  <c r="W13" i="25"/>
  <c r="V13" i="25"/>
  <c r="AB12" i="26"/>
  <c r="X12" i="26"/>
  <c r="W12" i="26"/>
  <c r="V12" i="26"/>
  <c r="X12" i="25"/>
  <c r="W12" i="25"/>
  <c r="V12" i="25"/>
  <c r="AB11" i="26"/>
  <c r="X11" i="26"/>
  <c r="W11" i="26"/>
  <c r="V11" i="26"/>
  <c r="X11" i="25"/>
  <c r="W11" i="25"/>
  <c r="V11" i="25"/>
  <c r="X10" i="26"/>
  <c r="W10" i="26"/>
  <c r="AC10" i="26" s="1"/>
  <c r="V10" i="26"/>
  <c r="AB10" i="26" s="1"/>
  <c r="X10" i="25"/>
  <c r="W10" i="25"/>
  <c r="V10" i="25"/>
  <c r="X9" i="26"/>
  <c r="W9" i="26"/>
  <c r="AC9" i="26" s="1"/>
  <c r="V9" i="26"/>
  <c r="AB9" i="26" s="1"/>
  <c r="X9" i="25"/>
  <c r="W9" i="25"/>
  <c r="V9" i="25"/>
  <c r="AB8" i="26"/>
  <c r="X8" i="26"/>
  <c r="W8" i="26"/>
  <c r="V8" i="26"/>
  <c r="X8" i="25"/>
  <c r="W8" i="25"/>
  <c r="V8" i="25"/>
  <c r="AB7" i="26"/>
  <c r="X7" i="26"/>
  <c r="W7" i="26"/>
  <c r="V7" i="26"/>
  <c r="X7" i="25"/>
  <c r="W7" i="25"/>
  <c r="V7" i="25"/>
  <c r="X6" i="26"/>
  <c r="W6" i="26"/>
  <c r="AC6" i="26" s="1"/>
  <c r="V6" i="26"/>
  <c r="AB6" i="26" s="1"/>
  <c r="X6" i="25"/>
  <c r="W6" i="25"/>
  <c r="V6" i="25"/>
  <c r="X5" i="26"/>
  <c r="W5" i="26"/>
  <c r="AC5" i="26" s="1"/>
  <c r="V5" i="26"/>
  <c r="AB5" i="26" s="1"/>
  <c r="X5" i="25"/>
  <c r="W5" i="25"/>
  <c r="V5" i="25"/>
  <c r="AB4" i="26"/>
  <c r="X4" i="26"/>
  <c r="W4" i="26"/>
  <c r="V4" i="26"/>
  <c r="X4" i="25"/>
  <c r="W4" i="25"/>
  <c r="V4" i="25"/>
  <c r="AB3" i="26"/>
  <c r="X3" i="26"/>
  <c r="W3" i="26"/>
  <c r="V3" i="26"/>
  <c r="X3" i="25"/>
  <c r="W3" i="25"/>
  <c r="V3" i="25"/>
  <c r="X2" i="26"/>
  <c r="W2" i="26"/>
  <c r="AC2" i="26" s="1"/>
  <c r="V2" i="26"/>
  <c r="AB2" i="26" s="1"/>
  <c r="X2" i="25"/>
  <c r="W2" i="25"/>
  <c r="V2" i="25"/>
  <c r="M40" i="5"/>
  <c r="M39" i="5"/>
  <c r="M38" i="5"/>
  <c r="AJ9" i="26"/>
  <c r="AI9" i="26"/>
  <c r="AJ4" i="26"/>
  <c r="AI4" i="26"/>
  <c r="AJ2" i="26"/>
  <c r="AI2" i="26"/>
  <c r="AD325" i="26"/>
  <c r="AD324" i="26"/>
  <c r="AD323" i="26"/>
  <c r="AD322" i="26"/>
  <c r="AD321" i="26"/>
  <c r="AD320" i="26"/>
  <c r="AD319" i="26"/>
  <c r="AD318" i="26"/>
  <c r="AD317" i="26"/>
  <c r="AD316" i="26"/>
  <c r="AD315" i="26"/>
  <c r="AD314" i="26"/>
  <c r="AD313" i="26"/>
  <c r="AD312" i="26"/>
  <c r="AD311" i="26"/>
  <c r="AD310" i="26"/>
  <c r="AD309" i="26"/>
  <c r="AD308" i="26"/>
  <c r="AD307" i="26"/>
  <c r="AD306" i="26"/>
  <c r="AD305" i="26"/>
  <c r="AD304" i="26"/>
  <c r="AD303" i="26"/>
  <c r="AD302" i="26"/>
  <c r="AD301" i="26"/>
  <c r="AD300" i="26"/>
  <c r="AD299" i="26"/>
  <c r="AD298" i="26"/>
  <c r="AD297" i="26"/>
  <c r="AD296" i="26"/>
  <c r="AD295" i="26"/>
  <c r="AD294" i="26"/>
  <c r="AD293" i="26"/>
  <c r="AD292" i="26"/>
  <c r="AD291" i="26"/>
  <c r="AD290" i="26"/>
  <c r="AD289" i="26"/>
  <c r="AD288" i="26"/>
  <c r="AD287" i="26"/>
  <c r="AD286" i="26"/>
  <c r="AD285" i="26"/>
  <c r="AD284" i="26"/>
  <c r="AD283" i="26"/>
  <c r="AD282" i="26"/>
  <c r="AD281" i="26"/>
  <c r="AD280" i="26"/>
  <c r="AD279" i="26"/>
  <c r="AD278" i="26"/>
  <c r="AD277" i="26"/>
  <c r="AD276" i="26"/>
  <c r="AD275" i="26"/>
  <c r="AD274" i="26"/>
  <c r="AD273" i="26"/>
  <c r="AD272" i="26"/>
  <c r="AD271" i="26"/>
  <c r="AD270" i="26"/>
  <c r="AD269" i="26"/>
  <c r="AD268" i="26"/>
  <c r="AD267" i="26"/>
  <c r="AD266" i="26"/>
  <c r="AD265" i="26"/>
  <c r="AD264" i="26"/>
  <c r="AD263" i="26"/>
  <c r="AD262" i="26"/>
  <c r="AD261" i="26"/>
  <c r="AD260" i="26"/>
  <c r="AD259" i="26"/>
  <c r="AD258" i="26"/>
  <c r="AD257" i="26"/>
  <c r="AD256" i="26"/>
  <c r="AD255" i="26"/>
  <c r="AD254" i="26"/>
  <c r="AD253" i="26"/>
  <c r="AD252" i="26"/>
  <c r="AD251" i="26"/>
  <c r="AD250" i="26"/>
  <c r="AD249" i="26"/>
  <c r="AD248" i="26"/>
  <c r="AD247" i="26"/>
  <c r="AD246" i="26"/>
  <c r="AD245" i="26"/>
  <c r="AD244" i="26"/>
  <c r="AD243" i="26"/>
  <c r="AD242" i="26"/>
  <c r="AD241" i="26"/>
  <c r="AD240" i="26"/>
  <c r="AD239" i="26"/>
  <c r="AD238" i="26"/>
  <c r="AD237" i="26"/>
  <c r="AD236" i="26"/>
  <c r="AD235" i="26"/>
  <c r="AD234" i="26"/>
  <c r="AD233" i="26"/>
  <c r="AD232" i="26"/>
  <c r="AD231" i="26"/>
  <c r="AD230" i="26"/>
  <c r="AD229" i="26"/>
  <c r="AD228" i="26"/>
  <c r="AD227" i="26"/>
  <c r="AD226" i="26"/>
  <c r="AD225" i="26"/>
  <c r="AD224" i="26"/>
  <c r="AD223" i="26"/>
  <c r="AD222" i="26"/>
  <c r="AD221" i="26"/>
  <c r="AD220" i="26"/>
  <c r="AD219" i="26"/>
  <c r="AD218" i="26"/>
  <c r="AD217" i="26"/>
  <c r="AD216" i="26"/>
  <c r="AD215" i="26"/>
  <c r="AD214" i="26"/>
  <c r="AD213" i="26"/>
  <c r="AD212" i="26"/>
  <c r="AD211" i="26"/>
  <c r="AD210" i="26"/>
  <c r="AD209" i="26"/>
  <c r="AD208" i="26"/>
  <c r="AD207" i="26"/>
  <c r="AD206" i="26"/>
  <c r="AD205" i="26"/>
  <c r="AD204" i="26"/>
  <c r="AD203" i="26"/>
  <c r="AD202" i="26"/>
  <c r="AD201" i="26"/>
  <c r="AD200" i="26"/>
  <c r="AD199" i="26"/>
  <c r="AD198" i="26"/>
  <c r="AD197" i="26"/>
  <c r="AD196" i="26"/>
  <c r="AD195" i="26"/>
  <c r="AD194" i="26"/>
  <c r="AD193" i="26"/>
  <c r="AD192" i="26"/>
  <c r="AD191" i="26"/>
  <c r="AD190" i="26"/>
  <c r="AD189" i="26"/>
  <c r="AD188" i="26"/>
  <c r="AD187" i="26"/>
  <c r="AD186" i="26"/>
  <c r="AD185" i="26"/>
  <c r="AD184" i="26"/>
  <c r="AD183" i="26"/>
  <c r="AD182" i="26"/>
  <c r="AD181" i="26"/>
  <c r="AD180" i="26"/>
  <c r="AD179" i="26"/>
  <c r="AD178" i="26"/>
  <c r="AD177" i="26"/>
  <c r="AD176" i="26"/>
  <c r="AD175" i="26"/>
  <c r="AD174" i="26"/>
  <c r="AD173" i="26"/>
  <c r="AD172" i="26"/>
  <c r="AD171" i="26"/>
  <c r="AD170" i="26"/>
  <c r="AD169" i="26"/>
  <c r="AD168" i="26"/>
  <c r="AD167" i="26"/>
  <c r="AD166" i="26"/>
  <c r="AD165" i="26"/>
  <c r="AD164" i="26"/>
  <c r="AD163" i="26"/>
  <c r="AD162" i="26"/>
  <c r="AD161" i="26"/>
  <c r="AD160" i="26"/>
  <c r="AD159" i="26"/>
  <c r="AD158" i="26"/>
  <c r="AD157" i="26"/>
  <c r="AD156" i="26"/>
  <c r="AD155" i="26"/>
  <c r="AD154" i="26"/>
  <c r="AD153" i="26"/>
  <c r="AD152" i="26"/>
  <c r="AD151" i="26"/>
  <c r="AD150" i="26"/>
  <c r="AD149" i="26"/>
  <c r="AD148" i="26"/>
  <c r="AD147" i="26"/>
  <c r="AD146" i="26"/>
  <c r="AD145" i="26"/>
  <c r="AD144" i="26"/>
  <c r="AD143" i="26"/>
  <c r="AD142" i="26"/>
  <c r="AD141" i="26"/>
  <c r="AE37" i="26"/>
  <c r="AE36" i="26"/>
  <c r="AE35" i="26"/>
  <c r="AE34" i="26"/>
  <c r="AE33" i="26"/>
  <c r="AE32" i="26"/>
  <c r="AE31" i="26"/>
  <c r="AE30" i="26"/>
  <c r="AE29" i="26"/>
  <c r="AE28" i="26"/>
  <c r="AE27" i="26"/>
  <c r="AE26" i="26"/>
  <c r="V337" i="26"/>
  <c r="AB337" i="26" s="1"/>
  <c r="V336" i="26"/>
  <c r="AB336" i="26" s="1"/>
  <c r="V335" i="26"/>
  <c r="AB335" i="26" s="1"/>
  <c r="V334" i="26"/>
  <c r="AB334" i="26" s="1"/>
  <c r="V333" i="26"/>
  <c r="AB333" i="26" s="1"/>
  <c r="V332" i="26"/>
  <c r="AB332" i="26" s="1"/>
  <c r="V331" i="26"/>
  <c r="AB331" i="26" s="1"/>
  <c r="V330" i="26"/>
  <c r="AB330" i="26" s="1"/>
  <c r="V329" i="26"/>
  <c r="AB329" i="26" s="1"/>
  <c r="V328" i="26"/>
  <c r="AB328" i="26" s="1"/>
  <c r="V327" i="26"/>
  <c r="AB327" i="26" s="1"/>
  <c r="V326" i="26"/>
  <c r="AB326" i="26" s="1"/>
  <c r="X325" i="26"/>
  <c r="W325" i="26"/>
  <c r="V325" i="26"/>
  <c r="AB325" i="26" s="1"/>
  <c r="X324" i="26"/>
  <c r="W324" i="26"/>
  <c r="V324" i="26"/>
  <c r="AB324" i="26" s="1"/>
  <c r="X323" i="26"/>
  <c r="W323" i="26"/>
  <c r="V323" i="26"/>
  <c r="AB323" i="26" s="1"/>
  <c r="X322" i="26"/>
  <c r="W322" i="26"/>
  <c r="V322" i="26"/>
  <c r="AB322" i="26" s="1"/>
  <c r="X321" i="26"/>
  <c r="W321" i="26"/>
  <c r="V321" i="26"/>
  <c r="AB321" i="26" s="1"/>
  <c r="X320" i="26"/>
  <c r="W320" i="26"/>
  <c r="V320" i="26"/>
  <c r="AB320" i="26" s="1"/>
  <c r="X319" i="26"/>
  <c r="W319" i="26"/>
  <c r="V319" i="26"/>
  <c r="AB319" i="26" s="1"/>
  <c r="X318" i="26"/>
  <c r="W318" i="26"/>
  <c r="V318" i="26"/>
  <c r="AB318" i="26" s="1"/>
  <c r="X317" i="26"/>
  <c r="W317" i="26"/>
  <c r="V317" i="26"/>
  <c r="AB317" i="26" s="1"/>
  <c r="X316" i="26"/>
  <c r="W316" i="26"/>
  <c r="V316" i="26"/>
  <c r="AB316" i="26" s="1"/>
  <c r="X315" i="26"/>
  <c r="W315" i="26"/>
  <c r="V315" i="26"/>
  <c r="AB315" i="26" s="1"/>
  <c r="X314" i="26"/>
  <c r="W314" i="26"/>
  <c r="V314" i="26"/>
  <c r="AB314" i="26" s="1"/>
  <c r="X313" i="26"/>
  <c r="W313" i="26"/>
  <c r="V313" i="26"/>
  <c r="AB313" i="26" s="1"/>
  <c r="X312" i="26"/>
  <c r="W312" i="26"/>
  <c r="V312" i="26"/>
  <c r="AB312" i="26" s="1"/>
  <c r="X311" i="26"/>
  <c r="W311" i="26"/>
  <c r="V311" i="26"/>
  <c r="AB311" i="26" s="1"/>
  <c r="X310" i="26"/>
  <c r="W310" i="26"/>
  <c r="V310" i="26"/>
  <c r="AB310" i="26" s="1"/>
  <c r="X309" i="26"/>
  <c r="W309" i="26"/>
  <c r="V309" i="26"/>
  <c r="AB309" i="26" s="1"/>
  <c r="X308" i="26"/>
  <c r="W308" i="26"/>
  <c r="V308" i="26"/>
  <c r="AB308" i="26" s="1"/>
  <c r="X307" i="26"/>
  <c r="W307" i="26"/>
  <c r="V307" i="26"/>
  <c r="AB307" i="26" s="1"/>
  <c r="X306" i="26"/>
  <c r="W306" i="26"/>
  <c r="V306" i="26"/>
  <c r="AB306" i="26" s="1"/>
  <c r="X305" i="26"/>
  <c r="W305" i="26"/>
  <c r="V305" i="26"/>
  <c r="AB305" i="26" s="1"/>
  <c r="X304" i="26"/>
  <c r="W304" i="26"/>
  <c r="V304" i="26"/>
  <c r="AB304" i="26" s="1"/>
  <c r="X303" i="26"/>
  <c r="W303" i="26"/>
  <c r="V303" i="26"/>
  <c r="AB303" i="26" s="1"/>
  <c r="X302" i="26"/>
  <c r="W302" i="26"/>
  <c r="V302" i="26"/>
  <c r="AB302" i="26" s="1"/>
  <c r="X301" i="26"/>
  <c r="W301" i="26"/>
  <c r="V301" i="26"/>
  <c r="AB301" i="26" s="1"/>
  <c r="X300" i="26"/>
  <c r="W300" i="26"/>
  <c r="V300" i="26"/>
  <c r="AB300" i="26" s="1"/>
  <c r="X299" i="26"/>
  <c r="W299" i="26"/>
  <c r="V299" i="26"/>
  <c r="AB299" i="26" s="1"/>
  <c r="X298" i="26"/>
  <c r="W298" i="26"/>
  <c r="V298" i="26"/>
  <c r="AB298" i="26" s="1"/>
  <c r="X297" i="26"/>
  <c r="W297" i="26"/>
  <c r="V297" i="26"/>
  <c r="AB297" i="26" s="1"/>
  <c r="X296" i="26"/>
  <c r="W296" i="26"/>
  <c r="V296" i="26"/>
  <c r="AB296" i="26" s="1"/>
  <c r="X295" i="26"/>
  <c r="W295" i="26"/>
  <c r="V295" i="26"/>
  <c r="AB295" i="26" s="1"/>
  <c r="X294" i="26"/>
  <c r="W294" i="26"/>
  <c r="V294" i="26"/>
  <c r="AB294" i="26" s="1"/>
  <c r="X293" i="26"/>
  <c r="W293" i="26"/>
  <c r="V293" i="26"/>
  <c r="AB293" i="26" s="1"/>
  <c r="X292" i="26"/>
  <c r="W292" i="26"/>
  <c r="V292" i="26"/>
  <c r="AB292" i="26" s="1"/>
  <c r="X291" i="26"/>
  <c r="W291" i="26"/>
  <c r="V291" i="26"/>
  <c r="AB291" i="26" s="1"/>
  <c r="X290" i="26"/>
  <c r="W290" i="26"/>
  <c r="V290" i="26"/>
  <c r="AB290" i="26" s="1"/>
  <c r="X289" i="26"/>
  <c r="W289" i="26"/>
  <c r="V289" i="26"/>
  <c r="AB289" i="26" s="1"/>
  <c r="X288" i="26"/>
  <c r="W288" i="26"/>
  <c r="V288" i="26"/>
  <c r="AB288" i="26" s="1"/>
  <c r="X287" i="26"/>
  <c r="W287" i="26"/>
  <c r="V287" i="26"/>
  <c r="AB287" i="26" s="1"/>
  <c r="X286" i="26"/>
  <c r="W286" i="26"/>
  <c r="V286" i="26"/>
  <c r="AB286" i="26" s="1"/>
  <c r="X285" i="26"/>
  <c r="W285" i="26"/>
  <c r="V285" i="26"/>
  <c r="AB285" i="26" s="1"/>
  <c r="X284" i="26"/>
  <c r="W284" i="26"/>
  <c r="V284" i="26"/>
  <c r="AB284" i="26" s="1"/>
  <c r="X283" i="26"/>
  <c r="W283" i="26"/>
  <c r="V283" i="26"/>
  <c r="AB283" i="26" s="1"/>
  <c r="X282" i="26"/>
  <c r="W282" i="26"/>
  <c r="V282" i="26"/>
  <c r="AB282" i="26" s="1"/>
  <c r="X281" i="26"/>
  <c r="W281" i="26"/>
  <c r="V281" i="26"/>
  <c r="AB281" i="26" s="1"/>
  <c r="X280" i="26"/>
  <c r="W280" i="26"/>
  <c r="V280" i="26"/>
  <c r="AB280" i="26" s="1"/>
  <c r="X279" i="26"/>
  <c r="W279" i="26"/>
  <c r="V279" i="26"/>
  <c r="AB279" i="26" s="1"/>
  <c r="X278" i="26"/>
  <c r="W278" i="26"/>
  <c r="V278" i="26"/>
  <c r="AB278" i="26" s="1"/>
  <c r="X277" i="26"/>
  <c r="W277" i="26"/>
  <c r="V277" i="26"/>
  <c r="AB277" i="26" s="1"/>
  <c r="X276" i="26"/>
  <c r="W276" i="26"/>
  <c r="V276" i="26"/>
  <c r="AB276" i="26" s="1"/>
  <c r="X275" i="26"/>
  <c r="W275" i="26"/>
  <c r="V275" i="26"/>
  <c r="AB275" i="26" s="1"/>
  <c r="X274" i="26"/>
  <c r="W274" i="26"/>
  <c r="V274" i="26"/>
  <c r="AB274" i="26" s="1"/>
  <c r="X273" i="26"/>
  <c r="W273" i="26"/>
  <c r="V273" i="26"/>
  <c r="AB273" i="26" s="1"/>
  <c r="X272" i="26"/>
  <c r="W272" i="26"/>
  <c r="V272" i="26"/>
  <c r="AB272" i="26" s="1"/>
  <c r="X271" i="26"/>
  <c r="W271" i="26"/>
  <c r="V271" i="26"/>
  <c r="AB271" i="26" s="1"/>
  <c r="X270" i="26"/>
  <c r="W270" i="26"/>
  <c r="V270" i="26"/>
  <c r="AB270" i="26" s="1"/>
  <c r="X269" i="26"/>
  <c r="W269" i="26"/>
  <c r="V269" i="26"/>
  <c r="AB269" i="26" s="1"/>
  <c r="X268" i="26"/>
  <c r="W268" i="26"/>
  <c r="V268" i="26"/>
  <c r="AB268" i="26" s="1"/>
  <c r="X267" i="26"/>
  <c r="W267" i="26"/>
  <c r="V267" i="26"/>
  <c r="AB267" i="26" s="1"/>
  <c r="X266" i="26"/>
  <c r="W266" i="26"/>
  <c r="V266" i="26"/>
  <c r="AB266" i="26" s="1"/>
  <c r="X265" i="26"/>
  <c r="W265" i="26"/>
  <c r="V265" i="26"/>
  <c r="AB265" i="26" s="1"/>
  <c r="X264" i="26"/>
  <c r="W264" i="26"/>
  <c r="V264" i="26"/>
  <c r="AB264" i="26" s="1"/>
  <c r="X263" i="26"/>
  <c r="W263" i="26"/>
  <c r="V263" i="26"/>
  <c r="AB263" i="26" s="1"/>
  <c r="X262" i="26"/>
  <c r="W262" i="26"/>
  <c r="V262" i="26"/>
  <c r="AB262" i="26" s="1"/>
  <c r="X261" i="26"/>
  <c r="W261" i="26"/>
  <c r="V261" i="26"/>
  <c r="AB261" i="26" s="1"/>
  <c r="X260" i="26"/>
  <c r="W260" i="26"/>
  <c r="V260" i="26"/>
  <c r="AB260" i="26" s="1"/>
  <c r="X259" i="26"/>
  <c r="W259" i="26"/>
  <c r="V259" i="26"/>
  <c r="AB259" i="26" s="1"/>
  <c r="X258" i="26"/>
  <c r="W258" i="26"/>
  <c r="V258" i="26"/>
  <c r="AB258" i="26" s="1"/>
  <c r="X257" i="26"/>
  <c r="W257" i="26"/>
  <c r="V257" i="26"/>
  <c r="AB257" i="26" s="1"/>
  <c r="X256" i="26"/>
  <c r="W256" i="26"/>
  <c r="V256" i="26"/>
  <c r="AB256" i="26" s="1"/>
  <c r="X255" i="26"/>
  <c r="W255" i="26"/>
  <c r="V255" i="26"/>
  <c r="AB255" i="26" s="1"/>
  <c r="X254" i="26"/>
  <c r="W254" i="26"/>
  <c r="V254" i="26"/>
  <c r="AB254" i="26" s="1"/>
  <c r="X253" i="26"/>
  <c r="W253" i="26"/>
  <c r="V253" i="26"/>
  <c r="AB253" i="26" s="1"/>
  <c r="X252" i="26"/>
  <c r="W252" i="26"/>
  <c r="V252" i="26"/>
  <c r="AB252" i="26" s="1"/>
  <c r="X251" i="26"/>
  <c r="W251" i="26"/>
  <c r="V251" i="26"/>
  <c r="AB251" i="26" s="1"/>
  <c r="X250" i="26"/>
  <c r="W250" i="26"/>
  <c r="V250" i="26"/>
  <c r="AB250" i="26" s="1"/>
  <c r="X249" i="26"/>
  <c r="W249" i="26"/>
  <c r="V249" i="26"/>
  <c r="AB249" i="26" s="1"/>
  <c r="X248" i="26"/>
  <c r="W248" i="26"/>
  <c r="V248" i="26"/>
  <c r="AB248" i="26" s="1"/>
  <c r="X247" i="26"/>
  <c r="W247" i="26"/>
  <c r="V247" i="26"/>
  <c r="AB247" i="26" s="1"/>
  <c r="X246" i="26"/>
  <c r="W246" i="26"/>
  <c r="V246" i="26"/>
  <c r="AB246" i="26" s="1"/>
  <c r="X245" i="26"/>
  <c r="W245" i="26"/>
  <c r="V245" i="26"/>
  <c r="AB245" i="26" s="1"/>
  <c r="X244" i="26"/>
  <c r="W244" i="26"/>
  <c r="V244" i="26"/>
  <c r="AB244" i="26" s="1"/>
  <c r="X243" i="26"/>
  <c r="W243" i="26"/>
  <c r="V243" i="26"/>
  <c r="AB243" i="26" s="1"/>
  <c r="X242" i="26"/>
  <c r="W242" i="26"/>
  <c r="V242" i="26"/>
  <c r="AB242" i="26" s="1"/>
  <c r="X241" i="26"/>
  <c r="W241" i="26"/>
  <c r="V241" i="26"/>
  <c r="AB241" i="26" s="1"/>
  <c r="X240" i="26"/>
  <c r="W240" i="26"/>
  <c r="V240" i="26"/>
  <c r="AB240" i="26" s="1"/>
  <c r="X239" i="26"/>
  <c r="W239" i="26"/>
  <c r="V239" i="26"/>
  <c r="AB239" i="26" s="1"/>
  <c r="X238" i="26"/>
  <c r="W238" i="26"/>
  <c r="V238" i="26"/>
  <c r="AB238" i="26" s="1"/>
  <c r="X237" i="26"/>
  <c r="W237" i="26"/>
  <c r="V237" i="26"/>
  <c r="AB237" i="26" s="1"/>
  <c r="X236" i="26"/>
  <c r="W236" i="26"/>
  <c r="V236" i="26"/>
  <c r="AB236" i="26" s="1"/>
  <c r="X235" i="26"/>
  <c r="W235" i="26"/>
  <c r="V235" i="26"/>
  <c r="AB235" i="26" s="1"/>
  <c r="X234" i="26"/>
  <c r="W234" i="26"/>
  <c r="V234" i="26"/>
  <c r="AB234" i="26" s="1"/>
  <c r="X233" i="26"/>
  <c r="W233" i="26"/>
  <c r="V233" i="26"/>
  <c r="AB233" i="26" s="1"/>
  <c r="X232" i="26"/>
  <c r="W232" i="26"/>
  <c r="V232" i="26"/>
  <c r="AB232" i="26" s="1"/>
  <c r="X231" i="26"/>
  <c r="W231" i="26"/>
  <c r="V231" i="26"/>
  <c r="AB231" i="26" s="1"/>
  <c r="X230" i="26"/>
  <c r="W230" i="26"/>
  <c r="V230" i="26"/>
  <c r="AB230" i="26" s="1"/>
  <c r="X229" i="26"/>
  <c r="W229" i="26"/>
  <c r="V229" i="26"/>
  <c r="AB229" i="26" s="1"/>
  <c r="X228" i="26"/>
  <c r="W228" i="26"/>
  <c r="V228" i="26"/>
  <c r="AB228" i="26" s="1"/>
  <c r="X227" i="26"/>
  <c r="W227" i="26"/>
  <c r="V227" i="26"/>
  <c r="AB227" i="26" s="1"/>
  <c r="X226" i="26"/>
  <c r="W226" i="26"/>
  <c r="V226" i="26"/>
  <c r="AB226" i="26" s="1"/>
  <c r="X225" i="26"/>
  <c r="W225" i="26"/>
  <c r="V225" i="26"/>
  <c r="AB225" i="26" s="1"/>
  <c r="X224" i="26"/>
  <c r="W224" i="26"/>
  <c r="V224" i="26"/>
  <c r="AB224" i="26" s="1"/>
  <c r="X223" i="26"/>
  <c r="W223" i="26"/>
  <c r="V223" i="26"/>
  <c r="AB223" i="26" s="1"/>
  <c r="X222" i="26"/>
  <c r="W222" i="26"/>
  <c r="V222" i="26"/>
  <c r="AB222" i="26" s="1"/>
  <c r="X221" i="26"/>
  <c r="W221" i="26"/>
  <c r="V221" i="26"/>
  <c r="AB221" i="26" s="1"/>
  <c r="X220" i="26"/>
  <c r="W220" i="26"/>
  <c r="V220" i="26"/>
  <c r="AB220" i="26" s="1"/>
  <c r="X219" i="26"/>
  <c r="W219" i="26"/>
  <c r="V219" i="26"/>
  <c r="AB219" i="26" s="1"/>
  <c r="X218" i="26"/>
  <c r="W218" i="26"/>
  <c r="V218" i="26"/>
  <c r="AB218" i="26" s="1"/>
  <c r="X217" i="26"/>
  <c r="W217" i="26"/>
  <c r="V217" i="26"/>
  <c r="AB217" i="26" s="1"/>
  <c r="X216" i="26"/>
  <c r="W216" i="26"/>
  <c r="V216" i="26"/>
  <c r="AB216" i="26" s="1"/>
  <c r="X215" i="26"/>
  <c r="W215" i="26"/>
  <c r="V215" i="26"/>
  <c r="AB215" i="26" s="1"/>
  <c r="X214" i="26"/>
  <c r="W214" i="26"/>
  <c r="V214" i="26"/>
  <c r="AB214" i="26" s="1"/>
  <c r="X213" i="26"/>
  <c r="W213" i="26"/>
  <c r="V213" i="26"/>
  <c r="AB213" i="26" s="1"/>
  <c r="X212" i="26"/>
  <c r="W212" i="26"/>
  <c r="V212" i="26"/>
  <c r="AB212" i="26" s="1"/>
  <c r="X211" i="26"/>
  <c r="W211" i="26"/>
  <c r="V211" i="26"/>
  <c r="AB211" i="26" s="1"/>
  <c r="X210" i="26"/>
  <c r="W210" i="26"/>
  <c r="V210" i="26"/>
  <c r="AB210" i="26" s="1"/>
  <c r="X209" i="26"/>
  <c r="W209" i="26"/>
  <c r="V209" i="26"/>
  <c r="AB209" i="26" s="1"/>
  <c r="X208" i="26"/>
  <c r="W208" i="26"/>
  <c r="V208" i="26"/>
  <c r="AB208" i="26" s="1"/>
  <c r="X207" i="26"/>
  <c r="W207" i="26"/>
  <c r="V207" i="26"/>
  <c r="AB207" i="26" s="1"/>
  <c r="X206" i="26"/>
  <c r="W206" i="26"/>
  <c r="V206" i="26"/>
  <c r="AB206" i="26" s="1"/>
  <c r="X205" i="26"/>
  <c r="W205" i="26"/>
  <c r="V205" i="26"/>
  <c r="AB205" i="26" s="1"/>
  <c r="X204" i="26"/>
  <c r="W204" i="26"/>
  <c r="V204" i="26"/>
  <c r="AB204" i="26" s="1"/>
  <c r="X203" i="26"/>
  <c r="W203" i="26"/>
  <c r="V203" i="26"/>
  <c r="AB203" i="26" s="1"/>
  <c r="X202" i="26"/>
  <c r="W202" i="26"/>
  <c r="V202" i="26"/>
  <c r="AB202" i="26" s="1"/>
  <c r="X201" i="26"/>
  <c r="W201" i="26"/>
  <c r="V201" i="26"/>
  <c r="AB201" i="26" s="1"/>
  <c r="X200" i="26"/>
  <c r="W200" i="26"/>
  <c r="V200" i="26"/>
  <c r="AB200" i="26" s="1"/>
  <c r="X199" i="26"/>
  <c r="W199" i="26"/>
  <c r="V199" i="26"/>
  <c r="AB199" i="26" s="1"/>
  <c r="X198" i="26"/>
  <c r="W198" i="26"/>
  <c r="V198" i="26"/>
  <c r="AB198" i="26" s="1"/>
  <c r="X197" i="26"/>
  <c r="W197" i="26"/>
  <c r="V197" i="26"/>
  <c r="AB197" i="26" s="1"/>
  <c r="X196" i="26"/>
  <c r="W196" i="26"/>
  <c r="V196" i="26"/>
  <c r="AB196" i="26" s="1"/>
  <c r="X195" i="26"/>
  <c r="W195" i="26"/>
  <c r="V195" i="26"/>
  <c r="AB195" i="26" s="1"/>
  <c r="X194" i="26"/>
  <c r="W194" i="26"/>
  <c r="V194" i="26"/>
  <c r="AB194" i="26" s="1"/>
  <c r="X193" i="26"/>
  <c r="W193" i="26"/>
  <c r="V193" i="26"/>
  <c r="AB193" i="26" s="1"/>
  <c r="X192" i="26"/>
  <c r="W192" i="26"/>
  <c r="V192" i="26"/>
  <c r="AB192" i="26" s="1"/>
  <c r="X191" i="26"/>
  <c r="W191" i="26"/>
  <c r="V191" i="26"/>
  <c r="AB191" i="26" s="1"/>
  <c r="X190" i="26"/>
  <c r="W190" i="26"/>
  <c r="V190" i="26"/>
  <c r="AB190" i="26" s="1"/>
  <c r="X189" i="26"/>
  <c r="W189" i="26"/>
  <c r="V189" i="26"/>
  <c r="AB189" i="26" s="1"/>
  <c r="X188" i="26"/>
  <c r="W188" i="26"/>
  <c r="V188" i="26"/>
  <c r="AB188" i="26" s="1"/>
  <c r="X187" i="26"/>
  <c r="W187" i="26"/>
  <c r="V187" i="26"/>
  <c r="AB187" i="26" s="1"/>
  <c r="X186" i="26"/>
  <c r="W186" i="26"/>
  <c r="V186" i="26"/>
  <c r="AB186" i="26" s="1"/>
  <c r="X185" i="26"/>
  <c r="W185" i="26"/>
  <c r="V185" i="26"/>
  <c r="AB185" i="26" s="1"/>
  <c r="X184" i="26"/>
  <c r="W184" i="26"/>
  <c r="V184" i="26"/>
  <c r="AB184" i="26" s="1"/>
  <c r="X183" i="26"/>
  <c r="W183" i="26"/>
  <c r="V183" i="26"/>
  <c r="AB183" i="26" s="1"/>
  <c r="X182" i="26"/>
  <c r="W182" i="26"/>
  <c r="V182" i="26"/>
  <c r="AB182" i="26" s="1"/>
  <c r="X181" i="26"/>
  <c r="W181" i="26"/>
  <c r="V181" i="26"/>
  <c r="AB181" i="26" s="1"/>
  <c r="X180" i="26"/>
  <c r="W180" i="26"/>
  <c r="V180" i="26"/>
  <c r="AB180" i="26" s="1"/>
  <c r="X179" i="26"/>
  <c r="W179" i="26"/>
  <c r="V179" i="26"/>
  <c r="AB179" i="26" s="1"/>
  <c r="X178" i="26"/>
  <c r="W178" i="26"/>
  <c r="V178" i="26"/>
  <c r="AB178" i="26" s="1"/>
  <c r="X177" i="26"/>
  <c r="W177" i="26"/>
  <c r="V177" i="26"/>
  <c r="AB177" i="26" s="1"/>
  <c r="X176" i="26"/>
  <c r="W176" i="26"/>
  <c r="V176" i="26"/>
  <c r="AB176" i="26" s="1"/>
  <c r="X175" i="26"/>
  <c r="W175" i="26"/>
  <c r="V175" i="26"/>
  <c r="AB175" i="26" s="1"/>
  <c r="X174" i="26"/>
  <c r="W174" i="26"/>
  <c r="V174" i="26"/>
  <c r="AB174" i="26" s="1"/>
  <c r="X173" i="26"/>
  <c r="W173" i="26"/>
  <c r="V173" i="26"/>
  <c r="AB173" i="26" s="1"/>
  <c r="X172" i="26"/>
  <c r="W172" i="26"/>
  <c r="V172" i="26"/>
  <c r="AB172" i="26" s="1"/>
  <c r="X171" i="26"/>
  <c r="W171" i="26"/>
  <c r="V171" i="26"/>
  <c r="AB171" i="26" s="1"/>
  <c r="X170" i="26"/>
  <c r="W170" i="26"/>
  <c r="V170" i="26"/>
  <c r="AB170" i="26" s="1"/>
  <c r="X169" i="26"/>
  <c r="W169" i="26"/>
  <c r="V169" i="26"/>
  <c r="AB169" i="26" s="1"/>
  <c r="X168" i="26"/>
  <c r="W168" i="26"/>
  <c r="V168" i="26"/>
  <c r="AB168" i="26" s="1"/>
  <c r="X167" i="26"/>
  <c r="W167" i="26"/>
  <c r="V167" i="26"/>
  <c r="AB167" i="26" s="1"/>
  <c r="X166" i="26"/>
  <c r="W166" i="26"/>
  <c r="V166" i="26"/>
  <c r="AB166" i="26" s="1"/>
  <c r="X165" i="26"/>
  <c r="W165" i="26"/>
  <c r="V165" i="26"/>
  <c r="AB165" i="26" s="1"/>
  <c r="X164" i="26"/>
  <c r="W164" i="26"/>
  <c r="V164" i="26"/>
  <c r="AB164" i="26" s="1"/>
  <c r="X163" i="26"/>
  <c r="W163" i="26"/>
  <c r="V163" i="26"/>
  <c r="AB163" i="26" s="1"/>
  <c r="X162" i="26"/>
  <c r="W162" i="26"/>
  <c r="V162" i="26"/>
  <c r="AB162" i="26" s="1"/>
  <c r="X161" i="26"/>
  <c r="W161" i="26"/>
  <c r="V161" i="26"/>
  <c r="AB161" i="26" s="1"/>
  <c r="X160" i="26"/>
  <c r="W160" i="26"/>
  <c r="V160" i="26"/>
  <c r="AB160" i="26" s="1"/>
  <c r="X159" i="26"/>
  <c r="W159" i="26"/>
  <c r="V159" i="26"/>
  <c r="AB159" i="26" s="1"/>
  <c r="X158" i="26"/>
  <c r="W158" i="26"/>
  <c r="V158" i="26"/>
  <c r="AB158" i="26" s="1"/>
  <c r="X157" i="26"/>
  <c r="W157" i="26"/>
  <c r="V157" i="26"/>
  <c r="AB157" i="26" s="1"/>
  <c r="X156" i="26"/>
  <c r="W156" i="26"/>
  <c r="V156" i="26"/>
  <c r="AB156" i="26" s="1"/>
  <c r="X155" i="26"/>
  <c r="W155" i="26"/>
  <c r="V155" i="26"/>
  <c r="AB155" i="26" s="1"/>
  <c r="X154" i="26"/>
  <c r="W154" i="26"/>
  <c r="V154" i="26"/>
  <c r="AB154" i="26" s="1"/>
  <c r="X153" i="26"/>
  <c r="W153" i="26"/>
  <c r="V153" i="26"/>
  <c r="AB153" i="26" s="1"/>
  <c r="X152" i="26"/>
  <c r="W152" i="26"/>
  <c r="V152" i="26"/>
  <c r="AB152" i="26" s="1"/>
  <c r="X151" i="26"/>
  <c r="W151" i="26"/>
  <c r="V151" i="26"/>
  <c r="AB151" i="26" s="1"/>
  <c r="X150" i="26"/>
  <c r="W150" i="26"/>
  <c r="V150" i="26"/>
  <c r="AB150" i="26" s="1"/>
  <c r="X149" i="26"/>
  <c r="W149" i="26"/>
  <c r="V149" i="26"/>
  <c r="AB149" i="26" s="1"/>
  <c r="X148" i="26"/>
  <c r="W148" i="26"/>
  <c r="V148" i="26"/>
  <c r="AB148" i="26" s="1"/>
  <c r="X147" i="26"/>
  <c r="W147" i="26"/>
  <c r="V147" i="26"/>
  <c r="AB147" i="26" s="1"/>
  <c r="X146" i="26"/>
  <c r="W146" i="26"/>
  <c r="V146" i="26"/>
  <c r="AB146" i="26" s="1"/>
  <c r="X145" i="26"/>
  <c r="W145" i="26"/>
  <c r="V145" i="26"/>
  <c r="AB145" i="26" s="1"/>
  <c r="X144" i="26"/>
  <c r="W144" i="26"/>
  <c r="V144" i="26"/>
  <c r="AB144" i="26" s="1"/>
  <c r="X143" i="26"/>
  <c r="W143" i="26"/>
  <c r="V143" i="26"/>
  <c r="AB143" i="26" s="1"/>
  <c r="X142" i="26"/>
  <c r="W142" i="26"/>
  <c r="V142" i="26"/>
  <c r="AB142" i="26" s="1"/>
  <c r="X141" i="26"/>
  <c r="W141" i="26"/>
  <c r="V141" i="26"/>
  <c r="AB141" i="26" s="1"/>
  <c r="V140" i="26"/>
  <c r="AB140" i="26" s="1"/>
  <c r="V139" i="26"/>
  <c r="AB139" i="26" s="1"/>
  <c r="V138" i="26"/>
  <c r="AB138" i="26" s="1"/>
  <c r="V137" i="26"/>
  <c r="AB137" i="26" s="1"/>
  <c r="V136" i="26"/>
  <c r="AB136" i="26" s="1"/>
  <c r="V135" i="26"/>
  <c r="AB135" i="26" s="1"/>
  <c r="V134" i="26"/>
  <c r="AB134" i="26" s="1"/>
  <c r="V133" i="26"/>
  <c r="AB133" i="26" s="1"/>
  <c r="V132" i="26"/>
  <c r="AB132" i="26" s="1"/>
  <c r="V131" i="26"/>
  <c r="AB131" i="26" s="1"/>
  <c r="V130" i="26"/>
  <c r="AB130" i="26" s="1"/>
  <c r="X129" i="26"/>
  <c r="W129" i="26"/>
  <c r="X128" i="26"/>
  <c r="W128" i="26"/>
  <c r="AC128" i="26" s="1"/>
  <c r="X127" i="26"/>
  <c r="W127" i="26"/>
  <c r="AC127" i="26" s="1"/>
  <c r="X126" i="26"/>
  <c r="W126" i="26"/>
  <c r="AC126" i="26" s="1"/>
  <c r="X125" i="26"/>
  <c r="W125" i="26"/>
  <c r="X124" i="26"/>
  <c r="W124" i="26"/>
  <c r="AC124" i="26" s="1"/>
  <c r="X123" i="26"/>
  <c r="W123" i="26"/>
  <c r="X122" i="26"/>
  <c r="W122" i="26"/>
  <c r="AC122" i="26" s="1"/>
  <c r="X121" i="26"/>
  <c r="W121" i="26"/>
  <c r="X120" i="26"/>
  <c r="W120" i="26"/>
  <c r="AC120" i="26" s="1"/>
  <c r="X119" i="26"/>
  <c r="W119" i="26"/>
  <c r="X118" i="26"/>
  <c r="W118" i="26"/>
  <c r="AC118" i="26" s="1"/>
  <c r="V117" i="26"/>
  <c r="AB117" i="26" s="1"/>
  <c r="V116" i="26"/>
  <c r="AB116" i="26" s="1"/>
  <c r="V115" i="26"/>
  <c r="AB115" i="26" s="1"/>
  <c r="V114" i="26"/>
  <c r="AB114" i="26" s="1"/>
  <c r="V113" i="26"/>
  <c r="AB113" i="26" s="1"/>
  <c r="V112" i="26"/>
  <c r="AB112" i="26" s="1"/>
  <c r="V111" i="26"/>
  <c r="AB111" i="26" s="1"/>
  <c r="V110" i="26"/>
  <c r="AB110" i="26" s="1"/>
  <c r="V109" i="26"/>
  <c r="AB109" i="26" s="1"/>
  <c r="V108" i="26"/>
  <c r="AB108" i="26" s="1"/>
  <c r="V107" i="26"/>
  <c r="AB107" i="26" s="1"/>
  <c r="V106" i="26"/>
  <c r="AB106" i="26" s="1"/>
  <c r="V105" i="26"/>
  <c r="AB105" i="26" s="1"/>
  <c r="V104" i="26"/>
  <c r="AB104" i="26" s="1"/>
  <c r="V103" i="26"/>
  <c r="AB103" i="26" s="1"/>
  <c r="V102" i="26"/>
  <c r="AB102" i="26" s="1"/>
  <c r="V101" i="26"/>
  <c r="AB101" i="26" s="1"/>
  <c r="V100" i="26"/>
  <c r="AB100" i="26" s="1"/>
  <c r="V99" i="26"/>
  <c r="AB99" i="26" s="1"/>
  <c r="V98" i="26"/>
  <c r="AB98" i="26" s="1"/>
  <c r="V97" i="26"/>
  <c r="AB97" i="26" s="1"/>
  <c r="V96" i="26"/>
  <c r="AB96" i="26" s="1"/>
  <c r="V95" i="26"/>
  <c r="AB95" i="26" s="1"/>
  <c r="V94" i="26"/>
  <c r="AB94" i="26" s="1"/>
  <c r="V93" i="26"/>
  <c r="AB93" i="26" s="1"/>
  <c r="V92" i="26"/>
  <c r="AB92" i="26" s="1"/>
  <c r="V91" i="26"/>
  <c r="AB91" i="26" s="1"/>
  <c r="V90" i="26"/>
  <c r="AB90" i="26" s="1"/>
  <c r="V89" i="26"/>
  <c r="AB89" i="26" s="1"/>
  <c r="V88" i="26"/>
  <c r="AB88" i="26" s="1"/>
  <c r="V87" i="26"/>
  <c r="AB87" i="26" s="1"/>
  <c r="V86" i="26"/>
  <c r="AB86" i="26" s="1"/>
  <c r="V85" i="26"/>
  <c r="AB85" i="26" s="1"/>
  <c r="X84" i="26"/>
  <c r="W84" i="26"/>
  <c r="AC84" i="26" s="1"/>
  <c r="X83" i="26"/>
  <c r="W83" i="26"/>
  <c r="X82" i="26"/>
  <c r="W82" i="26"/>
  <c r="AC82" i="26" s="1"/>
  <c r="X81" i="26"/>
  <c r="W81" i="26"/>
  <c r="X80" i="26"/>
  <c r="W80" i="26"/>
  <c r="AC80" i="26" s="1"/>
  <c r="X79" i="26"/>
  <c r="W79" i="26"/>
  <c r="X78" i="26"/>
  <c r="W78" i="26"/>
  <c r="AC78" i="26" s="1"/>
  <c r="X77" i="26"/>
  <c r="W77" i="26"/>
  <c r="X76" i="26"/>
  <c r="W76" i="26"/>
  <c r="AC76" i="26" s="1"/>
  <c r="X75" i="26"/>
  <c r="W75" i="26"/>
  <c r="X74" i="26"/>
  <c r="W74" i="26"/>
  <c r="AC74" i="26" s="1"/>
  <c r="X73" i="26"/>
  <c r="W73" i="26"/>
  <c r="X72" i="26"/>
  <c r="W72" i="26"/>
  <c r="AC72" i="26" s="1"/>
  <c r="X71" i="26"/>
  <c r="W71" i="26"/>
  <c r="X70" i="26"/>
  <c r="W70" i="26"/>
  <c r="AC70" i="26" s="1"/>
  <c r="X69" i="26"/>
  <c r="W69" i="26"/>
  <c r="X68" i="26"/>
  <c r="W68" i="26"/>
  <c r="AC68" i="26" s="1"/>
  <c r="X67" i="26"/>
  <c r="W67" i="26"/>
  <c r="X66" i="26"/>
  <c r="W66" i="26"/>
  <c r="AC66" i="26" s="1"/>
  <c r="X65" i="26"/>
  <c r="W65" i="26"/>
  <c r="X64" i="26"/>
  <c r="W64" i="26"/>
  <c r="AC64" i="26" s="1"/>
  <c r="X63" i="26"/>
  <c r="W63" i="26"/>
  <c r="X62" i="26"/>
  <c r="W62" i="26"/>
  <c r="AC62" i="26" s="1"/>
  <c r="X61" i="26"/>
  <c r="W61" i="26"/>
  <c r="V60" i="26"/>
  <c r="AB60" i="26" s="1"/>
  <c r="V59" i="26"/>
  <c r="AB59" i="26" s="1"/>
  <c r="V58" i="26"/>
  <c r="AB58" i="26" s="1"/>
  <c r="V57" i="26"/>
  <c r="AB57" i="26" s="1"/>
  <c r="V56" i="26"/>
  <c r="AB56" i="26" s="1"/>
  <c r="V55" i="26"/>
  <c r="AB55" i="26" s="1"/>
  <c r="V54" i="26"/>
  <c r="AB54" i="26" s="1"/>
  <c r="V53" i="26"/>
  <c r="AB53" i="26" s="1"/>
  <c r="V52" i="26"/>
  <c r="AB52" i="26" s="1"/>
  <c r="V51" i="26"/>
  <c r="AB51" i="26" s="1"/>
  <c r="V50" i="26"/>
  <c r="AB50" i="26" s="1"/>
  <c r="V49" i="26"/>
  <c r="AB49" i="26" s="1"/>
  <c r="V48" i="26"/>
  <c r="AB48" i="26" s="1"/>
  <c r="V47" i="26"/>
  <c r="AB47" i="26" s="1"/>
  <c r="V46" i="26"/>
  <c r="AB46" i="26" s="1"/>
  <c r="V45" i="26"/>
  <c r="AB45" i="26" s="1"/>
  <c r="V44" i="26"/>
  <c r="AB44" i="26" s="1"/>
  <c r="V43" i="26"/>
  <c r="AB43" i="26" s="1"/>
  <c r="V42" i="26"/>
  <c r="AB42" i="26" s="1"/>
  <c r="V41" i="26"/>
  <c r="AB41" i="26" s="1"/>
  <c r="V40" i="26"/>
  <c r="AB40" i="26" s="1"/>
  <c r="V39" i="26"/>
  <c r="AB39" i="26" s="1"/>
  <c r="V38" i="26"/>
  <c r="AB38" i="26" s="1"/>
  <c r="X37" i="26"/>
  <c r="W37" i="26"/>
  <c r="V37" i="26"/>
  <c r="AB37" i="26" s="1"/>
  <c r="X36" i="26"/>
  <c r="W36" i="26"/>
  <c r="V36" i="26"/>
  <c r="AB36" i="26" s="1"/>
  <c r="X35" i="26"/>
  <c r="W35" i="26"/>
  <c r="AC35" i="26" s="1"/>
  <c r="V35" i="26"/>
  <c r="AB35" i="26" s="1"/>
  <c r="X34" i="26"/>
  <c r="W34" i="26"/>
  <c r="V34" i="26"/>
  <c r="AB34" i="26" s="1"/>
  <c r="X33" i="26"/>
  <c r="W33" i="26"/>
  <c r="V33" i="26"/>
  <c r="AB33" i="26" s="1"/>
  <c r="X32" i="26"/>
  <c r="W32" i="26"/>
  <c r="V32" i="26"/>
  <c r="AB32" i="26" s="1"/>
  <c r="X31" i="26"/>
  <c r="W31" i="26"/>
  <c r="AC31" i="26" s="1"/>
  <c r="V31" i="26"/>
  <c r="AB31" i="26" s="1"/>
  <c r="X30" i="26"/>
  <c r="W30" i="26"/>
  <c r="V30" i="26"/>
  <c r="AB30" i="26" s="1"/>
  <c r="X29" i="26"/>
  <c r="W29" i="26"/>
  <c r="V29" i="26"/>
  <c r="AB29" i="26" s="1"/>
  <c r="X28" i="26"/>
  <c r="W28" i="26"/>
  <c r="V28" i="26"/>
  <c r="AB28" i="26" s="1"/>
  <c r="X27" i="26"/>
  <c r="W27" i="26"/>
  <c r="AC27" i="26" s="1"/>
  <c r="V27" i="26"/>
  <c r="AB27" i="26" s="1"/>
  <c r="X26" i="26"/>
  <c r="W26" i="26"/>
  <c r="V26" i="26"/>
  <c r="AB26" i="26" s="1"/>
  <c r="AE553" i="25"/>
  <c r="AE552" i="25"/>
  <c r="AE551" i="25"/>
  <c r="AE550" i="25"/>
  <c r="AE549" i="25"/>
  <c r="AE548" i="25"/>
  <c r="AE547" i="25"/>
  <c r="AE546" i="25"/>
  <c r="AE545" i="25"/>
  <c r="AE544" i="25"/>
  <c r="AE543" i="25"/>
  <c r="AE542" i="25"/>
  <c r="AE541" i="25"/>
  <c r="AD541" i="25"/>
  <c r="AC541" i="25"/>
  <c r="AE540" i="25"/>
  <c r="AD540" i="25"/>
  <c r="AC540" i="25"/>
  <c r="AE539" i="25"/>
  <c r="AD539" i="25"/>
  <c r="AC539" i="25"/>
  <c r="AE538" i="25"/>
  <c r="AD538" i="25"/>
  <c r="AC538" i="25"/>
  <c r="AE537" i="25"/>
  <c r="AD537" i="25"/>
  <c r="AC537" i="25"/>
  <c r="AE536" i="25"/>
  <c r="AD536" i="25"/>
  <c r="AC536" i="25"/>
  <c r="AE535" i="25"/>
  <c r="AD535" i="25"/>
  <c r="AC535" i="25"/>
  <c r="AE534" i="25"/>
  <c r="AD534" i="25"/>
  <c r="AC534" i="25"/>
  <c r="AE533" i="25"/>
  <c r="AD533" i="25"/>
  <c r="AC533" i="25"/>
  <c r="AE532" i="25"/>
  <c r="AD532" i="25"/>
  <c r="AC532" i="25"/>
  <c r="AE531" i="25"/>
  <c r="AD531" i="25"/>
  <c r="AC531" i="25"/>
  <c r="AE530" i="25"/>
  <c r="AD530" i="25"/>
  <c r="AC530" i="25"/>
  <c r="AE529" i="25"/>
  <c r="AE528" i="25"/>
  <c r="AE527" i="25"/>
  <c r="AE526" i="25"/>
  <c r="AE525" i="25"/>
  <c r="AE524" i="25"/>
  <c r="AE523" i="25"/>
  <c r="AE522" i="25"/>
  <c r="AE521" i="25"/>
  <c r="AE520" i="25"/>
  <c r="AE519" i="25"/>
  <c r="AE518" i="25"/>
  <c r="AE517" i="25"/>
  <c r="AE516" i="25"/>
  <c r="AE515" i="25"/>
  <c r="AE514" i="25"/>
  <c r="AE513" i="25"/>
  <c r="AE512" i="25"/>
  <c r="AE511" i="25"/>
  <c r="AE510" i="25"/>
  <c r="AE509" i="25"/>
  <c r="AE508" i="25"/>
  <c r="AE507" i="25"/>
  <c r="AE506" i="25"/>
  <c r="AE505" i="25"/>
  <c r="AE504" i="25"/>
  <c r="AE503" i="25"/>
  <c r="AE502" i="25"/>
  <c r="AE501" i="25"/>
  <c r="AE500" i="25"/>
  <c r="AE499" i="25"/>
  <c r="AE498" i="25"/>
  <c r="AE497" i="25"/>
  <c r="AE496" i="25"/>
  <c r="AE495" i="25"/>
  <c r="AE494" i="25"/>
  <c r="AE493" i="25"/>
  <c r="AE492" i="25"/>
  <c r="AE491" i="25"/>
  <c r="AE490" i="25"/>
  <c r="AE489" i="25"/>
  <c r="AE488" i="25"/>
  <c r="AE487" i="25"/>
  <c r="AE486" i="25"/>
  <c r="AE485" i="25"/>
  <c r="AE484" i="25"/>
  <c r="AE483" i="25"/>
  <c r="AE482" i="25"/>
  <c r="AE481" i="25"/>
  <c r="AE480" i="25"/>
  <c r="AE479" i="25"/>
  <c r="AE478" i="25"/>
  <c r="AE477" i="25"/>
  <c r="AE476" i="25"/>
  <c r="AE475" i="25"/>
  <c r="AE474" i="25"/>
  <c r="AE473" i="25"/>
  <c r="AE472" i="25"/>
  <c r="AE471" i="25"/>
  <c r="AE470" i="25"/>
  <c r="AE469" i="25"/>
  <c r="AE468" i="25"/>
  <c r="AE467" i="25"/>
  <c r="AE466" i="25"/>
  <c r="AE465" i="25"/>
  <c r="AE464" i="25"/>
  <c r="AE463" i="25"/>
  <c r="AE462" i="25"/>
  <c r="AE461" i="25"/>
  <c r="AE460" i="25"/>
  <c r="AE459" i="25"/>
  <c r="AE458" i="25"/>
  <c r="AE457" i="25"/>
  <c r="AE456" i="25"/>
  <c r="AE455" i="25"/>
  <c r="AE454" i="25"/>
  <c r="AE453" i="25"/>
  <c r="AE452" i="25"/>
  <c r="AE451" i="25"/>
  <c r="AE450" i="25"/>
  <c r="AE449" i="25"/>
  <c r="AE448" i="25"/>
  <c r="AE447" i="25"/>
  <c r="AE446" i="25"/>
  <c r="AE445" i="25"/>
  <c r="AE444" i="25"/>
  <c r="AE443" i="25"/>
  <c r="AE442" i="25"/>
  <c r="AE441" i="25"/>
  <c r="AE440" i="25"/>
  <c r="AE439" i="25"/>
  <c r="AE438" i="25"/>
  <c r="AE437" i="25"/>
  <c r="AE436" i="25"/>
  <c r="AE435" i="25"/>
  <c r="AE434" i="25"/>
  <c r="AE433" i="25"/>
  <c r="AE432" i="25"/>
  <c r="AE431" i="25"/>
  <c r="AE430" i="25"/>
  <c r="AE429" i="25"/>
  <c r="AE428" i="25"/>
  <c r="AE427" i="25"/>
  <c r="AE426" i="25"/>
  <c r="AE425" i="25"/>
  <c r="AE424" i="25"/>
  <c r="AE423" i="25"/>
  <c r="AE422" i="25"/>
  <c r="AE421" i="25"/>
  <c r="AE420" i="25"/>
  <c r="AE419" i="25"/>
  <c r="AE418" i="25"/>
  <c r="AE417" i="25"/>
  <c r="AE416" i="25"/>
  <c r="AE415" i="25"/>
  <c r="AE414" i="25"/>
  <c r="AE413" i="25"/>
  <c r="AE412" i="25"/>
  <c r="AE411" i="25"/>
  <c r="AE410" i="25"/>
  <c r="AE409" i="25"/>
  <c r="AE408" i="25"/>
  <c r="AE407" i="25"/>
  <c r="AE406" i="25"/>
  <c r="AE405" i="25"/>
  <c r="AE404" i="25"/>
  <c r="AE403" i="25"/>
  <c r="AE402" i="25"/>
  <c r="AE401" i="25"/>
  <c r="AE400" i="25"/>
  <c r="AE399" i="25"/>
  <c r="AE398" i="25"/>
  <c r="AE397" i="25"/>
  <c r="AE396" i="25"/>
  <c r="AE395" i="25"/>
  <c r="AE394" i="25"/>
  <c r="AE393" i="25"/>
  <c r="AE392" i="25"/>
  <c r="AE391" i="25"/>
  <c r="AE390" i="25"/>
  <c r="AE389" i="25"/>
  <c r="AE388" i="25"/>
  <c r="AE387" i="25"/>
  <c r="AE386" i="25"/>
  <c r="AE385" i="25"/>
  <c r="AE384" i="25"/>
  <c r="AE383" i="25"/>
  <c r="AE382" i="25"/>
  <c r="AE381" i="25"/>
  <c r="AE380" i="25"/>
  <c r="AE379" i="25"/>
  <c r="AE378" i="25"/>
  <c r="AE377" i="25"/>
  <c r="AE376" i="25"/>
  <c r="AE375" i="25"/>
  <c r="AE374" i="25"/>
  <c r="AE373" i="25"/>
  <c r="AE372" i="25"/>
  <c r="AE371" i="25"/>
  <c r="AE370" i="25"/>
  <c r="AE369" i="25"/>
  <c r="AE368" i="25"/>
  <c r="AE367" i="25"/>
  <c r="AE366" i="25"/>
  <c r="AE365" i="25"/>
  <c r="AE364" i="25"/>
  <c r="AE363" i="25"/>
  <c r="AE362" i="25"/>
  <c r="AE361" i="25"/>
  <c r="AE360" i="25"/>
  <c r="AE359" i="25"/>
  <c r="AE358" i="25"/>
  <c r="AE357" i="25"/>
  <c r="AE356" i="25"/>
  <c r="AE355" i="25"/>
  <c r="AE354" i="25"/>
  <c r="AE353" i="25"/>
  <c r="AE352" i="25"/>
  <c r="AE351" i="25"/>
  <c r="AE350" i="25"/>
  <c r="AD350" i="25"/>
  <c r="AE349" i="25"/>
  <c r="AE348" i="25"/>
  <c r="AE347" i="25"/>
  <c r="AE346" i="25"/>
  <c r="AE345" i="25"/>
  <c r="AE344" i="25"/>
  <c r="AE343" i="25"/>
  <c r="AE342" i="25"/>
  <c r="AE341" i="25"/>
  <c r="AB341" i="25"/>
  <c r="AE340" i="25"/>
  <c r="AE339" i="25"/>
  <c r="AE338" i="25"/>
  <c r="AE337" i="25"/>
  <c r="AE336" i="25"/>
  <c r="AE335" i="25"/>
  <c r="AE334" i="25"/>
  <c r="AE333" i="25"/>
  <c r="AE332" i="25"/>
  <c r="AB332" i="25"/>
  <c r="AE331" i="25"/>
  <c r="AE330" i="25"/>
  <c r="AE329" i="25"/>
  <c r="AE328" i="25"/>
  <c r="AE327" i="25"/>
  <c r="AE326" i="25"/>
  <c r="AE325" i="25"/>
  <c r="AE324" i="25"/>
  <c r="AE323" i="25"/>
  <c r="AE322" i="25"/>
  <c r="AE321" i="25"/>
  <c r="AE320" i="25"/>
  <c r="AE319" i="25"/>
  <c r="AE318" i="25"/>
  <c r="AD318" i="25"/>
  <c r="AE317" i="25"/>
  <c r="AE316" i="25"/>
  <c r="AE315" i="25"/>
  <c r="AE314" i="25"/>
  <c r="AE313" i="25"/>
  <c r="AE312" i="25"/>
  <c r="AE311" i="25"/>
  <c r="AE310" i="25"/>
  <c r="AE309" i="25"/>
  <c r="AB309" i="25"/>
  <c r="AE308" i="25"/>
  <c r="AE307" i="25"/>
  <c r="AE306" i="25"/>
  <c r="AE305" i="25"/>
  <c r="AE304" i="25"/>
  <c r="AE303" i="25"/>
  <c r="AE302" i="25"/>
  <c r="AE301" i="25"/>
  <c r="AE300" i="25"/>
  <c r="AE299" i="25"/>
  <c r="AE298" i="25"/>
  <c r="AE297" i="25"/>
  <c r="AE296" i="25"/>
  <c r="AE295" i="25"/>
  <c r="AE294" i="25"/>
  <c r="AE293" i="25"/>
  <c r="AE292" i="25"/>
  <c r="AE291" i="25"/>
  <c r="AE290" i="25"/>
  <c r="AE289" i="25"/>
  <c r="AE288" i="25"/>
  <c r="AE287" i="25"/>
  <c r="AE286" i="25"/>
  <c r="AE285" i="25"/>
  <c r="AE284" i="25"/>
  <c r="AE283" i="25"/>
  <c r="AE282" i="25"/>
  <c r="AE281" i="25"/>
  <c r="AE280" i="25"/>
  <c r="AE279" i="25"/>
  <c r="AE278" i="25"/>
  <c r="AE277" i="25"/>
  <c r="AE276" i="25"/>
  <c r="AE275" i="25"/>
  <c r="AE274" i="25"/>
  <c r="AE273" i="25"/>
  <c r="AE272" i="25"/>
  <c r="AE271" i="25"/>
  <c r="AE270" i="25"/>
  <c r="AE269" i="25"/>
  <c r="AE268" i="25"/>
  <c r="AE267" i="25"/>
  <c r="AE266" i="25"/>
  <c r="AE265" i="25"/>
  <c r="AE264" i="25"/>
  <c r="AE263" i="25"/>
  <c r="AE262" i="25"/>
  <c r="AE261" i="25"/>
  <c r="AE260" i="25"/>
  <c r="AE259" i="25"/>
  <c r="AE258" i="25"/>
  <c r="AE257" i="25"/>
  <c r="AE256" i="25"/>
  <c r="AE255" i="25"/>
  <c r="AE254" i="25"/>
  <c r="AE253" i="25"/>
  <c r="AE252" i="25"/>
  <c r="AE251" i="25"/>
  <c r="AE250" i="25"/>
  <c r="AE249" i="25"/>
  <c r="AE248" i="25"/>
  <c r="AE247" i="25"/>
  <c r="AE246" i="25"/>
  <c r="AE245" i="25"/>
  <c r="AE244" i="25"/>
  <c r="AE243" i="25"/>
  <c r="AE242" i="25"/>
  <c r="AE241" i="25"/>
  <c r="AA9" i="30" s="1"/>
  <c r="AE240" i="25"/>
  <c r="AD240" i="25"/>
  <c r="AC240" i="25"/>
  <c r="AE239" i="25"/>
  <c r="AD239" i="25"/>
  <c r="AC239" i="25"/>
  <c r="AE238" i="25"/>
  <c r="AD238" i="25"/>
  <c r="AC238" i="25"/>
  <c r="AE237" i="25"/>
  <c r="AD237" i="25"/>
  <c r="AE236" i="25"/>
  <c r="AD236" i="25"/>
  <c r="AC236" i="25"/>
  <c r="AE235" i="25"/>
  <c r="AD235" i="25"/>
  <c r="AC235" i="25"/>
  <c r="AE234" i="25"/>
  <c r="AD234" i="25"/>
  <c r="AC234" i="25"/>
  <c r="AE233" i="25"/>
  <c r="AD233" i="25"/>
  <c r="AC233" i="25"/>
  <c r="AE232" i="25"/>
  <c r="AD232" i="25"/>
  <c r="AC232" i="25"/>
  <c r="AE231" i="25"/>
  <c r="AD231" i="25"/>
  <c r="AC231" i="25"/>
  <c r="AE230" i="25"/>
  <c r="AD230" i="25"/>
  <c r="AC230" i="25"/>
  <c r="AG229" i="25"/>
  <c r="AF229" i="25"/>
  <c r="AB229" i="25"/>
  <c r="AG228" i="25"/>
  <c r="AF228" i="25"/>
  <c r="AB228" i="25"/>
  <c r="AG227" i="25"/>
  <c r="AF227" i="25"/>
  <c r="AB227" i="25"/>
  <c r="AG226" i="25"/>
  <c r="AF226" i="25"/>
  <c r="AB226" i="25"/>
  <c r="AG225" i="25"/>
  <c r="AF225" i="25"/>
  <c r="AB225" i="25"/>
  <c r="AG224" i="25"/>
  <c r="AF224" i="25"/>
  <c r="AG223" i="25"/>
  <c r="AF223" i="25"/>
  <c r="AB223" i="25"/>
  <c r="AG222" i="25"/>
  <c r="AF222" i="25"/>
  <c r="AB222" i="25"/>
  <c r="AG221" i="25"/>
  <c r="AF221" i="25"/>
  <c r="AB221" i="25"/>
  <c r="AG220" i="25"/>
  <c r="AF220" i="25"/>
  <c r="AB220" i="25"/>
  <c r="AG219" i="25"/>
  <c r="AF219" i="25"/>
  <c r="AB219" i="25"/>
  <c r="AG218" i="25"/>
  <c r="AF218" i="25"/>
  <c r="AB218" i="25"/>
  <c r="AE217" i="25"/>
  <c r="AD217" i="25"/>
  <c r="AC217" i="25"/>
  <c r="AE216" i="25"/>
  <c r="AD216" i="25"/>
  <c r="AC216" i="25"/>
  <c r="AE215" i="25"/>
  <c r="AC215" i="25"/>
  <c r="AE214" i="25"/>
  <c r="AD214" i="25"/>
  <c r="AC214" i="25"/>
  <c r="AE213" i="25"/>
  <c r="AD213" i="25"/>
  <c r="AC213" i="25"/>
  <c r="AE212" i="25"/>
  <c r="AD212" i="25"/>
  <c r="AC212" i="25"/>
  <c r="AE211" i="25"/>
  <c r="AD211" i="25"/>
  <c r="AC211" i="25"/>
  <c r="AE210" i="25"/>
  <c r="AD210" i="25"/>
  <c r="AC210" i="25"/>
  <c r="AE209" i="25"/>
  <c r="AD209" i="25"/>
  <c r="AC209" i="25"/>
  <c r="AE208" i="25"/>
  <c r="AD208" i="25"/>
  <c r="AC208" i="25"/>
  <c r="AE207" i="25"/>
  <c r="AD207" i="25"/>
  <c r="AC207" i="25"/>
  <c r="AE206" i="25"/>
  <c r="AC206" i="25"/>
  <c r="AE205" i="25"/>
  <c r="AD205" i="25"/>
  <c r="AC205" i="25"/>
  <c r="AE204" i="25"/>
  <c r="AD204" i="25"/>
  <c r="AC204" i="25"/>
  <c r="AE203" i="25"/>
  <c r="AD203" i="25"/>
  <c r="AC203" i="25"/>
  <c r="AE202" i="25"/>
  <c r="AD202" i="25"/>
  <c r="AE201" i="25"/>
  <c r="AD201" i="25"/>
  <c r="AC201" i="25"/>
  <c r="AE200" i="25"/>
  <c r="AD200" i="25"/>
  <c r="AC200" i="25"/>
  <c r="AE199" i="25"/>
  <c r="AC199" i="25"/>
  <c r="AE198" i="25"/>
  <c r="AD198" i="25"/>
  <c r="AC198" i="25"/>
  <c r="AE197" i="25"/>
  <c r="AD197" i="25"/>
  <c r="AC197" i="25"/>
  <c r="AE196" i="25"/>
  <c r="AD196" i="25"/>
  <c r="AC196" i="25"/>
  <c r="AE195" i="25"/>
  <c r="AD195" i="25"/>
  <c r="AC195" i="25"/>
  <c r="AE194" i="25"/>
  <c r="AD194" i="25"/>
  <c r="AC194" i="25"/>
  <c r="AE193" i="25"/>
  <c r="AD193" i="25"/>
  <c r="AC193" i="25"/>
  <c r="AE192" i="25"/>
  <c r="AD192" i="25"/>
  <c r="AC192" i="25"/>
  <c r="AE191" i="25"/>
  <c r="AD191" i="25"/>
  <c r="AC191" i="25"/>
  <c r="AE190" i="25"/>
  <c r="AC190" i="25"/>
  <c r="AE189" i="25"/>
  <c r="AD189" i="25"/>
  <c r="AC189" i="25"/>
  <c r="AE188" i="25"/>
  <c r="AD188" i="25"/>
  <c r="AC188" i="25"/>
  <c r="AE187" i="25"/>
  <c r="AD187" i="25"/>
  <c r="AC187" i="25"/>
  <c r="AE186" i="25"/>
  <c r="AD186" i="25"/>
  <c r="AE185" i="25"/>
  <c r="AD185" i="25"/>
  <c r="AC185" i="25"/>
  <c r="AG184" i="25"/>
  <c r="AF184" i="25"/>
  <c r="AB184" i="25"/>
  <c r="AG183" i="25"/>
  <c r="AF183" i="25"/>
  <c r="AB183" i="25"/>
  <c r="AG182" i="25"/>
  <c r="AF182" i="25"/>
  <c r="AB182" i="25"/>
  <c r="AG181" i="25"/>
  <c r="AF181" i="25"/>
  <c r="AB181" i="25"/>
  <c r="AG180" i="25"/>
  <c r="AF180" i="25"/>
  <c r="AB180" i="25"/>
  <c r="AG179" i="25"/>
  <c r="AF179" i="25"/>
  <c r="AB179" i="25"/>
  <c r="AG178" i="25"/>
  <c r="AF178" i="25"/>
  <c r="AB178" i="25"/>
  <c r="AG177" i="25"/>
  <c r="AF177" i="25"/>
  <c r="AB177" i="25"/>
  <c r="AG176" i="25"/>
  <c r="AF176" i="25"/>
  <c r="AB176" i="25"/>
  <c r="AG175" i="25"/>
  <c r="AF175" i="25"/>
  <c r="AC175" i="25"/>
  <c r="AG174" i="25"/>
  <c r="AF174" i="25"/>
  <c r="AB174" i="25"/>
  <c r="AG173" i="25"/>
  <c r="AF173" i="25"/>
  <c r="AB173" i="25"/>
  <c r="AG172" i="25"/>
  <c r="AF172" i="25"/>
  <c r="AB172" i="25"/>
  <c r="AG171" i="25"/>
  <c r="AF171" i="25"/>
  <c r="AB171" i="25"/>
  <c r="AG170" i="25"/>
  <c r="AF170" i="25"/>
  <c r="AB170" i="25"/>
  <c r="AG169" i="25"/>
  <c r="AF169" i="25"/>
  <c r="AB169" i="25"/>
  <c r="AG168" i="25"/>
  <c r="AF168" i="25"/>
  <c r="AB168" i="25"/>
  <c r="AG167" i="25"/>
  <c r="AF167" i="25"/>
  <c r="AB167" i="25"/>
  <c r="AG166" i="25"/>
  <c r="AF166" i="25"/>
  <c r="AB166" i="25"/>
  <c r="AG165" i="25"/>
  <c r="AF165" i="25"/>
  <c r="AB165" i="25"/>
  <c r="AG164" i="25"/>
  <c r="AF164" i="25"/>
  <c r="AB164" i="25"/>
  <c r="AG163" i="25"/>
  <c r="AF163" i="25"/>
  <c r="AB163" i="25"/>
  <c r="AG162" i="25"/>
  <c r="AF162" i="25"/>
  <c r="AG161" i="25"/>
  <c r="AF161" i="25"/>
  <c r="AB161" i="25"/>
  <c r="AE160" i="25"/>
  <c r="AD160" i="25"/>
  <c r="AC160" i="25"/>
  <c r="AE159" i="25"/>
  <c r="AD159" i="25"/>
  <c r="AC159" i="25"/>
  <c r="AE158" i="25"/>
  <c r="AD158" i="25"/>
  <c r="AC158" i="25"/>
  <c r="AE157" i="25"/>
  <c r="AD157" i="25"/>
  <c r="AC157" i="25"/>
  <c r="AE156" i="25"/>
  <c r="AD156" i="25"/>
  <c r="AC156" i="25"/>
  <c r="AE155" i="25"/>
  <c r="AD155" i="25"/>
  <c r="AC155" i="25"/>
  <c r="AE154" i="25"/>
  <c r="AC154" i="25"/>
  <c r="AE153" i="25"/>
  <c r="AD153" i="25"/>
  <c r="AC153" i="25"/>
  <c r="AE152" i="25"/>
  <c r="AD152" i="25"/>
  <c r="AC152" i="25"/>
  <c r="AE151" i="25"/>
  <c r="AD151" i="25"/>
  <c r="AC151" i="25"/>
  <c r="AE150" i="25"/>
  <c r="AD150" i="25"/>
  <c r="AB150" i="25"/>
  <c r="AE149" i="25"/>
  <c r="AD149" i="25"/>
  <c r="AC149" i="25"/>
  <c r="AE148" i="25"/>
  <c r="AD148" i="25"/>
  <c r="AC148" i="25"/>
  <c r="AE147" i="25"/>
  <c r="AC147" i="25"/>
  <c r="AE146" i="25"/>
  <c r="AD146" i="25"/>
  <c r="AC146" i="25"/>
  <c r="AE145" i="25"/>
  <c r="AD145" i="25"/>
  <c r="AC145" i="25"/>
  <c r="AE144" i="25"/>
  <c r="AD144" i="25"/>
  <c r="AC144" i="25"/>
  <c r="AE143" i="25"/>
  <c r="AD143" i="25"/>
  <c r="AC143" i="25"/>
  <c r="AE142" i="25"/>
  <c r="AD142" i="25"/>
  <c r="AC142" i="25"/>
  <c r="AE141" i="25"/>
  <c r="AD141" i="25"/>
  <c r="AC141" i="25"/>
  <c r="AE140" i="25"/>
  <c r="AD140" i="25"/>
  <c r="AC140" i="25"/>
  <c r="AE139" i="25"/>
  <c r="AD139" i="25"/>
  <c r="AC139" i="25"/>
  <c r="AE138" i="25"/>
  <c r="AD138" i="25"/>
  <c r="AC138" i="25"/>
  <c r="AE137" i="25"/>
  <c r="AE136" i="25"/>
  <c r="AD136" i="25"/>
  <c r="AE135" i="25"/>
  <c r="AE134" i="25"/>
  <c r="AE133" i="25"/>
  <c r="AE132" i="25"/>
  <c r="AD132" i="25"/>
  <c r="AE131" i="25"/>
  <c r="AE130" i="25"/>
  <c r="AE129" i="25"/>
  <c r="AD129" i="25"/>
  <c r="AE128" i="25"/>
  <c r="AE127" i="25"/>
  <c r="AE126" i="25"/>
  <c r="AE125" i="25"/>
  <c r="AE124" i="25"/>
  <c r="AE123" i="25"/>
  <c r="AE122" i="25"/>
  <c r="AE121" i="25"/>
  <c r="AE120" i="25"/>
  <c r="AE119" i="25"/>
  <c r="AE118" i="25"/>
  <c r="AG117" i="25"/>
  <c r="AF117" i="25"/>
  <c r="AG116" i="25"/>
  <c r="AF116" i="25"/>
  <c r="AG115" i="25"/>
  <c r="AF115" i="25"/>
  <c r="AD115" i="25"/>
  <c r="AG114" i="25"/>
  <c r="AF114" i="25"/>
  <c r="AG113" i="25"/>
  <c r="AF113" i="25"/>
  <c r="AG112" i="25"/>
  <c r="AF112" i="25"/>
  <c r="AC112" i="25"/>
  <c r="AG111" i="25"/>
  <c r="AF111" i="25"/>
  <c r="AG110" i="25"/>
  <c r="AF110" i="25"/>
  <c r="AG109" i="25"/>
  <c r="AF109" i="25"/>
  <c r="AG108" i="25"/>
  <c r="AF108" i="25"/>
  <c r="AG107" i="25"/>
  <c r="AF107" i="25"/>
  <c r="AD107" i="25"/>
  <c r="AG106" i="25"/>
  <c r="AF106" i="25"/>
  <c r="AG105" i="25"/>
  <c r="AF105" i="25"/>
  <c r="AG104" i="25"/>
  <c r="AF104" i="25"/>
  <c r="AC104" i="25"/>
  <c r="AG103" i="25"/>
  <c r="AF103" i="25"/>
  <c r="AG102" i="25"/>
  <c r="AF102" i="25"/>
  <c r="AG101" i="25"/>
  <c r="AF101" i="25"/>
  <c r="AG100" i="25"/>
  <c r="AF100" i="25"/>
  <c r="AG99" i="25"/>
  <c r="AF99" i="25"/>
  <c r="AD99" i="25"/>
  <c r="AG98" i="25"/>
  <c r="AF98" i="25"/>
  <c r="AG97" i="25"/>
  <c r="AF97" i="25"/>
  <c r="AG96" i="25"/>
  <c r="AF96" i="25"/>
  <c r="AC96" i="25"/>
  <c r="AG95" i="25"/>
  <c r="AF95" i="25"/>
  <c r="AG94" i="25"/>
  <c r="AF94" i="25"/>
  <c r="AE93" i="25"/>
  <c r="AE92" i="25"/>
  <c r="AE91" i="25"/>
  <c r="AE90" i="25"/>
  <c r="AE89" i="25"/>
  <c r="AE88" i="25"/>
  <c r="AE87" i="25"/>
  <c r="AE86" i="25"/>
  <c r="AE85" i="25"/>
  <c r="AE84" i="25"/>
  <c r="AE83" i="25"/>
  <c r="AE82" i="25"/>
  <c r="AE81" i="25"/>
  <c r="AE80" i="25"/>
  <c r="AE79" i="25"/>
  <c r="AE78" i="25"/>
  <c r="AE77" i="25"/>
  <c r="AE76" i="25"/>
  <c r="AE75" i="25"/>
  <c r="AE74" i="25"/>
  <c r="AE73" i="25"/>
  <c r="AE72" i="25"/>
  <c r="AE71" i="25"/>
  <c r="AE70" i="25"/>
  <c r="AE69" i="25"/>
  <c r="AE68" i="25"/>
  <c r="AE67" i="25"/>
  <c r="AE66" i="25"/>
  <c r="AE65" i="25"/>
  <c r="AE64" i="25"/>
  <c r="AE63" i="25"/>
  <c r="AE62" i="25"/>
  <c r="AG61" i="25"/>
  <c r="AF61" i="25"/>
  <c r="AG60" i="25"/>
  <c r="AF60" i="25"/>
  <c r="AG59" i="25"/>
  <c r="AF59" i="25"/>
  <c r="AD59" i="25"/>
  <c r="AG58" i="25"/>
  <c r="AF58" i="25"/>
  <c r="AG57" i="25"/>
  <c r="AF57" i="25"/>
  <c r="AG56" i="25"/>
  <c r="AF56" i="25"/>
  <c r="AC56" i="25"/>
  <c r="AG55" i="25"/>
  <c r="AF55" i="25"/>
  <c r="AG54" i="25"/>
  <c r="AF54" i="25"/>
  <c r="AG53" i="25"/>
  <c r="AF53" i="25"/>
  <c r="AG52" i="25"/>
  <c r="AF52" i="25"/>
  <c r="AG51" i="25"/>
  <c r="AF51" i="25"/>
  <c r="AD51" i="25"/>
  <c r="AG50" i="25"/>
  <c r="AF50" i="25"/>
  <c r="AE49" i="25"/>
  <c r="AE48" i="25"/>
  <c r="AE47" i="25"/>
  <c r="AE46" i="25"/>
  <c r="AE45" i="25"/>
  <c r="AE44" i="25"/>
  <c r="AE43" i="25"/>
  <c r="AE42" i="25"/>
  <c r="AE41" i="25"/>
  <c r="AE40" i="25"/>
  <c r="AE39" i="25"/>
  <c r="AE38" i="25"/>
  <c r="AG37" i="25"/>
  <c r="AF37" i="25"/>
  <c r="AG36" i="25"/>
  <c r="AF36" i="25"/>
  <c r="AC36" i="25"/>
  <c r="AG35" i="25"/>
  <c r="AF35" i="25"/>
  <c r="AG34" i="25"/>
  <c r="AF34" i="25"/>
  <c r="AG33" i="25"/>
  <c r="AF33" i="25"/>
  <c r="AB33" i="25"/>
  <c r="AG32" i="25"/>
  <c r="AF32" i="25"/>
  <c r="AG31" i="25"/>
  <c r="AF31" i="25"/>
  <c r="AG30" i="25"/>
  <c r="AF30" i="25"/>
  <c r="AG29" i="25"/>
  <c r="AF29" i="25"/>
  <c r="AG28" i="25"/>
  <c r="AF28" i="25"/>
  <c r="AC28" i="25"/>
  <c r="AG27" i="25"/>
  <c r="AF27" i="25"/>
  <c r="AG26" i="25"/>
  <c r="AF26" i="25"/>
  <c r="AD25" i="25"/>
  <c r="AC25" i="25"/>
  <c r="AB25" i="25"/>
  <c r="AD24" i="25"/>
  <c r="AC24" i="25"/>
  <c r="AB24" i="25"/>
  <c r="AD23" i="25"/>
  <c r="AC23" i="25"/>
  <c r="AB23" i="25"/>
  <c r="AD22" i="25"/>
  <c r="AC22" i="25"/>
  <c r="AB22" i="25"/>
  <c r="AD21" i="25"/>
  <c r="AC21" i="25"/>
  <c r="AB21" i="25"/>
  <c r="AD20" i="25"/>
  <c r="AC20" i="25"/>
  <c r="AB20" i="25"/>
  <c r="AD19" i="25"/>
  <c r="AC19" i="25"/>
  <c r="AB19" i="25"/>
  <c r="AD18" i="25"/>
  <c r="AC18" i="25"/>
  <c r="AB18" i="25"/>
  <c r="AD17" i="25"/>
  <c r="AC17" i="25"/>
  <c r="AB17" i="25"/>
  <c r="AD16" i="25"/>
  <c r="AC16" i="25"/>
  <c r="AB16" i="25"/>
  <c r="AD15" i="25"/>
  <c r="AC15" i="25"/>
  <c r="AB15" i="25"/>
  <c r="AD14" i="25"/>
  <c r="AC14" i="25"/>
  <c r="AB14" i="25"/>
  <c r="AD13" i="25"/>
  <c r="AC13" i="25"/>
  <c r="AB13" i="25"/>
  <c r="AD12" i="25"/>
  <c r="AC12" i="25"/>
  <c r="AB12" i="25"/>
  <c r="AD11" i="25"/>
  <c r="AC11" i="25"/>
  <c r="AB11" i="25"/>
  <c r="AD10" i="25"/>
  <c r="AC10" i="25"/>
  <c r="AB10" i="25"/>
  <c r="AD9" i="25"/>
  <c r="AC9" i="25"/>
  <c r="AB9" i="25"/>
  <c r="AD8" i="25"/>
  <c r="AC8" i="25"/>
  <c r="AB8" i="25"/>
  <c r="AD7" i="25"/>
  <c r="AC7" i="25"/>
  <c r="AB7" i="25"/>
  <c r="AD6" i="25"/>
  <c r="AC6" i="25"/>
  <c r="AB6" i="25"/>
  <c r="AD5" i="25"/>
  <c r="AC5" i="25"/>
  <c r="AB5" i="25"/>
  <c r="AD4" i="25"/>
  <c r="AC4" i="25"/>
  <c r="AB4" i="25"/>
  <c r="AD3" i="25"/>
  <c r="AC3" i="25"/>
  <c r="AB3" i="25"/>
  <c r="AD2" i="25"/>
  <c r="AC2" i="25"/>
  <c r="AB2" i="25"/>
  <c r="X553" i="25"/>
  <c r="AD553" i="25" s="1"/>
  <c r="W553" i="25"/>
  <c r="AC553" i="25" s="1"/>
  <c r="V553" i="25"/>
  <c r="AB553" i="25" s="1"/>
  <c r="X552" i="25"/>
  <c r="AD552" i="25" s="1"/>
  <c r="W552" i="25"/>
  <c r="AC552" i="25" s="1"/>
  <c r="V552" i="25"/>
  <c r="AB552" i="25" s="1"/>
  <c r="X551" i="25"/>
  <c r="AD551" i="25" s="1"/>
  <c r="W551" i="25"/>
  <c r="AC551" i="25" s="1"/>
  <c r="V551" i="25"/>
  <c r="AB551" i="25" s="1"/>
  <c r="X550" i="25"/>
  <c r="AD550" i="25" s="1"/>
  <c r="W550" i="25"/>
  <c r="AC550" i="25" s="1"/>
  <c r="V550" i="25"/>
  <c r="AB550" i="25" s="1"/>
  <c r="X549" i="25"/>
  <c r="AD549" i="25" s="1"/>
  <c r="W549" i="25"/>
  <c r="AC549" i="25" s="1"/>
  <c r="V549" i="25"/>
  <c r="AB549" i="25" s="1"/>
  <c r="X548" i="25"/>
  <c r="AD548" i="25" s="1"/>
  <c r="W548" i="25"/>
  <c r="AC548" i="25" s="1"/>
  <c r="V548" i="25"/>
  <c r="AB548" i="25" s="1"/>
  <c r="X547" i="25"/>
  <c r="AD547" i="25" s="1"/>
  <c r="W547" i="25"/>
  <c r="AC547" i="25" s="1"/>
  <c r="V547" i="25"/>
  <c r="AB547" i="25" s="1"/>
  <c r="X546" i="25"/>
  <c r="AD546" i="25" s="1"/>
  <c r="W546" i="25"/>
  <c r="AC546" i="25" s="1"/>
  <c r="V546" i="25"/>
  <c r="AB546" i="25" s="1"/>
  <c r="X545" i="25"/>
  <c r="AD545" i="25" s="1"/>
  <c r="W545" i="25"/>
  <c r="AC545" i="25" s="1"/>
  <c r="V545" i="25"/>
  <c r="AB545" i="25" s="1"/>
  <c r="X544" i="25"/>
  <c r="AD544" i="25" s="1"/>
  <c r="W544" i="25"/>
  <c r="AC544" i="25" s="1"/>
  <c r="V544" i="25"/>
  <c r="AB544" i="25" s="1"/>
  <c r="X543" i="25"/>
  <c r="AD543" i="25" s="1"/>
  <c r="W543" i="25"/>
  <c r="AC543" i="25" s="1"/>
  <c r="V543" i="25"/>
  <c r="AB543" i="25" s="1"/>
  <c r="X542" i="25"/>
  <c r="AD542" i="25" s="1"/>
  <c r="W542" i="25"/>
  <c r="AC542" i="25" s="1"/>
  <c r="V542" i="25"/>
  <c r="AB542" i="25" s="1"/>
  <c r="V541" i="25"/>
  <c r="AB541" i="25" s="1"/>
  <c r="V540" i="25"/>
  <c r="AB540" i="25" s="1"/>
  <c r="V539" i="25"/>
  <c r="AB539" i="25" s="1"/>
  <c r="V538" i="25"/>
  <c r="AB538" i="25" s="1"/>
  <c r="V537" i="25"/>
  <c r="AB537" i="25" s="1"/>
  <c r="V536" i="25"/>
  <c r="AB536" i="25" s="1"/>
  <c r="V535" i="25"/>
  <c r="AB535" i="25" s="1"/>
  <c r="V534" i="25"/>
  <c r="AB534" i="25" s="1"/>
  <c r="V533" i="25"/>
  <c r="AB533" i="25" s="1"/>
  <c r="V532" i="25"/>
  <c r="AB532" i="25" s="1"/>
  <c r="V531" i="25"/>
  <c r="AB531" i="25" s="1"/>
  <c r="V530" i="25"/>
  <c r="AB530" i="25" s="1"/>
  <c r="X529" i="25"/>
  <c r="AD529" i="25" s="1"/>
  <c r="W529" i="25"/>
  <c r="AC529" i="25" s="1"/>
  <c r="V529" i="25"/>
  <c r="AB529" i="25" s="1"/>
  <c r="X528" i="25"/>
  <c r="AD528" i="25" s="1"/>
  <c r="W528" i="25"/>
  <c r="AC528" i="25" s="1"/>
  <c r="V528" i="25"/>
  <c r="AB528" i="25" s="1"/>
  <c r="X527" i="25"/>
  <c r="AD527" i="25" s="1"/>
  <c r="W527" i="25"/>
  <c r="AC527" i="25" s="1"/>
  <c r="V527" i="25"/>
  <c r="AB527" i="25" s="1"/>
  <c r="X526" i="25"/>
  <c r="AD526" i="25" s="1"/>
  <c r="W526" i="25"/>
  <c r="AC526" i="25" s="1"/>
  <c r="V526" i="25"/>
  <c r="AB526" i="25" s="1"/>
  <c r="X525" i="25"/>
  <c r="AD525" i="25" s="1"/>
  <c r="W525" i="25"/>
  <c r="AC525" i="25" s="1"/>
  <c r="V525" i="25"/>
  <c r="AB525" i="25" s="1"/>
  <c r="X524" i="25"/>
  <c r="AD524" i="25" s="1"/>
  <c r="W524" i="25"/>
  <c r="AC524" i="25" s="1"/>
  <c r="V524" i="25"/>
  <c r="AB524" i="25" s="1"/>
  <c r="X523" i="25"/>
  <c r="AD523" i="25" s="1"/>
  <c r="W523" i="25"/>
  <c r="AC523" i="25" s="1"/>
  <c r="V523" i="25"/>
  <c r="AB523" i="25" s="1"/>
  <c r="X522" i="25"/>
  <c r="AD522" i="25" s="1"/>
  <c r="W522" i="25"/>
  <c r="AC522" i="25" s="1"/>
  <c r="V522" i="25"/>
  <c r="AB522" i="25" s="1"/>
  <c r="X521" i="25"/>
  <c r="AD521" i="25" s="1"/>
  <c r="W521" i="25"/>
  <c r="AC521" i="25" s="1"/>
  <c r="V521" i="25"/>
  <c r="AB521" i="25" s="1"/>
  <c r="X520" i="25"/>
  <c r="AD520" i="25" s="1"/>
  <c r="W520" i="25"/>
  <c r="AC520" i="25" s="1"/>
  <c r="V520" i="25"/>
  <c r="AB520" i="25" s="1"/>
  <c r="X519" i="25"/>
  <c r="AD519" i="25" s="1"/>
  <c r="W519" i="25"/>
  <c r="AC519" i="25" s="1"/>
  <c r="V519" i="25"/>
  <c r="AB519" i="25" s="1"/>
  <c r="X518" i="25"/>
  <c r="AD518" i="25" s="1"/>
  <c r="W518" i="25"/>
  <c r="AC518" i="25" s="1"/>
  <c r="V518" i="25"/>
  <c r="AB518" i="25" s="1"/>
  <c r="X517" i="25"/>
  <c r="AD517" i="25" s="1"/>
  <c r="W517" i="25"/>
  <c r="AC517" i="25" s="1"/>
  <c r="V517" i="25"/>
  <c r="AB517" i="25" s="1"/>
  <c r="X516" i="25"/>
  <c r="AD516" i="25" s="1"/>
  <c r="W516" i="25"/>
  <c r="AC516" i="25" s="1"/>
  <c r="V516" i="25"/>
  <c r="AB516" i="25" s="1"/>
  <c r="X515" i="25"/>
  <c r="AD515" i="25" s="1"/>
  <c r="W515" i="25"/>
  <c r="AC515" i="25" s="1"/>
  <c r="V515" i="25"/>
  <c r="AB515" i="25" s="1"/>
  <c r="X514" i="25"/>
  <c r="AD514" i="25" s="1"/>
  <c r="W514" i="25"/>
  <c r="AC514" i="25" s="1"/>
  <c r="V514" i="25"/>
  <c r="AB514" i="25" s="1"/>
  <c r="X513" i="25"/>
  <c r="AD513" i="25" s="1"/>
  <c r="W513" i="25"/>
  <c r="AC513" i="25" s="1"/>
  <c r="V513" i="25"/>
  <c r="AB513" i="25" s="1"/>
  <c r="X512" i="25"/>
  <c r="AD512" i="25" s="1"/>
  <c r="W512" i="25"/>
  <c r="AC512" i="25" s="1"/>
  <c r="V512" i="25"/>
  <c r="AB512" i="25" s="1"/>
  <c r="X511" i="25"/>
  <c r="AD511" i="25" s="1"/>
  <c r="W511" i="25"/>
  <c r="AC511" i="25" s="1"/>
  <c r="V511" i="25"/>
  <c r="AB511" i="25" s="1"/>
  <c r="X510" i="25"/>
  <c r="AD510" i="25" s="1"/>
  <c r="W510" i="25"/>
  <c r="AC510" i="25" s="1"/>
  <c r="V510" i="25"/>
  <c r="AB510" i="25" s="1"/>
  <c r="X509" i="25"/>
  <c r="AD509" i="25" s="1"/>
  <c r="W509" i="25"/>
  <c r="AC509" i="25" s="1"/>
  <c r="V509" i="25"/>
  <c r="AB509" i="25" s="1"/>
  <c r="X508" i="25"/>
  <c r="AD508" i="25" s="1"/>
  <c r="W508" i="25"/>
  <c r="AC508" i="25" s="1"/>
  <c r="V508" i="25"/>
  <c r="AB508" i="25" s="1"/>
  <c r="X507" i="25"/>
  <c r="AD507" i="25" s="1"/>
  <c r="W507" i="25"/>
  <c r="AC507" i="25" s="1"/>
  <c r="V507" i="25"/>
  <c r="AB507" i="25" s="1"/>
  <c r="X506" i="25"/>
  <c r="AD506" i="25" s="1"/>
  <c r="W506" i="25"/>
  <c r="AC506" i="25" s="1"/>
  <c r="V506" i="25"/>
  <c r="AB506" i="25" s="1"/>
  <c r="X505" i="25"/>
  <c r="AD505" i="25" s="1"/>
  <c r="W505" i="25"/>
  <c r="AC505" i="25" s="1"/>
  <c r="V505" i="25"/>
  <c r="AB505" i="25" s="1"/>
  <c r="X504" i="25"/>
  <c r="AD504" i="25" s="1"/>
  <c r="W504" i="25"/>
  <c r="AC504" i="25" s="1"/>
  <c r="V504" i="25"/>
  <c r="AB504" i="25" s="1"/>
  <c r="X503" i="25"/>
  <c r="AD503" i="25" s="1"/>
  <c r="W503" i="25"/>
  <c r="AC503" i="25" s="1"/>
  <c r="V503" i="25"/>
  <c r="AB503" i="25" s="1"/>
  <c r="X502" i="25"/>
  <c r="AD502" i="25" s="1"/>
  <c r="W502" i="25"/>
  <c r="AC502" i="25" s="1"/>
  <c r="V502" i="25"/>
  <c r="AB502" i="25" s="1"/>
  <c r="X501" i="25"/>
  <c r="AD501" i="25" s="1"/>
  <c r="W501" i="25"/>
  <c r="AC501" i="25" s="1"/>
  <c r="V501" i="25"/>
  <c r="AB501" i="25" s="1"/>
  <c r="X500" i="25"/>
  <c r="AD500" i="25" s="1"/>
  <c r="W500" i="25"/>
  <c r="AC500" i="25" s="1"/>
  <c r="V500" i="25"/>
  <c r="AB500" i="25" s="1"/>
  <c r="X499" i="25"/>
  <c r="AD499" i="25" s="1"/>
  <c r="W499" i="25"/>
  <c r="AC499" i="25" s="1"/>
  <c r="V499" i="25"/>
  <c r="AB499" i="25" s="1"/>
  <c r="X498" i="25"/>
  <c r="AD498" i="25" s="1"/>
  <c r="W498" i="25"/>
  <c r="AC498" i="25" s="1"/>
  <c r="V498" i="25"/>
  <c r="AB498" i="25" s="1"/>
  <c r="X497" i="25"/>
  <c r="AD497" i="25" s="1"/>
  <c r="W497" i="25"/>
  <c r="AC497" i="25" s="1"/>
  <c r="V497" i="25"/>
  <c r="AB497" i="25" s="1"/>
  <c r="X496" i="25"/>
  <c r="AD496" i="25" s="1"/>
  <c r="W496" i="25"/>
  <c r="AC496" i="25" s="1"/>
  <c r="V496" i="25"/>
  <c r="AB496" i="25" s="1"/>
  <c r="X495" i="25"/>
  <c r="AD495" i="25" s="1"/>
  <c r="W495" i="25"/>
  <c r="AC495" i="25" s="1"/>
  <c r="V495" i="25"/>
  <c r="AB495" i="25" s="1"/>
  <c r="X494" i="25"/>
  <c r="AD494" i="25" s="1"/>
  <c r="W494" i="25"/>
  <c r="AC494" i="25" s="1"/>
  <c r="V494" i="25"/>
  <c r="AB494" i="25" s="1"/>
  <c r="X493" i="25"/>
  <c r="AD493" i="25" s="1"/>
  <c r="W493" i="25"/>
  <c r="AC493" i="25" s="1"/>
  <c r="V493" i="25"/>
  <c r="AB493" i="25" s="1"/>
  <c r="X492" i="25"/>
  <c r="AD492" i="25" s="1"/>
  <c r="W492" i="25"/>
  <c r="AC492" i="25" s="1"/>
  <c r="V492" i="25"/>
  <c r="AB492" i="25" s="1"/>
  <c r="X491" i="25"/>
  <c r="AD491" i="25" s="1"/>
  <c r="W491" i="25"/>
  <c r="AC491" i="25" s="1"/>
  <c r="V491" i="25"/>
  <c r="AB491" i="25" s="1"/>
  <c r="X490" i="25"/>
  <c r="AD490" i="25" s="1"/>
  <c r="W490" i="25"/>
  <c r="AC490" i="25" s="1"/>
  <c r="V490" i="25"/>
  <c r="AB490" i="25" s="1"/>
  <c r="X489" i="25"/>
  <c r="AD489" i="25" s="1"/>
  <c r="W489" i="25"/>
  <c r="AC489" i="25" s="1"/>
  <c r="V489" i="25"/>
  <c r="AB489" i="25" s="1"/>
  <c r="X488" i="25"/>
  <c r="AD488" i="25" s="1"/>
  <c r="W488" i="25"/>
  <c r="AC488" i="25" s="1"/>
  <c r="V488" i="25"/>
  <c r="AB488" i="25" s="1"/>
  <c r="X487" i="25"/>
  <c r="AD487" i="25" s="1"/>
  <c r="W487" i="25"/>
  <c r="AC487" i="25" s="1"/>
  <c r="V487" i="25"/>
  <c r="AB487" i="25" s="1"/>
  <c r="X486" i="25"/>
  <c r="AD486" i="25" s="1"/>
  <c r="W486" i="25"/>
  <c r="AC486" i="25" s="1"/>
  <c r="V486" i="25"/>
  <c r="AB486" i="25" s="1"/>
  <c r="X485" i="25"/>
  <c r="AD485" i="25" s="1"/>
  <c r="W485" i="25"/>
  <c r="AC485" i="25" s="1"/>
  <c r="V485" i="25"/>
  <c r="AB485" i="25" s="1"/>
  <c r="X484" i="25"/>
  <c r="AD484" i="25" s="1"/>
  <c r="W484" i="25"/>
  <c r="AC484" i="25" s="1"/>
  <c r="V484" i="25"/>
  <c r="AB484" i="25" s="1"/>
  <c r="X483" i="25"/>
  <c r="AD483" i="25" s="1"/>
  <c r="W483" i="25"/>
  <c r="AC483" i="25" s="1"/>
  <c r="V483" i="25"/>
  <c r="AB483" i="25" s="1"/>
  <c r="X482" i="25"/>
  <c r="AD482" i="25" s="1"/>
  <c r="W482" i="25"/>
  <c r="AC482" i="25" s="1"/>
  <c r="V482" i="25"/>
  <c r="AB482" i="25" s="1"/>
  <c r="X481" i="25"/>
  <c r="AD481" i="25" s="1"/>
  <c r="W481" i="25"/>
  <c r="AC481" i="25" s="1"/>
  <c r="V481" i="25"/>
  <c r="AB481" i="25" s="1"/>
  <c r="X480" i="25"/>
  <c r="AD480" i="25" s="1"/>
  <c r="W480" i="25"/>
  <c r="AC480" i="25" s="1"/>
  <c r="V480" i="25"/>
  <c r="AB480" i="25" s="1"/>
  <c r="X479" i="25"/>
  <c r="AD479" i="25" s="1"/>
  <c r="W479" i="25"/>
  <c r="AC479" i="25" s="1"/>
  <c r="V479" i="25"/>
  <c r="AB479" i="25" s="1"/>
  <c r="X478" i="25"/>
  <c r="AD478" i="25" s="1"/>
  <c r="W478" i="25"/>
  <c r="AC478" i="25" s="1"/>
  <c r="V478" i="25"/>
  <c r="AB478" i="25" s="1"/>
  <c r="X477" i="25"/>
  <c r="AD477" i="25" s="1"/>
  <c r="W477" i="25"/>
  <c r="AC477" i="25" s="1"/>
  <c r="V477" i="25"/>
  <c r="AB477" i="25" s="1"/>
  <c r="X476" i="25"/>
  <c r="AD476" i="25" s="1"/>
  <c r="W476" i="25"/>
  <c r="AC476" i="25" s="1"/>
  <c r="V476" i="25"/>
  <c r="AB476" i="25" s="1"/>
  <c r="X475" i="25"/>
  <c r="AD475" i="25" s="1"/>
  <c r="W475" i="25"/>
  <c r="AC475" i="25" s="1"/>
  <c r="V475" i="25"/>
  <c r="AB475" i="25" s="1"/>
  <c r="X474" i="25"/>
  <c r="AD474" i="25" s="1"/>
  <c r="W474" i="25"/>
  <c r="AC474" i="25" s="1"/>
  <c r="V474" i="25"/>
  <c r="AB474" i="25" s="1"/>
  <c r="X473" i="25"/>
  <c r="AD473" i="25" s="1"/>
  <c r="W473" i="25"/>
  <c r="AC473" i="25" s="1"/>
  <c r="V473" i="25"/>
  <c r="AB473" i="25" s="1"/>
  <c r="X472" i="25"/>
  <c r="AD472" i="25" s="1"/>
  <c r="W472" i="25"/>
  <c r="AC472" i="25" s="1"/>
  <c r="V472" i="25"/>
  <c r="AB472" i="25" s="1"/>
  <c r="X471" i="25"/>
  <c r="AD471" i="25" s="1"/>
  <c r="W471" i="25"/>
  <c r="AC471" i="25" s="1"/>
  <c r="V471" i="25"/>
  <c r="AB471" i="25" s="1"/>
  <c r="X470" i="25"/>
  <c r="AD470" i="25" s="1"/>
  <c r="W470" i="25"/>
  <c r="AC470" i="25" s="1"/>
  <c r="V470" i="25"/>
  <c r="AB470" i="25" s="1"/>
  <c r="X469" i="25"/>
  <c r="AD469" i="25" s="1"/>
  <c r="W469" i="25"/>
  <c r="AC469" i="25" s="1"/>
  <c r="V469" i="25"/>
  <c r="AB469" i="25" s="1"/>
  <c r="X468" i="25"/>
  <c r="AD468" i="25" s="1"/>
  <c r="W468" i="25"/>
  <c r="AC468" i="25" s="1"/>
  <c r="V468" i="25"/>
  <c r="AB468" i="25" s="1"/>
  <c r="X467" i="25"/>
  <c r="AD467" i="25" s="1"/>
  <c r="W467" i="25"/>
  <c r="AC467" i="25" s="1"/>
  <c r="V467" i="25"/>
  <c r="AB467" i="25" s="1"/>
  <c r="X466" i="25"/>
  <c r="AD466" i="25" s="1"/>
  <c r="W466" i="25"/>
  <c r="AC466" i="25" s="1"/>
  <c r="V466" i="25"/>
  <c r="AB466" i="25" s="1"/>
  <c r="X465" i="25"/>
  <c r="AD465" i="25" s="1"/>
  <c r="W465" i="25"/>
  <c r="AC465" i="25" s="1"/>
  <c r="V465" i="25"/>
  <c r="AB465" i="25" s="1"/>
  <c r="X464" i="25"/>
  <c r="AD464" i="25" s="1"/>
  <c r="W464" i="25"/>
  <c r="AC464" i="25" s="1"/>
  <c r="V464" i="25"/>
  <c r="AB464" i="25" s="1"/>
  <c r="X463" i="25"/>
  <c r="AD463" i="25" s="1"/>
  <c r="W463" i="25"/>
  <c r="AC463" i="25" s="1"/>
  <c r="V463" i="25"/>
  <c r="AB463" i="25" s="1"/>
  <c r="X462" i="25"/>
  <c r="AD462" i="25" s="1"/>
  <c r="W462" i="25"/>
  <c r="AC462" i="25" s="1"/>
  <c r="V462" i="25"/>
  <c r="AB462" i="25" s="1"/>
  <c r="X461" i="25"/>
  <c r="AD461" i="25" s="1"/>
  <c r="W461" i="25"/>
  <c r="AC461" i="25" s="1"/>
  <c r="V461" i="25"/>
  <c r="AB461" i="25" s="1"/>
  <c r="X460" i="25"/>
  <c r="AD460" i="25" s="1"/>
  <c r="W460" i="25"/>
  <c r="AC460" i="25" s="1"/>
  <c r="V460" i="25"/>
  <c r="AB460" i="25" s="1"/>
  <c r="X459" i="25"/>
  <c r="AD459" i="25" s="1"/>
  <c r="W459" i="25"/>
  <c r="AC459" i="25" s="1"/>
  <c r="V459" i="25"/>
  <c r="AB459" i="25" s="1"/>
  <c r="X458" i="25"/>
  <c r="AD458" i="25" s="1"/>
  <c r="W458" i="25"/>
  <c r="AC458" i="25" s="1"/>
  <c r="V458" i="25"/>
  <c r="AB458" i="25" s="1"/>
  <c r="X457" i="25"/>
  <c r="AD457" i="25" s="1"/>
  <c r="W457" i="25"/>
  <c r="AC457" i="25" s="1"/>
  <c r="V457" i="25"/>
  <c r="AB457" i="25" s="1"/>
  <c r="X456" i="25"/>
  <c r="AD456" i="25" s="1"/>
  <c r="W456" i="25"/>
  <c r="AC456" i="25" s="1"/>
  <c r="V456" i="25"/>
  <c r="AB456" i="25" s="1"/>
  <c r="X455" i="25"/>
  <c r="AD455" i="25" s="1"/>
  <c r="W455" i="25"/>
  <c r="AC455" i="25" s="1"/>
  <c r="V455" i="25"/>
  <c r="AB455" i="25" s="1"/>
  <c r="X454" i="25"/>
  <c r="AD454" i="25" s="1"/>
  <c r="W454" i="25"/>
  <c r="AC454" i="25" s="1"/>
  <c r="V454" i="25"/>
  <c r="AB454" i="25" s="1"/>
  <c r="X453" i="25"/>
  <c r="AD453" i="25" s="1"/>
  <c r="W453" i="25"/>
  <c r="AC453" i="25" s="1"/>
  <c r="V453" i="25"/>
  <c r="AB453" i="25" s="1"/>
  <c r="X452" i="25"/>
  <c r="AD452" i="25" s="1"/>
  <c r="W452" i="25"/>
  <c r="AC452" i="25" s="1"/>
  <c r="V452" i="25"/>
  <c r="AB452" i="25" s="1"/>
  <c r="X451" i="25"/>
  <c r="AD451" i="25" s="1"/>
  <c r="W451" i="25"/>
  <c r="AC451" i="25" s="1"/>
  <c r="V451" i="25"/>
  <c r="AB451" i="25" s="1"/>
  <c r="X450" i="25"/>
  <c r="AD450" i="25" s="1"/>
  <c r="W450" i="25"/>
  <c r="AC450" i="25" s="1"/>
  <c r="V450" i="25"/>
  <c r="AB450" i="25" s="1"/>
  <c r="X449" i="25"/>
  <c r="AD449" i="25" s="1"/>
  <c r="W449" i="25"/>
  <c r="AC449" i="25" s="1"/>
  <c r="V449" i="25"/>
  <c r="AB449" i="25" s="1"/>
  <c r="X448" i="25"/>
  <c r="AD448" i="25" s="1"/>
  <c r="W448" i="25"/>
  <c r="AC448" i="25" s="1"/>
  <c r="V448" i="25"/>
  <c r="AB448" i="25" s="1"/>
  <c r="X447" i="25"/>
  <c r="AD447" i="25" s="1"/>
  <c r="W447" i="25"/>
  <c r="AC447" i="25" s="1"/>
  <c r="V447" i="25"/>
  <c r="AB447" i="25" s="1"/>
  <c r="X446" i="25"/>
  <c r="AD446" i="25" s="1"/>
  <c r="W446" i="25"/>
  <c r="AC446" i="25" s="1"/>
  <c r="V446" i="25"/>
  <c r="AB446" i="25" s="1"/>
  <c r="X445" i="25"/>
  <c r="AD445" i="25" s="1"/>
  <c r="W445" i="25"/>
  <c r="AC445" i="25" s="1"/>
  <c r="V445" i="25"/>
  <c r="AB445" i="25" s="1"/>
  <c r="X444" i="25"/>
  <c r="AD444" i="25" s="1"/>
  <c r="W444" i="25"/>
  <c r="AC444" i="25" s="1"/>
  <c r="V444" i="25"/>
  <c r="AB444" i="25" s="1"/>
  <c r="X443" i="25"/>
  <c r="AD443" i="25" s="1"/>
  <c r="W443" i="25"/>
  <c r="AC443" i="25" s="1"/>
  <c r="V443" i="25"/>
  <c r="AB443" i="25" s="1"/>
  <c r="X442" i="25"/>
  <c r="AD442" i="25" s="1"/>
  <c r="W442" i="25"/>
  <c r="AC442" i="25" s="1"/>
  <c r="V442" i="25"/>
  <c r="AB442" i="25" s="1"/>
  <c r="X441" i="25"/>
  <c r="AD441" i="25" s="1"/>
  <c r="W441" i="25"/>
  <c r="AC441" i="25" s="1"/>
  <c r="V441" i="25"/>
  <c r="AB441" i="25" s="1"/>
  <c r="X440" i="25"/>
  <c r="AD440" i="25" s="1"/>
  <c r="W440" i="25"/>
  <c r="AC440" i="25" s="1"/>
  <c r="V440" i="25"/>
  <c r="AB440" i="25" s="1"/>
  <c r="X439" i="25"/>
  <c r="AD439" i="25" s="1"/>
  <c r="W439" i="25"/>
  <c r="AC439" i="25" s="1"/>
  <c r="V439" i="25"/>
  <c r="AB439" i="25" s="1"/>
  <c r="X438" i="25"/>
  <c r="AD438" i="25" s="1"/>
  <c r="W438" i="25"/>
  <c r="AC438" i="25" s="1"/>
  <c r="V438" i="25"/>
  <c r="AB438" i="25" s="1"/>
  <c r="X437" i="25"/>
  <c r="AD437" i="25" s="1"/>
  <c r="W437" i="25"/>
  <c r="AC437" i="25" s="1"/>
  <c r="V437" i="25"/>
  <c r="AB437" i="25" s="1"/>
  <c r="X436" i="25"/>
  <c r="AD436" i="25" s="1"/>
  <c r="W436" i="25"/>
  <c r="AC436" i="25" s="1"/>
  <c r="V436" i="25"/>
  <c r="AB436" i="25" s="1"/>
  <c r="X435" i="25"/>
  <c r="AD435" i="25" s="1"/>
  <c r="W435" i="25"/>
  <c r="AC435" i="25" s="1"/>
  <c r="V435" i="25"/>
  <c r="AB435" i="25" s="1"/>
  <c r="X434" i="25"/>
  <c r="AD434" i="25" s="1"/>
  <c r="W434" i="25"/>
  <c r="AC434" i="25" s="1"/>
  <c r="V434" i="25"/>
  <c r="AB434" i="25" s="1"/>
  <c r="X433" i="25"/>
  <c r="AD433" i="25" s="1"/>
  <c r="W433" i="25"/>
  <c r="AC433" i="25" s="1"/>
  <c r="V433" i="25"/>
  <c r="AB433" i="25" s="1"/>
  <c r="X432" i="25"/>
  <c r="AD432" i="25" s="1"/>
  <c r="W432" i="25"/>
  <c r="AC432" i="25" s="1"/>
  <c r="V432" i="25"/>
  <c r="AB432" i="25" s="1"/>
  <c r="X431" i="25"/>
  <c r="AD431" i="25" s="1"/>
  <c r="W431" i="25"/>
  <c r="AC431" i="25" s="1"/>
  <c r="V431" i="25"/>
  <c r="AB431" i="25" s="1"/>
  <c r="X430" i="25"/>
  <c r="AD430" i="25" s="1"/>
  <c r="W430" i="25"/>
  <c r="AC430" i="25" s="1"/>
  <c r="V430" i="25"/>
  <c r="AB430" i="25" s="1"/>
  <c r="X429" i="25"/>
  <c r="AD429" i="25" s="1"/>
  <c r="W429" i="25"/>
  <c r="AC429" i="25" s="1"/>
  <c r="V429" i="25"/>
  <c r="AB429" i="25" s="1"/>
  <c r="X428" i="25"/>
  <c r="AD428" i="25" s="1"/>
  <c r="W428" i="25"/>
  <c r="AC428" i="25" s="1"/>
  <c r="V428" i="25"/>
  <c r="AB428" i="25" s="1"/>
  <c r="X427" i="25"/>
  <c r="AD427" i="25" s="1"/>
  <c r="W427" i="25"/>
  <c r="AC427" i="25" s="1"/>
  <c r="V427" i="25"/>
  <c r="AB427" i="25" s="1"/>
  <c r="X426" i="25"/>
  <c r="AD426" i="25" s="1"/>
  <c r="W426" i="25"/>
  <c r="AC426" i="25" s="1"/>
  <c r="V426" i="25"/>
  <c r="AB426" i="25" s="1"/>
  <c r="X425" i="25"/>
  <c r="AD425" i="25" s="1"/>
  <c r="W425" i="25"/>
  <c r="AC425" i="25" s="1"/>
  <c r="V425" i="25"/>
  <c r="AB425" i="25" s="1"/>
  <c r="X424" i="25"/>
  <c r="AD424" i="25" s="1"/>
  <c r="W424" i="25"/>
  <c r="AC424" i="25" s="1"/>
  <c r="V424" i="25"/>
  <c r="AB424" i="25" s="1"/>
  <c r="X423" i="25"/>
  <c r="AD423" i="25" s="1"/>
  <c r="W423" i="25"/>
  <c r="AC423" i="25" s="1"/>
  <c r="V423" i="25"/>
  <c r="AB423" i="25" s="1"/>
  <c r="X422" i="25"/>
  <c r="AD422" i="25" s="1"/>
  <c r="W422" i="25"/>
  <c r="AC422" i="25" s="1"/>
  <c r="V422" i="25"/>
  <c r="AB422" i="25" s="1"/>
  <c r="X421" i="25"/>
  <c r="AD421" i="25" s="1"/>
  <c r="W421" i="25"/>
  <c r="AC421" i="25" s="1"/>
  <c r="V421" i="25"/>
  <c r="AB421" i="25" s="1"/>
  <c r="X420" i="25"/>
  <c r="AD420" i="25" s="1"/>
  <c r="W420" i="25"/>
  <c r="AC420" i="25" s="1"/>
  <c r="V420" i="25"/>
  <c r="AB420" i="25" s="1"/>
  <c r="X419" i="25"/>
  <c r="AD419" i="25" s="1"/>
  <c r="W419" i="25"/>
  <c r="AC419" i="25" s="1"/>
  <c r="V419" i="25"/>
  <c r="AB419" i="25" s="1"/>
  <c r="X418" i="25"/>
  <c r="AD418" i="25" s="1"/>
  <c r="W418" i="25"/>
  <c r="AC418" i="25" s="1"/>
  <c r="V418" i="25"/>
  <c r="AB418" i="25" s="1"/>
  <c r="X417" i="25"/>
  <c r="AD417" i="25" s="1"/>
  <c r="W417" i="25"/>
  <c r="AC417" i="25" s="1"/>
  <c r="V417" i="25"/>
  <c r="AB417" i="25" s="1"/>
  <c r="X416" i="25"/>
  <c r="AD416" i="25" s="1"/>
  <c r="W416" i="25"/>
  <c r="AC416" i="25" s="1"/>
  <c r="V416" i="25"/>
  <c r="AB416" i="25" s="1"/>
  <c r="X415" i="25"/>
  <c r="AD415" i="25" s="1"/>
  <c r="W415" i="25"/>
  <c r="AC415" i="25" s="1"/>
  <c r="V415" i="25"/>
  <c r="AB415" i="25" s="1"/>
  <c r="X414" i="25"/>
  <c r="AD414" i="25" s="1"/>
  <c r="W414" i="25"/>
  <c r="AC414" i="25" s="1"/>
  <c r="V414" i="25"/>
  <c r="AB414" i="25" s="1"/>
  <c r="X413" i="25"/>
  <c r="AD413" i="25" s="1"/>
  <c r="W413" i="25"/>
  <c r="AC413" i="25" s="1"/>
  <c r="V413" i="25"/>
  <c r="AB413" i="25" s="1"/>
  <c r="X412" i="25"/>
  <c r="AD412" i="25" s="1"/>
  <c r="W412" i="25"/>
  <c r="AC412" i="25" s="1"/>
  <c r="V412" i="25"/>
  <c r="AB412" i="25" s="1"/>
  <c r="X411" i="25"/>
  <c r="AD411" i="25" s="1"/>
  <c r="W411" i="25"/>
  <c r="AC411" i="25" s="1"/>
  <c r="V411" i="25"/>
  <c r="AB411" i="25" s="1"/>
  <c r="X410" i="25"/>
  <c r="AD410" i="25" s="1"/>
  <c r="W410" i="25"/>
  <c r="AC410" i="25" s="1"/>
  <c r="V410" i="25"/>
  <c r="AB410" i="25" s="1"/>
  <c r="X409" i="25"/>
  <c r="AD409" i="25" s="1"/>
  <c r="W409" i="25"/>
  <c r="AC409" i="25" s="1"/>
  <c r="V409" i="25"/>
  <c r="AB409" i="25" s="1"/>
  <c r="X408" i="25"/>
  <c r="AD408" i="25" s="1"/>
  <c r="W408" i="25"/>
  <c r="AC408" i="25" s="1"/>
  <c r="V408" i="25"/>
  <c r="AB408" i="25" s="1"/>
  <c r="X407" i="25"/>
  <c r="AD407" i="25" s="1"/>
  <c r="W407" i="25"/>
  <c r="AC407" i="25" s="1"/>
  <c r="V407" i="25"/>
  <c r="AB407" i="25" s="1"/>
  <c r="X406" i="25"/>
  <c r="AD406" i="25" s="1"/>
  <c r="W406" i="25"/>
  <c r="AC406" i="25" s="1"/>
  <c r="V406" i="25"/>
  <c r="AB406" i="25" s="1"/>
  <c r="X405" i="25"/>
  <c r="AD405" i="25" s="1"/>
  <c r="W405" i="25"/>
  <c r="AC405" i="25" s="1"/>
  <c r="V405" i="25"/>
  <c r="AB405" i="25" s="1"/>
  <c r="X404" i="25"/>
  <c r="AD404" i="25" s="1"/>
  <c r="W404" i="25"/>
  <c r="AC404" i="25" s="1"/>
  <c r="V404" i="25"/>
  <c r="AB404" i="25" s="1"/>
  <c r="X403" i="25"/>
  <c r="AD403" i="25" s="1"/>
  <c r="W403" i="25"/>
  <c r="AC403" i="25" s="1"/>
  <c r="V403" i="25"/>
  <c r="AB403" i="25" s="1"/>
  <c r="X402" i="25"/>
  <c r="AD402" i="25" s="1"/>
  <c r="W402" i="25"/>
  <c r="AC402" i="25" s="1"/>
  <c r="V402" i="25"/>
  <c r="AB402" i="25" s="1"/>
  <c r="X401" i="25"/>
  <c r="AD401" i="25" s="1"/>
  <c r="W401" i="25"/>
  <c r="AC401" i="25" s="1"/>
  <c r="V401" i="25"/>
  <c r="AB401" i="25" s="1"/>
  <c r="X400" i="25"/>
  <c r="AD400" i="25" s="1"/>
  <c r="W400" i="25"/>
  <c r="AC400" i="25" s="1"/>
  <c r="V400" i="25"/>
  <c r="AB400" i="25" s="1"/>
  <c r="X399" i="25"/>
  <c r="AD399" i="25" s="1"/>
  <c r="W399" i="25"/>
  <c r="AC399" i="25" s="1"/>
  <c r="V399" i="25"/>
  <c r="AB399" i="25" s="1"/>
  <c r="X398" i="25"/>
  <c r="AD398" i="25" s="1"/>
  <c r="W398" i="25"/>
  <c r="AC398" i="25" s="1"/>
  <c r="V398" i="25"/>
  <c r="AB398" i="25" s="1"/>
  <c r="X397" i="25"/>
  <c r="AD397" i="25" s="1"/>
  <c r="W397" i="25"/>
  <c r="AC397" i="25" s="1"/>
  <c r="V397" i="25"/>
  <c r="AB397" i="25" s="1"/>
  <c r="X396" i="25"/>
  <c r="AD396" i="25" s="1"/>
  <c r="W396" i="25"/>
  <c r="AC396" i="25" s="1"/>
  <c r="V396" i="25"/>
  <c r="AB396" i="25" s="1"/>
  <c r="X395" i="25"/>
  <c r="AD395" i="25" s="1"/>
  <c r="W395" i="25"/>
  <c r="AC395" i="25" s="1"/>
  <c r="V395" i="25"/>
  <c r="AB395" i="25" s="1"/>
  <c r="X394" i="25"/>
  <c r="AD394" i="25" s="1"/>
  <c r="W394" i="25"/>
  <c r="AC394" i="25" s="1"/>
  <c r="V394" i="25"/>
  <c r="AB394" i="25" s="1"/>
  <c r="X393" i="25"/>
  <c r="AD393" i="25" s="1"/>
  <c r="W393" i="25"/>
  <c r="AC393" i="25" s="1"/>
  <c r="V393" i="25"/>
  <c r="AB393" i="25" s="1"/>
  <c r="X392" i="25"/>
  <c r="AD392" i="25" s="1"/>
  <c r="W392" i="25"/>
  <c r="AC392" i="25" s="1"/>
  <c r="V392" i="25"/>
  <c r="AB392" i="25" s="1"/>
  <c r="X391" i="25"/>
  <c r="AD391" i="25" s="1"/>
  <c r="W391" i="25"/>
  <c r="AC391" i="25" s="1"/>
  <c r="V391" i="25"/>
  <c r="AB391" i="25" s="1"/>
  <c r="X390" i="25"/>
  <c r="AD390" i="25" s="1"/>
  <c r="W390" i="25"/>
  <c r="AC390" i="25" s="1"/>
  <c r="V390" i="25"/>
  <c r="AB390" i="25" s="1"/>
  <c r="X389" i="25"/>
  <c r="AD389" i="25" s="1"/>
  <c r="W389" i="25"/>
  <c r="AC389" i="25" s="1"/>
  <c r="V389" i="25"/>
  <c r="AB389" i="25" s="1"/>
  <c r="X388" i="25"/>
  <c r="AD388" i="25" s="1"/>
  <c r="W388" i="25"/>
  <c r="AC388" i="25" s="1"/>
  <c r="V388" i="25"/>
  <c r="AB388" i="25" s="1"/>
  <c r="X387" i="25"/>
  <c r="AD387" i="25" s="1"/>
  <c r="W387" i="25"/>
  <c r="AC387" i="25" s="1"/>
  <c r="V387" i="25"/>
  <c r="AB387" i="25" s="1"/>
  <c r="X386" i="25"/>
  <c r="AD386" i="25" s="1"/>
  <c r="W386" i="25"/>
  <c r="AC386" i="25" s="1"/>
  <c r="V386" i="25"/>
  <c r="AB386" i="25" s="1"/>
  <c r="X385" i="25"/>
  <c r="AD385" i="25" s="1"/>
  <c r="W385" i="25"/>
  <c r="AC385" i="25" s="1"/>
  <c r="V385" i="25"/>
  <c r="AB385" i="25" s="1"/>
  <c r="X384" i="25"/>
  <c r="AD384" i="25" s="1"/>
  <c r="W384" i="25"/>
  <c r="AC384" i="25" s="1"/>
  <c r="V384" i="25"/>
  <c r="AB384" i="25" s="1"/>
  <c r="X383" i="25"/>
  <c r="AD383" i="25" s="1"/>
  <c r="W383" i="25"/>
  <c r="AC383" i="25" s="1"/>
  <c r="V383" i="25"/>
  <c r="AB383" i="25" s="1"/>
  <c r="X382" i="25"/>
  <c r="AD382" i="25" s="1"/>
  <c r="W382" i="25"/>
  <c r="AC382" i="25" s="1"/>
  <c r="V382" i="25"/>
  <c r="AB382" i="25" s="1"/>
  <c r="X381" i="25"/>
  <c r="AD381" i="25" s="1"/>
  <c r="W381" i="25"/>
  <c r="AC381" i="25" s="1"/>
  <c r="V381" i="25"/>
  <c r="AB381" i="25" s="1"/>
  <c r="X380" i="25"/>
  <c r="AD380" i="25" s="1"/>
  <c r="W380" i="25"/>
  <c r="AC380" i="25" s="1"/>
  <c r="V380" i="25"/>
  <c r="AB380" i="25" s="1"/>
  <c r="X379" i="25"/>
  <c r="AD379" i="25" s="1"/>
  <c r="W379" i="25"/>
  <c r="AC379" i="25" s="1"/>
  <c r="V379" i="25"/>
  <c r="AB379" i="25" s="1"/>
  <c r="X378" i="25"/>
  <c r="AD378" i="25" s="1"/>
  <c r="W378" i="25"/>
  <c r="AC378" i="25" s="1"/>
  <c r="V378" i="25"/>
  <c r="AB378" i="25" s="1"/>
  <c r="X377" i="25"/>
  <c r="AD377" i="25" s="1"/>
  <c r="W377" i="25"/>
  <c r="AC377" i="25" s="1"/>
  <c r="V377" i="25"/>
  <c r="AB377" i="25" s="1"/>
  <c r="X376" i="25"/>
  <c r="AD376" i="25" s="1"/>
  <c r="W376" i="25"/>
  <c r="AC376" i="25" s="1"/>
  <c r="V376" i="25"/>
  <c r="AB376" i="25" s="1"/>
  <c r="X375" i="25"/>
  <c r="AD375" i="25" s="1"/>
  <c r="W375" i="25"/>
  <c r="AC375" i="25" s="1"/>
  <c r="V375" i="25"/>
  <c r="AB375" i="25" s="1"/>
  <c r="X374" i="25"/>
  <c r="AD374" i="25" s="1"/>
  <c r="W374" i="25"/>
  <c r="AC374" i="25" s="1"/>
  <c r="V374" i="25"/>
  <c r="AB374" i="25" s="1"/>
  <c r="X373" i="25"/>
  <c r="AD373" i="25" s="1"/>
  <c r="W373" i="25"/>
  <c r="AC373" i="25" s="1"/>
  <c r="V373" i="25"/>
  <c r="AB373" i="25" s="1"/>
  <c r="X372" i="25"/>
  <c r="AD372" i="25" s="1"/>
  <c r="W372" i="25"/>
  <c r="AC372" i="25" s="1"/>
  <c r="V372" i="25"/>
  <c r="AB372" i="25" s="1"/>
  <c r="X371" i="25"/>
  <c r="AD371" i="25" s="1"/>
  <c r="W371" i="25"/>
  <c r="AC371" i="25" s="1"/>
  <c r="V371" i="25"/>
  <c r="AB371" i="25" s="1"/>
  <c r="X370" i="25"/>
  <c r="AD370" i="25" s="1"/>
  <c r="W370" i="25"/>
  <c r="AC370" i="25" s="1"/>
  <c r="V370" i="25"/>
  <c r="AB370" i="25" s="1"/>
  <c r="X369" i="25"/>
  <c r="AD369" i="25" s="1"/>
  <c r="W369" i="25"/>
  <c r="AC369" i="25" s="1"/>
  <c r="V369" i="25"/>
  <c r="AB369" i="25" s="1"/>
  <c r="X368" i="25"/>
  <c r="AD368" i="25" s="1"/>
  <c r="W368" i="25"/>
  <c r="AC368" i="25" s="1"/>
  <c r="V368" i="25"/>
  <c r="AB368" i="25" s="1"/>
  <c r="X367" i="25"/>
  <c r="AD367" i="25" s="1"/>
  <c r="W367" i="25"/>
  <c r="AC367" i="25" s="1"/>
  <c r="V367" i="25"/>
  <c r="AB367" i="25" s="1"/>
  <c r="X366" i="25"/>
  <c r="AD366" i="25" s="1"/>
  <c r="W366" i="25"/>
  <c r="AC366" i="25" s="1"/>
  <c r="V366" i="25"/>
  <c r="AB366" i="25" s="1"/>
  <c r="X365" i="25"/>
  <c r="AD365" i="25" s="1"/>
  <c r="W365" i="25"/>
  <c r="AC365" i="25" s="1"/>
  <c r="V365" i="25"/>
  <c r="AB365" i="25" s="1"/>
  <c r="X364" i="25"/>
  <c r="AD364" i="25" s="1"/>
  <c r="W364" i="25"/>
  <c r="AC364" i="25" s="1"/>
  <c r="V364" i="25"/>
  <c r="AB364" i="25" s="1"/>
  <c r="X363" i="25"/>
  <c r="AD363" i="25" s="1"/>
  <c r="W363" i="25"/>
  <c r="AC363" i="25" s="1"/>
  <c r="V363" i="25"/>
  <c r="AB363" i="25" s="1"/>
  <c r="X362" i="25"/>
  <c r="AD362" i="25" s="1"/>
  <c r="W362" i="25"/>
  <c r="AC362" i="25" s="1"/>
  <c r="V362" i="25"/>
  <c r="AB362" i="25" s="1"/>
  <c r="X361" i="25"/>
  <c r="AD361" i="25" s="1"/>
  <c r="W361" i="25"/>
  <c r="AC361" i="25" s="1"/>
  <c r="V361" i="25"/>
  <c r="AB361" i="25" s="1"/>
  <c r="X360" i="25"/>
  <c r="AD360" i="25" s="1"/>
  <c r="W360" i="25"/>
  <c r="AC360" i="25" s="1"/>
  <c r="V360" i="25"/>
  <c r="AB360" i="25" s="1"/>
  <c r="X359" i="25"/>
  <c r="AD359" i="25" s="1"/>
  <c r="W359" i="25"/>
  <c r="AC359" i="25" s="1"/>
  <c r="V359" i="25"/>
  <c r="AB359" i="25" s="1"/>
  <c r="X358" i="25"/>
  <c r="AD358" i="25" s="1"/>
  <c r="W358" i="25"/>
  <c r="AC358" i="25" s="1"/>
  <c r="V358" i="25"/>
  <c r="AB358" i="25" s="1"/>
  <c r="X357" i="25"/>
  <c r="AD357" i="25" s="1"/>
  <c r="W357" i="25"/>
  <c r="AC357" i="25" s="1"/>
  <c r="V357" i="25"/>
  <c r="AB357" i="25" s="1"/>
  <c r="X356" i="25"/>
  <c r="AD356" i="25" s="1"/>
  <c r="W356" i="25"/>
  <c r="AC356" i="25" s="1"/>
  <c r="V356" i="25"/>
  <c r="AB356" i="25" s="1"/>
  <c r="X355" i="25"/>
  <c r="AD355" i="25" s="1"/>
  <c r="W355" i="25"/>
  <c r="AC355" i="25" s="1"/>
  <c r="V355" i="25"/>
  <c r="AB355" i="25" s="1"/>
  <c r="X354" i="25"/>
  <c r="AD354" i="25" s="1"/>
  <c r="W354" i="25"/>
  <c r="AC354" i="25" s="1"/>
  <c r="V354" i="25"/>
  <c r="AB354" i="25" s="1"/>
  <c r="X353" i="25"/>
  <c r="AD353" i="25" s="1"/>
  <c r="W353" i="25"/>
  <c r="AC353" i="25" s="1"/>
  <c r="V353" i="25"/>
  <c r="AB353" i="25" s="1"/>
  <c r="X352" i="25"/>
  <c r="AD352" i="25" s="1"/>
  <c r="W352" i="25"/>
  <c r="AC352" i="25" s="1"/>
  <c r="V352" i="25"/>
  <c r="AB352" i="25" s="1"/>
  <c r="X351" i="25"/>
  <c r="AD351" i="25" s="1"/>
  <c r="W351" i="25"/>
  <c r="AC351" i="25" s="1"/>
  <c r="V351" i="25"/>
  <c r="AB351" i="25" s="1"/>
  <c r="X350" i="25"/>
  <c r="W350" i="25"/>
  <c r="AC350" i="25" s="1"/>
  <c r="V350" i="25"/>
  <c r="AB350" i="25" s="1"/>
  <c r="X349" i="25"/>
  <c r="AD349" i="25" s="1"/>
  <c r="W349" i="25"/>
  <c r="AC349" i="25" s="1"/>
  <c r="V349" i="25"/>
  <c r="AB349" i="25" s="1"/>
  <c r="X348" i="25"/>
  <c r="AD348" i="25" s="1"/>
  <c r="W348" i="25"/>
  <c r="AC348" i="25" s="1"/>
  <c r="V348" i="25"/>
  <c r="AB348" i="25" s="1"/>
  <c r="X347" i="25"/>
  <c r="AD347" i="25" s="1"/>
  <c r="W347" i="25"/>
  <c r="AC347" i="25" s="1"/>
  <c r="V347" i="25"/>
  <c r="AB347" i="25" s="1"/>
  <c r="X346" i="25"/>
  <c r="AD346" i="25" s="1"/>
  <c r="W346" i="25"/>
  <c r="AC346" i="25" s="1"/>
  <c r="V346" i="25"/>
  <c r="AB346" i="25" s="1"/>
  <c r="X345" i="25"/>
  <c r="AD345" i="25" s="1"/>
  <c r="W345" i="25"/>
  <c r="AC345" i="25" s="1"/>
  <c r="V345" i="25"/>
  <c r="AB345" i="25" s="1"/>
  <c r="X344" i="25"/>
  <c r="AD344" i="25" s="1"/>
  <c r="W344" i="25"/>
  <c r="AC344" i="25" s="1"/>
  <c r="V344" i="25"/>
  <c r="AB344" i="25" s="1"/>
  <c r="X343" i="25"/>
  <c r="AD343" i="25" s="1"/>
  <c r="W343" i="25"/>
  <c r="AC343" i="25" s="1"/>
  <c r="V343" i="25"/>
  <c r="AB343" i="25" s="1"/>
  <c r="X342" i="25"/>
  <c r="AD342" i="25" s="1"/>
  <c r="W342" i="25"/>
  <c r="AC342" i="25" s="1"/>
  <c r="V342" i="25"/>
  <c r="AB342" i="25" s="1"/>
  <c r="X341" i="25"/>
  <c r="AD341" i="25" s="1"/>
  <c r="W341" i="25"/>
  <c r="AC341" i="25" s="1"/>
  <c r="V341" i="25"/>
  <c r="X340" i="25"/>
  <c r="AD340" i="25" s="1"/>
  <c r="W340" i="25"/>
  <c r="AC340" i="25" s="1"/>
  <c r="V340" i="25"/>
  <c r="AB340" i="25" s="1"/>
  <c r="X339" i="25"/>
  <c r="AD339" i="25" s="1"/>
  <c r="W339" i="25"/>
  <c r="AC339" i="25" s="1"/>
  <c r="V339" i="25"/>
  <c r="AB339" i="25" s="1"/>
  <c r="X338" i="25"/>
  <c r="AD338" i="25" s="1"/>
  <c r="W338" i="25"/>
  <c r="AC338" i="25" s="1"/>
  <c r="V338" i="25"/>
  <c r="AB338" i="25" s="1"/>
  <c r="X337" i="25"/>
  <c r="AD337" i="25" s="1"/>
  <c r="W337" i="25"/>
  <c r="AC337" i="25" s="1"/>
  <c r="V337" i="25"/>
  <c r="AB337" i="25" s="1"/>
  <c r="X336" i="25"/>
  <c r="AD336" i="25" s="1"/>
  <c r="W336" i="25"/>
  <c r="AC336" i="25" s="1"/>
  <c r="V336" i="25"/>
  <c r="AB336" i="25" s="1"/>
  <c r="X335" i="25"/>
  <c r="AD335" i="25" s="1"/>
  <c r="W335" i="25"/>
  <c r="AC335" i="25" s="1"/>
  <c r="V335" i="25"/>
  <c r="AB335" i="25" s="1"/>
  <c r="X334" i="25"/>
  <c r="AD334" i="25" s="1"/>
  <c r="W334" i="25"/>
  <c r="AC334" i="25" s="1"/>
  <c r="V334" i="25"/>
  <c r="AB334" i="25" s="1"/>
  <c r="X333" i="25"/>
  <c r="AD333" i="25" s="1"/>
  <c r="W333" i="25"/>
  <c r="AC333" i="25" s="1"/>
  <c r="V333" i="25"/>
  <c r="AB333" i="25" s="1"/>
  <c r="X332" i="25"/>
  <c r="AD332" i="25" s="1"/>
  <c r="W332" i="25"/>
  <c r="AC332" i="25" s="1"/>
  <c r="V332" i="25"/>
  <c r="X331" i="25"/>
  <c r="AD331" i="25" s="1"/>
  <c r="W331" i="25"/>
  <c r="AC331" i="25" s="1"/>
  <c r="V331" i="25"/>
  <c r="AB331" i="25" s="1"/>
  <c r="X330" i="25"/>
  <c r="AD330" i="25" s="1"/>
  <c r="W330" i="25"/>
  <c r="AC330" i="25" s="1"/>
  <c r="V330" i="25"/>
  <c r="AB330" i="25" s="1"/>
  <c r="X329" i="25"/>
  <c r="AD329" i="25" s="1"/>
  <c r="W329" i="25"/>
  <c r="AC329" i="25" s="1"/>
  <c r="V329" i="25"/>
  <c r="AB329" i="25" s="1"/>
  <c r="X328" i="25"/>
  <c r="AD328" i="25" s="1"/>
  <c r="W328" i="25"/>
  <c r="AC328" i="25" s="1"/>
  <c r="V328" i="25"/>
  <c r="AB328" i="25" s="1"/>
  <c r="X327" i="25"/>
  <c r="AD327" i="25" s="1"/>
  <c r="W327" i="25"/>
  <c r="AC327" i="25" s="1"/>
  <c r="V327" i="25"/>
  <c r="AB327" i="25" s="1"/>
  <c r="X326" i="25"/>
  <c r="AD326" i="25" s="1"/>
  <c r="W326" i="25"/>
  <c r="AC326" i="25" s="1"/>
  <c r="V326" i="25"/>
  <c r="AB326" i="25" s="1"/>
  <c r="X325" i="25"/>
  <c r="AD325" i="25" s="1"/>
  <c r="W325" i="25"/>
  <c r="AC325" i="25" s="1"/>
  <c r="V325" i="25"/>
  <c r="AB325" i="25" s="1"/>
  <c r="X324" i="25"/>
  <c r="AD324" i="25" s="1"/>
  <c r="W324" i="25"/>
  <c r="AC324" i="25" s="1"/>
  <c r="V324" i="25"/>
  <c r="AB324" i="25" s="1"/>
  <c r="X323" i="25"/>
  <c r="AD323" i="25" s="1"/>
  <c r="W323" i="25"/>
  <c r="AC323" i="25" s="1"/>
  <c r="V323" i="25"/>
  <c r="AB323" i="25" s="1"/>
  <c r="X322" i="25"/>
  <c r="AD322" i="25" s="1"/>
  <c r="W322" i="25"/>
  <c r="AC322" i="25" s="1"/>
  <c r="V322" i="25"/>
  <c r="AB322" i="25" s="1"/>
  <c r="X321" i="25"/>
  <c r="AD321" i="25" s="1"/>
  <c r="W321" i="25"/>
  <c r="AC321" i="25" s="1"/>
  <c r="V321" i="25"/>
  <c r="AB321" i="25" s="1"/>
  <c r="X320" i="25"/>
  <c r="AD320" i="25" s="1"/>
  <c r="W320" i="25"/>
  <c r="AC320" i="25" s="1"/>
  <c r="V320" i="25"/>
  <c r="AB320" i="25" s="1"/>
  <c r="X319" i="25"/>
  <c r="AD319" i="25" s="1"/>
  <c r="W319" i="25"/>
  <c r="AC319" i="25" s="1"/>
  <c r="V319" i="25"/>
  <c r="AB319" i="25" s="1"/>
  <c r="X318" i="25"/>
  <c r="W318" i="25"/>
  <c r="AC318" i="25" s="1"/>
  <c r="V318" i="25"/>
  <c r="AB318" i="25" s="1"/>
  <c r="X317" i="25"/>
  <c r="AD317" i="25" s="1"/>
  <c r="W317" i="25"/>
  <c r="AC317" i="25" s="1"/>
  <c r="V317" i="25"/>
  <c r="AB317" i="25" s="1"/>
  <c r="X316" i="25"/>
  <c r="AD316" i="25" s="1"/>
  <c r="W316" i="25"/>
  <c r="AC316" i="25" s="1"/>
  <c r="V316" i="25"/>
  <c r="AB316" i="25" s="1"/>
  <c r="X315" i="25"/>
  <c r="AD315" i="25" s="1"/>
  <c r="W315" i="25"/>
  <c r="AC315" i="25" s="1"/>
  <c r="V315" i="25"/>
  <c r="AB315" i="25" s="1"/>
  <c r="X314" i="25"/>
  <c r="AD314" i="25" s="1"/>
  <c r="W314" i="25"/>
  <c r="AC314" i="25" s="1"/>
  <c r="V314" i="25"/>
  <c r="AB314" i="25" s="1"/>
  <c r="X313" i="25"/>
  <c r="AD313" i="25" s="1"/>
  <c r="W313" i="25"/>
  <c r="AC313" i="25" s="1"/>
  <c r="V313" i="25"/>
  <c r="AB313" i="25" s="1"/>
  <c r="X312" i="25"/>
  <c r="AD312" i="25" s="1"/>
  <c r="W312" i="25"/>
  <c r="AC312" i="25" s="1"/>
  <c r="V312" i="25"/>
  <c r="AB312" i="25" s="1"/>
  <c r="X311" i="25"/>
  <c r="AD311" i="25" s="1"/>
  <c r="W311" i="25"/>
  <c r="AC311" i="25" s="1"/>
  <c r="V311" i="25"/>
  <c r="AB311" i="25" s="1"/>
  <c r="X310" i="25"/>
  <c r="AD310" i="25" s="1"/>
  <c r="W310" i="25"/>
  <c r="AC310" i="25" s="1"/>
  <c r="V310" i="25"/>
  <c r="AB310" i="25" s="1"/>
  <c r="X309" i="25"/>
  <c r="AD309" i="25" s="1"/>
  <c r="W309" i="25"/>
  <c r="AC309" i="25" s="1"/>
  <c r="V309" i="25"/>
  <c r="X308" i="25"/>
  <c r="AD308" i="25" s="1"/>
  <c r="W308" i="25"/>
  <c r="AC308" i="25" s="1"/>
  <c r="V308" i="25"/>
  <c r="AB308" i="25" s="1"/>
  <c r="X307" i="25"/>
  <c r="AD307" i="25" s="1"/>
  <c r="W307" i="25"/>
  <c r="AC307" i="25" s="1"/>
  <c r="V307" i="25"/>
  <c r="AB307" i="25" s="1"/>
  <c r="X306" i="25"/>
  <c r="AD306" i="25" s="1"/>
  <c r="W306" i="25"/>
  <c r="AC306" i="25" s="1"/>
  <c r="V306" i="25"/>
  <c r="AB306" i="25" s="1"/>
  <c r="X305" i="25"/>
  <c r="AD305" i="25" s="1"/>
  <c r="W305" i="25"/>
  <c r="AC305" i="25" s="1"/>
  <c r="V305" i="25"/>
  <c r="AB305" i="25" s="1"/>
  <c r="X304" i="25"/>
  <c r="AD304" i="25" s="1"/>
  <c r="W304" i="25"/>
  <c r="AC304" i="25" s="1"/>
  <c r="V304" i="25"/>
  <c r="AB304" i="25" s="1"/>
  <c r="X303" i="25"/>
  <c r="AD303" i="25" s="1"/>
  <c r="W303" i="25"/>
  <c r="AC303" i="25" s="1"/>
  <c r="V303" i="25"/>
  <c r="AB303" i="25" s="1"/>
  <c r="X302" i="25"/>
  <c r="AD302" i="25" s="1"/>
  <c r="W302" i="25"/>
  <c r="AC302" i="25" s="1"/>
  <c r="V302" i="25"/>
  <c r="AB302" i="25" s="1"/>
  <c r="X301" i="25"/>
  <c r="AD301" i="25" s="1"/>
  <c r="W301" i="25"/>
  <c r="AC301" i="25" s="1"/>
  <c r="V301" i="25"/>
  <c r="AB301" i="25" s="1"/>
  <c r="X300" i="25"/>
  <c r="AD300" i="25" s="1"/>
  <c r="W300" i="25"/>
  <c r="AC300" i="25" s="1"/>
  <c r="V300" i="25"/>
  <c r="AB300" i="25" s="1"/>
  <c r="X299" i="25"/>
  <c r="AD299" i="25" s="1"/>
  <c r="W299" i="25"/>
  <c r="AC299" i="25" s="1"/>
  <c r="V299" i="25"/>
  <c r="AB299" i="25" s="1"/>
  <c r="X298" i="25"/>
  <c r="AD298" i="25" s="1"/>
  <c r="W298" i="25"/>
  <c r="AC298" i="25" s="1"/>
  <c r="V298" i="25"/>
  <c r="AB298" i="25" s="1"/>
  <c r="X297" i="25"/>
  <c r="AD297" i="25" s="1"/>
  <c r="W297" i="25"/>
  <c r="AC297" i="25" s="1"/>
  <c r="V297" i="25"/>
  <c r="AB297" i="25" s="1"/>
  <c r="X296" i="25"/>
  <c r="AD296" i="25" s="1"/>
  <c r="W296" i="25"/>
  <c r="AC296" i="25" s="1"/>
  <c r="V296" i="25"/>
  <c r="AB296" i="25" s="1"/>
  <c r="X295" i="25"/>
  <c r="AD295" i="25" s="1"/>
  <c r="W295" i="25"/>
  <c r="AC295" i="25" s="1"/>
  <c r="V295" i="25"/>
  <c r="AB295" i="25" s="1"/>
  <c r="X294" i="25"/>
  <c r="AD294" i="25" s="1"/>
  <c r="W294" i="25"/>
  <c r="AC294" i="25" s="1"/>
  <c r="V294" i="25"/>
  <c r="AB294" i="25" s="1"/>
  <c r="X293" i="25"/>
  <c r="AD293" i="25" s="1"/>
  <c r="W293" i="25"/>
  <c r="AC293" i="25" s="1"/>
  <c r="V293" i="25"/>
  <c r="AB293" i="25" s="1"/>
  <c r="X292" i="25"/>
  <c r="AD292" i="25" s="1"/>
  <c r="W292" i="25"/>
  <c r="AC292" i="25" s="1"/>
  <c r="V292" i="25"/>
  <c r="AB292" i="25" s="1"/>
  <c r="X291" i="25"/>
  <c r="AD291" i="25" s="1"/>
  <c r="W291" i="25"/>
  <c r="AC291" i="25" s="1"/>
  <c r="V291" i="25"/>
  <c r="AB291" i="25" s="1"/>
  <c r="X290" i="25"/>
  <c r="AD290" i="25" s="1"/>
  <c r="W290" i="25"/>
  <c r="AC290" i="25" s="1"/>
  <c r="V290" i="25"/>
  <c r="AB290" i="25" s="1"/>
  <c r="X289" i="25"/>
  <c r="AD289" i="25" s="1"/>
  <c r="W289" i="25"/>
  <c r="AC289" i="25" s="1"/>
  <c r="V289" i="25"/>
  <c r="AB289" i="25" s="1"/>
  <c r="X288" i="25"/>
  <c r="AD288" i="25" s="1"/>
  <c r="W288" i="25"/>
  <c r="AC288" i="25" s="1"/>
  <c r="V288" i="25"/>
  <c r="AB288" i="25" s="1"/>
  <c r="X287" i="25"/>
  <c r="AD287" i="25" s="1"/>
  <c r="W287" i="25"/>
  <c r="AC287" i="25" s="1"/>
  <c r="V287" i="25"/>
  <c r="AB287" i="25" s="1"/>
  <c r="X286" i="25"/>
  <c r="AD286" i="25" s="1"/>
  <c r="W286" i="25"/>
  <c r="AC286" i="25" s="1"/>
  <c r="V286" i="25"/>
  <c r="AB286" i="25" s="1"/>
  <c r="X285" i="25"/>
  <c r="AD285" i="25" s="1"/>
  <c r="W285" i="25"/>
  <c r="AC285" i="25" s="1"/>
  <c r="V285" i="25"/>
  <c r="AB285" i="25" s="1"/>
  <c r="X284" i="25"/>
  <c r="AD284" i="25" s="1"/>
  <c r="W284" i="25"/>
  <c r="AC284" i="25" s="1"/>
  <c r="V284" i="25"/>
  <c r="AB284" i="25" s="1"/>
  <c r="X283" i="25"/>
  <c r="AD283" i="25" s="1"/>
  <c r="W283" i="25"/>
  <c r="AC283" i="25" s="1"/>
  <c r="V283" i="25"/>
  <c r="AB283" i="25" s="1"/>
  <c r="X282" i="25"/>
  <c r="AD282" i="25" s="1"/>
  <c r="W282" i="25"/>
  <c r="AC282" i="25" s="1"/>
  <c r="V282" i="25"/>
  <c r="AB282" i="25" s="1"/>
  <c r="X281" i="25"/>
  <c r="AD281" i="25" s="1"/>
  <c r="W281" i="25"/>
  <c r="AC281" i="25" s="1"/>
  <c r="V281" i="25"/>
  <c r="AB281" i="25" s="1"/>
  <c r="X280" i="25"/>
  <c r="AD280" i="25" s="1"/>
  <c r="W280" i="25"/>
  <c r="AC280" i="25" s="1"/>
  <c r="V280" i="25"/>
  <c r="AB280" i="25" s="1"/>
  <c r="X279" i="25"/>
  <c r="AD279" i="25" s="1"/>
  <c r="W279" i="25"/>
  <c r="AC279" i="25" s="1"/>
  <c r="V279" i="25"/>
  <c r="AB279" i="25" s="1"/>
  <c r="X278" i="25"/>
  <c r="AD278" i="25" s="1"/>
  <c r="W278" i="25"/>
  <c r="AC278" i="25" s="1"/>
  <c r="V278" i="25"/>
  <c r="AB278" i="25" s="1"/>
  <c r="X277" i="25"/>
  <c r="AD277" i="25" s="1"/>
  <c r="W277" i="25"/>
  <c r="AC277" i="25" s="1"/>
  <c r="V277" i="25"/>
  <c r="AB277" i="25" s="1"/>
  <c r="X276" i="25"/>
  <c r="AD276" i="25" s="1"/>
  <c r="W276" i="25"/>
  <c r="AC276" i="25" s="1"/>
  <c r="V276" i="25"/>
  <c r="AB276" i="25" s="1"/>
  <c r="X275" i="25"/>
  <c r="AD275" i="25" s="1"/>
  <c r="W275" i="25"/>
  <c r="AC275" i="25" s="1"/>
  <c r="V275" i="25"/>
  <c r="AB275" i="25" s="1"/>
  <c r="X274" i="25"/>
  <c r="AD274" i="25" s="1"/>
  <c r="W274" i="25"/>
  <c r="AC274" i="25" s="1"/>
  <c r="V274" i="25"/>
  <c r="AB274" i="25" s="1"/>
  <c r="X273" i="25"/>
  <c r="AD273" i="25" s="1"/>
  <c r="W273" i="25"/>
  <c r="AC273" i="25" s="1"/>
  <c r="V273" i="25"/>
  <c r="AB273" i="25" s="1"/>
  <c r="X272" i="25"/>
  <c r="AD272" i="25" s="1"/>
  <c r="W272" i="25"/>
  <c r="AC272" i="25" s="1"/>
  <c r="V272" i="25"/>
  <c r="AB272" i="25" s="1"/>
  <c r="X271" i="25"/>
  <c r="AD271" i="25" s="1"/>
  <c r="W271" i="25"/>
  <c r="AC271" i="25" s="1"/>
  <c r="V271" i="25"/>
  <c r="AB271" i="25" s="1"/>
  <c r="X270" i="25"/>
  <c r="AD270" i="25" s="1"/>
  <c r="W270" i="25"/>
  <c r="AC270" i="25" s="1"/>
  <c r="V270" i="25"/>
  <c r="AB270" i="25" s="1"/>
  <c r="X269" i="25"/>
  <c r="AD269" i="25" s="1"/>
  <c r="W269" i="25"/>
  <c r="AC269" i="25" s="1"/>
  <c r="V269" i="25"/>
  <c r="AB269" i="25" s="1"/>
  <c r="X268" i="25"/>
  <c r="AD268" i="25" s="1"/>
  <c r="W268" i="25"/>
  <c r="AC268" i="25" s="1"/>
  <c r="V268" i="25"/>
  <c r="AB268" i="25" s="1"/>
  <c r="X267" i="25"/>
  <c r="AD267" i="25" s="1"/>
  <c r="W267" i="25"/>
  <c r="AC267" i="25" s="1"/>
  <c r="V267" i="25"/>
  <c r="AB267" i="25" s="1"/>
  <c r="X266" i="25"/>
  <c r="AD266" i="25" s="1"/>
  <c r="W266" i="25"/>
  <c r="AC266" i="25" s="1"/>
  <c r="V266" i="25"/>
  <c r="AB266" i="25" s="1"/>
  <c r="X265" i="25"/>
  <c r="AD265" i="25" s="1"/>
  <c r="W265" i="25"/>
  <c r="AC265" i="25" s="1"/>
  <c r="V265" i="25"/>
  <c r="AB265" i="25" s="1"/>
  <c r="X264" i="25"/>
  <c r="AD264" i="25" s="1"/>
  <c r="W264" i="25"/>
  <c r="AC264" i="25" s="1"/>
  <c r="V264" i="25"/>
  <c r="AB264" i="25" s="1"/>
  <c r="X263" i="25"/>
  <c r="AD263" i="25" s="1"/>
  <c r="W263" i="25"/>
  <c r="AC263" i="25" s="1"/>
  <c r="V263" i="25"/>
  <c r="AB263" i="25" s="1"/>
  <c r="X262" i="25"/>
  <c r="AD262" i="25" s="1"/>
  <c r="W262" i="25"/>
  <c r="AC262" i="25" s="1"/>
  <c r="V262" i="25"/>
  <c r="AB262" i="25" s="1"/>
  <c r="X261" i="25"/>
  <c r="AD261" i="25" s="1"/>
  <c r="W261" i="25"/>
  <c r="AC261" i="25" s="1"/>
  <c r="V261" i="25"/>
  <c r="AB261" i="25" s="1"/>
  <c r="X260" i="25"/>
  <c r="AD260" i="25" s="1"/>
  <c r="W260" i="25"/>
  <c r="AC260" i="25" s="1"/>
  <c r="V260" i="25"/>
  <c r="AB260" i="25" s="1"/>
  <c r="X259" i="25"/>
  <c r="AD259" i="25" s="1"/>
  <c r="W259" i="25"/>
  <c r="AC259" i="25" s="1"/>
  <c r="V259" i="25"/>
  <c r="AB259" i="25" s="1"/>
  <c r="X258" i="25"/>
  <c r="AD258" i="25" s="1"/>
  <c r="W258" i="25"/>
  <c r="AC258" i="25" s="1"/>
  <c r="V258" i="25"/>
  <c r="AB258" i="25" s="1"/>
  <c r="X257" i="25"/>
  <c r="AD257" i="25" s="1"/>
  <c r="W257" i="25"/>
  <c r="AC257" i="25" s="1"/>
  <c r="V257" i="25"/>
  <c r="AB257" i="25" s="1"/>
  <c r="X256" i="25"/>
  <c r="AD256" i="25" s="1"/>
  <c r="W256" i="25"/>
  <c r="AC256" i="25" s="1"/>
  <c r="V256" i="25"/>
  <c r="AB256" i="25" s="1"/>
  <c r="X255" i="25"/>
  <c r="AD255" i="25" s="1"/>
  <c r="W255" i="25"/>
  <c r="AC255" i="25" s="1"/>
  <c r="V255" i="25"/>
  <c r="AB255" i="25" s="1"/>
  <c r="X254" i="25"/>
  <c r="AD254" i="25" s="1"/>
  <c r="W254" i="25"/>
  <c r="AC254" i="25" s="1"/>
  <c r="V254" i="25"/>
  <c r="AB254" i="25" s="1"/>
  <c r="X253" i="25"/>
  <c r="AD253" i="25" s="1"/>
  <c r="W253" i="25"/>
  <c r="AC253" i="25" s="1"/>
  <c r="V253" i="25"/>
  <c r="AB253" i="25" s="1"/>
  <c r="X252" i="25"/>
  <c r="AD252" i="25" s="1"/>
  <c r="W252" i="25"/>
  <c r="AC252" i="25" s="1"/>
  <c r="V252" i="25"/>
  <c r="AB252" i="25" s="1"/>
  <c r="X251" i="25"/>
  <c r="AD251" i="25" s="1"/>
  <c r="W251" i="25"/>
  <c r="AC251" i="25" s="1"/>
  <c r="V251" i="25"/>
  <c r="AB251" i="25" s="1"/>
  <c r="X250" i="25"/>
  <c r="AD250" i="25" s="1"/>
  <c r="W250" i="25"/>
  <c r="AC250" i="25" s="1"/>
  <c r="V250" i="25"/>
  <c r="AB250" i="25" s="1"/>
  <c r="X249" i="25"/>
  <c r="AD249" i="25" s="1"/>
  <c r="W249" i="25"/>
  <c r="AC249" i="25" s="1"/>
  <c r="V249" i="25"/>
  <c r="AB249" i="25" s="1"/>
  <c r="X248" i="25"/>
  <c r="AD248" i="25" s="1"/>
  <c r="W248" i="25"/>
  <c r="AC248" i="25" s="1"/>
  <c r="V248" i="25"/>
  <c r="AB248" i="25" s="1"/>
  <c r="X247" i="25"/>
  <c r="AD247" i="25" s="1"/>
  <c r="W247" i="25"/>
  <c r="AC247" i="25" s="1"/>
  <c r="V247" i="25"/>
  <c r="AB247" i="25" s="1"/>
  <c r="X246" i="25"/>
  <c r="AD246" i="25" s="1"/>
  <c r="W246" i="25"/>
  <c r="AC246" i="25" s="1"/>
  <c r="V246" i="25"/>
  <c r="AB246" i="25" s="1"/>
  <c r="X245" i="25"/>
  <c r="AD245" i="25" s="1"/>
  <c r="W245" i="25"/>
  <c r="AC245" i="25" s="1"/>
  <c r="V245" i="25"/>
  <c r="AB245" i="25" s="1"/>
  <c r="X244" i="25"/>
  <c r="AD244" i="25" s="1"/>
  <c r="W244" i="25"/>
  <c r="AC244" i="25" s="1"/>
  <c r="V244" i="25"/>
  <c r="AB244" i="25" s="1"/>
  <c r="X243" i="25"/>
  <c r="AD243" i="25" s="1"/>
  <c r="W243" i="25"/>
  <c r="AC243" i="25" s="1"/>
  <c r="V243" i="25"/>
  <c r="AB243" i="25" s="1"/>
  <c r="X242" i="25"/>
  <c r="AD242" i="25" s="1"/>
  <c r="W242" i="25"/>
  <c r="AC242" i="25" s="1"/>
  <c r="V242" i="25"/>
  <c r="AB242" i="25" s="1"/>
  <c r="X241" i="25"/>
  <c r="AD241" i="25" s="1"/>
  <c r="W241" i="25"/>
  <c r="AC241" i="25" s="1"/>
  <c r="V241" i="25"/>
  <c r="AB241" i="25" s="1"/>
  <c r="V240" i="25"/>
  <c r="AB240" i="25" s="1"/>
  <c r="V239" i="25"/>
  <c r="AB239" i="25" s="1"/>
  <c r="V238" i="25"/>
  <c r="AB238" i="25" s="1"/>
  <c r="V237" i="25"/>
  <c r="AB237" i="25" s="1"/>
  <c r="V236" i="25"/>
  <c r="AB236" i="25" s="1"/>
  <c r="V235" i="25"/>
  <c r="AB235" i="25" s="1"/>
  <c r="V234" i="25"/>
  <c r="AB234" i="25" s="1"/>
  <c r="V233" i="25"/>
  <c r="AB233" i="25" s="1"/>
  <c r="V232" i="25"/>
  <c r="AB232" i="25" s="1"/>
  <c r="V231" i="25"/>
  <c r="AB231" i="25" s="1"/>
  <c r="V230" i="25"/>
  <c r="AB230" i="25" s="1"/>
  <c r="X229" i="25"/>
  <c r="AD229" i="25" s="1"/>
  <c r="W229" i="25"/>
  <c r="AC229" i="25" s="1"/>
  <c r="X228" i="25"/>
  <c r="AD228" i="25" s="1"/>
  <c r="W228" i="25"/>
  <c r="AC228" i="25" s="1"/>
  <c r="X227" i="25"/>
  <c r="AD227" i="25" s="1"/>
  <c r="W227" i="25"/>
  <c r="AC227" i="25" s="1"/>
  <c r="X226" i="25"/>
  <c r="AD226" i="25" s="1"/>
  <c r="W226" i="25"/>
  <c r="AC226" i="25" s="1"/>
  <c r="X225" i="25"/>
  <c r="AD225" i="25" s="1"/>
  <c r="W225" i="25"/>
  <c r="AC225" i="25" s="1"/>
  <c r="X224" i="25"/>
  <c r="AD224" i="25" s="1"/>
  <c r="W224" i="25"/>
  <c r="AC224" i="25" s="1"/>
  <c r="X223" i="25"/>
  <c r="AD223" i="25" s="1"/>
  <c r="W223" i="25"/>
  <c r="AC223" i="25" s="1"/>
  <c r="X222" i="25"/>
  <c r="AD222" i="25" s="1"/>
  <c r="W222" i="25"/>
  <c r="AC222" i="25" s="1"/>
  <c r="X221" i="25"/>
  <c r="AD221" i="25" s="1"/>
  <c r="W221" i="25"/>
  <c r="AC221" i="25" s="1"/>
  <c r="X220" i="25"/>
  <c r="AD220" i="25" s="1"/>
  <c r="W220" i="25"/>
  <c r="AC220" i="25" s="1"/>
  <c r="X219" i="25"/>
  <c r="AD219" i="25" s="1"/>
  <c r="W219" i="25"/>
  <c r="AC219" i="25" s="1"/>
  <c r="X218" i="25"/>
  <c r="AD218" i="25" s="1"/>
  <c r="W218" i="25"/>
  <c r="AC218" i="25" s="1"/>
  <c r="V217" i="25"/>
  <c r="AB217" i="25" s="1"/>
  <c r="V216" i="25"/>
  <c r="AB216" i="25" s="1"/>
  <c r="V215" i="25"/>
  <c r="AB215" i="25" s="1"/>
  <c r="V214" i="25"/>
  <c r="AB214" i="25" s="1"/>
  <c r="V213" i="25"/>
  <c r="AB213" i="25" s="1"/>
  <c r="V212" i="25"/>
  <c r="AB212" i="25" s="1"/>
  <c r="V211" i="25"/>
  <c r="AB211" i="25" s="1"/>
  <c r="V210" i="25"/>
  <c r="AB210" i="25" s="1"/>
  <c r="V209" i="25"/>
  <c r="AB209" i="25" s="1"/>
  <c r="V208" i="25"/>
  <c r="AB208" i="25" s="1"/>
  <c r="V207" i="25"/>
  <c r="AB207" i="25" s="1"/>
  <c r="V206" i="25"/>
  <c r="AB206" i="25" s="1"/>
  <c r="V205" i="25"/>
  <c r="AB205" i="25" s="1"/>
  <c r="V204" i="25"/>
  <c r="AB204" i="25" s="1"/>
  <c r="V203" i="25"/>
  <c r="AB203" i="25" s="1"/>
  <c r="V202" i="25"/>
  <c r="AB202" i="25" s="1"/>
  <c r="V201" i="25"/>
  <c r="AB201" i="25" s="1"/>
  <c r="V200" i="25"/>
  <c r="AB200" i="25" s="1"/>
  <c r="V199" i="25"/>
  <c r="AB199" i="25" s="1"/>
  <c r="V198" i="25"/>
  <c r="AB198" i="25" s="1"/>
  <c r="V197" i="25"/>
  <c r="AB197" i="25" s="1"/>
  <c r="V196" i="25"/>
  <c r="AB196" i="25" s="1"/>
  <c r="V195" i="25"/>
  <c r="AB195" i="25" s="1"/>
  <c r="V194" i="25"/>
  <c r="AB194" i="25" s="1"/>
  <c r="V193" i="25"/>
  <c r="AB193" i="25" s="1"/>
  <c r="V192" i="25"/>
  <c r="AB192" i="25" s="1"/>
  <c r="V191" i="25"/>
  <c r="AB191" i="25" s="1"/>
  <c r="V190" i="25"/>
  <c r="AB190" i="25" s="1"/>
  <c r="V189" i="25"/>
  <c r="AB189" i="25" s="1"/>
  <c r="V188" i="25"/>
  <c r="AB188" i="25" s="1"/>
  <c r="V187" i="25"/>
  <c r="AB187" i="25" s="1"/>
  <c r="V186" i="25"/>
  <c r="AB186" i="25" s="1"/>
  <c r="V185" i="25"/>
  <c r="AB185" i="25" s="1"/>
  <c r="X184" i="25"/>
  <c r="AD184" i="25" s="1"/>
  <c r="W184" i="25"/>
  <c r="AC184" i="25" s="1"/>
  <c r="X183" i="25"/>
  <c r="AD183" i="25" s="1"/>
  <c r="W183" i="25"/>
  <c r="AC183" i="25" s="1"/>
  <c r="X182" i="25"/>
  <c r="AD182" i="25" s="1"/>
  <c r="W182" i="25"/>
  <c r="AC182" i="25" s="1"/>
  <c r="X181" i="25"/>
  <c r="AD181" i="25" s="1"/>
  <c r="W181" i="25"/>
  <c r="AC181" i="25" s="1"/>
  <c r="X180" i="25"/>
  <c r="AD180" i="25" s="1"/>
  <c r="W180" i="25"/>
  <c r="AC180" i="25" s="1"/>
  <c r="X179" i="25"/>
  <c r="AD179" i="25" s="1"/>
  <c r="W179" i="25"/>
  <c r="AC179" i="25" s="1"/>
  <c r="X178" i="25"/>
  <c r="AD178" i="25" s="1"/>
  <c r="W178" i="25"/>
  <c r="AC178" i="25" s="1"/>
  <c r="X177" i="25"/>
  <c r="AD177" i="25" s="1"/>
  <c r="W177" i="25"/>
  <c r="AC177" i="25" s="1"/>
  <c r="X176" i="25"/>
  <c r="AD176" i="25" s="1"/>
  <c r="W176" i="25"/>
  <c r="AC176" i="25" s="1"/>
  <c r="X175" i="25"/>
  <c r="AD175" i="25" s="1"/>
  <c r="W175" i="25"/>
  <c r="X174" i="25"/>
  <c r="AD174" i="25" s="1"/>
  <c r="W174" i="25"/>
  <c r="AC174" i="25" s="1"/>
  <c r="X173" i="25"/>
  <c r="AD173" i="25" s="1"/>
  <c r="W173" i="25"/>
  <c r="AC173" i="25" s="1"/>
  <c r="X172" i="25"/>
  <c r="AD172" i="25" s="1"/>
  <c r="W172" i="25"/>
  <c r="AC172" i="25" s="1"/>
  <c r="X171" i="25"/>
  <c r="AD171" i="25" s="1"/>
  <c r="W171" i="25"/>
  <c r="AC171" i="25" s="1"/>
  <c r="X170" i="25"/>
  <c r="AD170" i="25" s="1"/>
  <c r="W170" i="25"/>
  <c r="AC170" i="25" s="1"/>
  <c r="X169" i="25"/>
  <c r="AD169" i="25" s="1"/>
  <c r="W169" i="25"/>
  <c r="AC169" i="25" s="1"/>
  <c r="X168" i="25"/>
  <c r="AD168" i="25" s="1"/>
  <c r="W168" i="25"/>
  <c r="AC168" i="25" s="1"/>
  <c r="X167" i="25"/>
  <c r="AD167" i="25" s="1"/>
  <c r="W167" i="25"/>
  <c r="AC167" i="25" s="1"/>
  <c r="X166" i="25"/>
  <c r="AD166" i="25" s="1"/>
  <c r="W166" i="25"/>
  <c r="AC166" i="25" s="1"/>
  <c r="X165" i="25"/>
  <c r="AD165" i="25" s="1"/>
  <c r="W165" i="25"/>
  <c r="AC165" i="25" s="1"/>
  <c r="X164" i="25"/>
  <c r="AD164" i="25" s="1"/>
  <c r="W164" i="25"/>
  <c r="AC164" i="25" s="1"/>
  <c r="X163" i="25"/>
  <c r="AD163" i="25" s="1"/>
  <c r="W163" i="25"/>
  <c r="AC163" i="25" s="1"/>
  <c r="X162" i="25"/>
  <c r="AD162" i="25" s="1"/>
  <c r="W162" i="25"/>
  <c r="AC162" i="25" s="1"/>
  <c r="X161" i="25"/>
  <c r="AD161" i="25" s="1"/>
  <c r="W161" i="25"/>
  <c r="AC161" i="25" s="1"/>
  <c r="V160" i="25"/>
  <c r="AB160" i="25" s="1"/>
  <c r="V159" i="25"/>
  <c r="AB159" i="25" s="1"/>
  <c r="V158" i="25"/>
  <c r="AB158" i="25" s="1"/>
  <c r="V157" i="25"/>
  <c r="AB157" i="25" s="1"/>
  <c r="V156" i="25"/>
  <c r="AB156" i="25" s="1"/>
  <c r="V155" i="25"/>
  <c r="AB155" i="25" s="1"/>
  <c r="V154" i="25"/>
  <c r="AB154" i="25" s="1"/>
  <c r="V153" i="25"/>
  <c r="AB153" i="25" s="1"/>
  <c r="V152" i="25"/>
  <c r="AB152" i="25" s="1"/>
  <c r="V151" i="25"/>
  <c r="AB151" i="25" s="1"/>
  <c r="V150" i="25"/>
  <c r="V149" i="25"/>
  <c r="AB149" i="25" s="1"/>
  <c r="V148" i="25"/>
  <c r="AB148" i="25" s="1"/>
  <c r="V147" i="25"/>
  <c r="AB147" i="25" s="1"/>
  <c r="V146" i="25"/>
  <c r="AB146" i="25" s="1"/>
  <c r="V145" i="25"/>
  <c r="AB145" i="25" s="1"/>
  <c r="V144" i="25"/>
  <c r="AB144" i="25" s="1"/>
  <c r="V143" i="25"/>
  <c r="AB143" i="25" s="1"/>
  <c r="V142" i="25"/>
  <c r="AB142" i="25" s="1"/>
  <c r="V141" i="25"/>
  <c r="AB141" i="25" s="1"/>
  <c r="V140" i="25"/>
  <c r="AB140" i="25" s="1"/>
  <c r="V139" i="25"/>
  <c r="AB139" i="25" s="1"/>
  <c r="V138" i="25"/>
  <c r="AB138" i="25" s="1"/>
  <c r="X137" i="25"/>
  <c r="AD137" i="25" s="1"/>
  <c r="W137" i="25"/>
  <c r="AC137" i="25" s="1"/>
  <c r="V137" i="25"/>
  <c r="AB137" i="25" s="1"/>
  <c r="X136" i="25"/>
  <c r="W136" i="25"/>
  <c r="AC136" i="25" s="1"/>
  <c r="V136" i="25"/>
  <c r="AB136" i="25" s="1"/>
  <c r="X135" i="25"/>
  <c r="AD135" i="25" s="1"/>
  <c r="W135" i="25"/>
  <c r="AC135" i="25" s="1"/>
  <c r="V135" i="25"/>
  <c r="AB135" i="25" s="1"/>
  <c r="X134" i="25"/>
  <c r="AD134" i="25" s="1"/>
  <c r="W134" i="25"/>
  <c r="AC134" i="25" s="1"/>
  <c r="V134" i="25"/>
  <c r="AB134" i="25" s="1"/>
  <c r="X133" i="25"/>
  <c r="AD133" i="25" s="1"/>
  <c r="W133" i="25"/>
  <c r="AC133" i="25" s="1"/>
  <c r="V133" i="25"/>
  <c r="AB133" i="25" s="1"/>
  <c r="X132" i="25"/>
  <c r="W132" i="25"/>
  <c r="AC132" i="25" s="1"/>
  <c r="V132" i="25"/>
  <c r="AB132" i="25" s="1"/>
  <c r="X131" i="25"/>
  <c r="AD131" i="25" s="1"/>
  <c r="W131" i="25"/>
  <c r="AC131" i="25" s="1"/>
  <c r="V131" i="25"/>
  <c r="AB131" i="25" s="1"/>
  <c r="X130" i="25"/>
  <c r="AD130" i="25" s="1"/>
  <c r="W130" i="25"/>
  <c r="AC130" i="25" s="1"/>
  <c r="V130" i="25"/>
  <c r="AB130" i="25" s="1"/>
  <c r="X129" i="25"/>
  <c r="W129" i="25"/>
  <c r="AC129" i="25" s="1"/>
  <c r="V129" i="25"/>
  <c r="AB129" i="25" s="1"/>
  <c r="X128" i="25"/>
  <c r="AD128" i="25" s="1"/>
  <c r="W128" i="25"/>
  <c r="AC128" i="25" s="1"/>
  <c r="V128" i="25"/>
  <c r="AB128" i="25" s="1"/>
  <c r="X127" i="25"/>
  <c r="AD127" i="25" s="1"/>
  <c r="W127" i="25"/>
  <c r="AC127" i="25" s="1"/>
  <c r="V127" i="25"/>
  <c r="AB127" i="25" s="1"/>
  <c r="X126" i="25"/>
  <c r="AD126" i="25" s="1"/>
  <c r="W126" i="25"/>
  <c r="AC126" i="25" s="1"/>
  <c r="V126" i="25"/>
  <c r="AB126" i="25" s="1"/>
  <c r="X125" i="25"/>
  <c r="AD125" i="25" s="1"/>
  <c r="W125" i="25"/>
  <c r="AC125" i="25" s="1"/>
  <c r="V125" i="25"/>
  <c r="AB125" i="25" s="1"/>
  <c r="X124" i="25"/>
  <c r="AD124" i="25" s="1"/>
  <c r="W124" i="25"/>
  <c r="AC124" i="25" s="1"/>
  <c r="V124" i="25"/>
  <c r="AB124" i="25" s="1"/>
  <c r="X123" i="25"/>
  <c r="AD123" i="25" s="1"/>
  <c r="W123" i="25"/>
  <c r="AC123" i="25" s="1"/>
  <c r="V123" i="25"/>
  <c r="AB123" i="25" s="1"/>
  <c r="X122" i="25"/>
  <c r="AD122" i="25" s="1"/>
  <c r="W122" i="25"/>
  <c r="AC122" i="25" s="1"/>
  <c r="V122" i="25"/>
  <c r="AB122" i="25" s="1"/>
  <c r="X121" i="25"/>
  <c r="AD121" i="25" s="1"/>
  <c r="W121" i="25"/>
  <c r="AC121" i="25" s="1"/>
  <c r="V121" i="25"/>
  <c r="AB121" i="25" s="1"/>
  <c r="X120" i="25"/>
  <c r="AD120" i="25" s="1"/>
  <c r="W120" i="25"/>
  <c r="AC120" i="25" s="1"/>
  <c r="V120" i="25"/>
  <c r="AB120" i="25" s="1"/>
  <c r="X119" i="25"/>
  <c r="AD119" i="25" s="1"/>
  <c r="W119" i="25"/>
  <c r="AC119" i="25" s="1"/>
  <c r="V119" i="25"/>
  <c r="AB119" i="25" s="1"/>
  <c r="X118" i="25"/>
  <c r="AD118" i="25" s="1"/>
  <c r="W118" i="25"/>
  <c r="AC118" i="25" s="1"/>
  <c r="V118" i="25"/>
  <c r="AB118" i="25" s="1"/>
  <c r="X117" i="25"/>
  <c r="AD117" i="25" s="1"/>
  <c r="W117" i="25"/>
  <c r="AC117" i="25" s="1"/>
  <c r="V117" i="25"/>
  <c r="AB117" i="25" s="1"/>
  <c r="X116" i="25"/>
  <c r="AD116" i="25" s="1"/>
  <c r="W116" i="25"/>
  <c r="AC116" i="25" s="1"/>
  <c r="V116" i="25"/>
  <c r="AB116" i="25" s="1"/>
  <c r="X115" i="25"/>
  <c r="W115" i="25"/>
  <c r="AC115" i="25" s="1"/>
  <c r="V115" i="25"/>
  <c r="AB115" i="25" s="1"/>
  <c r="X114" i="25"/>
  <c r="AD114" i="25" s="1"/>
  <c r="W114" i="25"/>
  <c r="AC114" i="25" s="1"/>
  <c r="V114" i="25"/>
  <c r="AB114" i="25" s="1"/>
  <c r="X113" i="25"/>
  <c r="AD113" i="25" s="1"/>
  <c r="W113" i="25"/>
  <c r="AC113" i="25" s="1"/>
  <c r="V113" i="25"/>
  <c r="AB113" i="25" s="1"/>
  <c r="X112" i="25"/>
  <c r="AD112" i="25" s="1"/>
  <c r="W112" i="25"/>
  <c r="V112" i="25"/>
  <c r="AB112" i="25" s="1"/>
  <c r="X111" i="25"/>
  <c r="AD111" i="25" s="1"/>
  <c r="W111" i="25"/>
  <c r="AC111" i="25" s="1"/>
  <c r="V111" i="25"/>
  <c r="AB111" i="25" s="1"/>
  <c r="X110" i="25"/>
  <c r="AD110" i="25" s="1"/>
  <c r="W110" i="25"/>
  <c r="AC110" i="25" s="1"/>
  <c r="V110" i="25"/>
  <c r="AB110" i="25" s="1"/>
  <c r="X109" i="25"/>
  <c r="AD109" i="25" s="1"/>
  <c r="W109" i="25"/>
  <c r="AC109" i="25" s="1"/>
  <c r="V109" i="25"/>
  <c r="AB109" i="25" s="1"/>
  <c r="X108" i="25"/>
  <c r="AD108" i="25" s="1"/>
  <c r="W108" i="25"/>
  <c r="AC108" i="25" s="1"/>
  <c r="V108" i="25"/>
  <c r="AB108" i="25" s="1"/>
  <c r="X107" i="25"/>
  <c r="W107" i="25"/>
  <c r="AC107" i="25" s="1"/>
  <c r="V107" i="25"/>
  <c r="AB107" i="25" s="1"/>
  <c r="X106" i="25"/>
  <c r="AD106" i="25" s="1"/>
  <c r="W106" i="25"/>
  <c r="AC106" i="25" s="1"/>
  <c r="V106" i="25"/>
  <c r="AB106" i="25" s="1"/>
  <c r="X105" i="25"/>
  <c r="AD105" i="25" s="1"/>
  <c r="W105" i="25"/>
  <c r="AC105" i="25" s="1"/>
  <c r="V105" i="25"/>
  <c r="AB105" i="25" s="1"/>
  <c r="X104" i="25"/>
  <c r="AD104" i="25" s="1"/>
  <c r="W104" i="25"/>
  <c r="V104" i="25"/>
  <c r="AB104" i="25" s="1"/>
  <c r="X103" i="25"/>
  <c r="AD103" i="25" s="1"/>
  <c r="W103" i="25"/>
  <c r="AC103" i="25" s="1"/>
  <c r="V103" i="25"/>
  <c r="AB103" i="25" s="1"/>
  <c r="X102" i="25"/>
  <c r="AD102" i="25" s="1"/>
  <c r="W102" i="25"/>
  <c r="AC102" i="25" s="1"/>
  <c r="V102" i="25"/>
  <c r="AB102" i="25" s="1"/>
  <c r="X101" i="25"/>
  <c r="AD101" i="25" s="1"/>
  <c r="W101" i="25"/>
  <c r="AC101" i="25" s="1"/>
  <c r="V101" i="25"/>
  <c r="AB101" i="25" s="1"/>
  <c r="X100" i="25"/>
  <c r="AD100" i="25" s="1"/>
  <c r="W100" i="25"/>
  <c r="AC100" i="25" s="1"/>
  <c r="V100" i="25"/>
  <c r="AB100" i="25" s="1"/>
  <c r="X99" i="25"/>
  <c r="W99" i="25"/>
  <c r="AC99" i="25" s="1"/>
  <c r="V99" i="25"/>
  <c r="AB99" i="25" s="1"/>
  <c r="X98" i="25"/>
  <c r="AD98" i="25" s="1"/>
  <c r="W98" i="25"/>
  <c r="AC98" i="25" s="1"/>
  <c r="V98" i="25"/>
  <c r="AB98" i="25" s="1"/>
  <c r="X97" i="25"/>
  <c r="AD97" i="25" s="1"/>
  <c r="W97" i="25"/>
  <c r="AC97" i="25" s="1"/>
  <c r="V97" i="25"/>
  <c r="AB97" i="25" s="1"/>
  <c r="X96" i="25"/>
  <c r="AD96" i="25" s="1"/>
  <c r="W96" i="25"/>
  <c r="V96" i="25"/>
  <c r="AB96" i="25" s="1"/>
  <c r="X95" i="25"/>
  <c r="AD95" i="25" s="1"/>
  <c r="W95" i="25"/>
  <c r="AC95" i="25" s="1"/>
  <c r="V95" i="25"/>
  <c r="AB95" i="25" s="1"/>
  <c r="X94" i="25"/>
  <c r="AD94" i="25" s="1"/>
  <c r="W94" i="25"/>
  <c r="AC94" i="25" s="1"/>
  <c r="V94" i="25"/>
  <c r="AB94" i="25" s="1"/>
  <c r="X93" i="25"/>
  <c r="AD93" i="25" s="1"/>
  <c r="W93" i="25"/>
  <c r="AC93" i="25" s="1"/>
  <c r="V93" i="25"/>
  <c r="AB93" i="25" s="1"/>
  <c r="X92" i="25"/>
  <c r="AD92" i="25" s="1"/>
  <c r="W92" i="25"/>
  <c r="AC92" i="25" s="1"/>
  <c r="V92" i="25"/>
  <c r="AB92" i="25" s="1"/>
  <c r="X91" i="25"/>
  <c r="AD91" i="25" s="1"/>
  <c r="W91" i="25"/>
  <c r="AC91" i="25" s="1"/>
  <c r="V91" i="25"/>
  <c r="AB91" i="25" s="1"/>
  <c r="X90" i="25"/>
  <c r="AD90" i="25" s="1"/>
  <c r="W90" i="25"/>
  <c r="AC90" i="25" s="1"/>
  <c r="V90" i="25"/>
  <c r="AB90" i="25" s="1"/>
  <c r="X89" i="25"/>
  <c r="AD89" i="25" s="1"/>
  <c r="W89" i="25"/>
  <c r="AC89" i="25" s="1"/>
  <c r="V89" i="25"/>
  <c r="AB89" i="25" s="1"/>
  <c r="X88" i="25"/>
  <c r="AD88" i="25" s="1"/>
  <c r="W88" i="25"/>
  <c r="AC88" i="25" s="1"/>
  <c r="V88" i="25"/>
  <c r="AB88" i="25" s="1"/>
  <c r="X87" i="25"/>
  <c r="AD87" i="25" s="1"/>
  <c r="W87" i="25"/>
  <c r="AC87" i="25" s="1"/>
  <c r="V87" i="25"/>
  <c r="AB87" i="25" s="1"/>
  <c r="X86" i="25"/>
  <c r="AD86" i="25" s="1"/>
  <c r="W86" i="25"/>
  <c r="AC86" i="25" s="1"/>
  <c r="V86" i="25"/>
  <c r="AB86" i="25" s="1"/>
  <c r="X85" i="25"/>
  <c r="AD85" i="25" s="1"/>
  <c r="W85" i="25"/>
  <c r="AC85" i="25" s="1"/>
  <c r="V85" i="25"/>
  <c r="AB85" i="25" s="1"/>
  <c r="X84" i="25"/>
  <c r="AD84" i="25" s="1"/>
  <c r="W84" i="25"/>
  <c r="AC84" i="25" s="1"/>
  <c r="V84" i="25"/>
  <c r="AB84" i="25" s="1"/>
  <c r="X83" i="25"/>
  <c r="AD83" i="25" s="1"/>
  <c r="W83" i="25"/>
  <c r="AC83" i="25" s="1"/>
  <c r="V83" i="25"/>
  <c r="AB83" i="25" s="1"/>
  <c r="X82" i="25"/>
  <c r="AD82" i="25" s="1"/>
  <c r="W82" i="25"/>
  <c r="AC82" i="25" s="1"/>
  <c r="V82" i="25"/>
  <c r="AB82" i="25" s="1"/>
  <c r="X81" i="25"/>
  <c r="AD81" i="25" s="1"/>
  <c r="W81" i="25"/>
  <c r="AC81" i="25" s="1"/>
  <c r="V81" i="25"/>
  <c r="AB81" i="25" s="1"/>
  <c r="X80" i="25"/>
  <c r="AD80" i="25" s="1"/>
  <c r="W80" i="25"/>
  <c r="AC80" i="25" s="1"/>
  <c r="V80" i="25"/>
  <c r="AB80" i="25" s="1"/>
  <c r="X79" i="25"/>
  <c r="AD79" i="25" s="1"/>
  <c r="W79" i="25"/>
  <c r="AC79" i="25" s="1"/>
  <c r="V79" i="25"/>
  <c r="AB79" i="25" s="1"/>
  <c r="X78" i="25"/>
  <c r="AD78" i="25" s="1"/>
  <c r="W78" i="25"/>
  <c r="AC78" i="25" s="1"/>
  <c r="V78" i="25"/>
  <c r="AB78" i="25" s="1"/>
  <c r="X77" i="25"/>
  <c r="AD77" i="25" s="1"/>
  <c r="W77" i="25"/>
  <c r="AC77" i="25" s="1"/>
  <c r="V77" i="25"/>
  <c r="AB77" i="25" s="1"/>
  <c r="X76" i="25"/>
  <c r="AD76" i="25" s="1"/>
  <c r="W76" i="25"/>
  <c r="AC76" i="25" s="1"/>
  <c r="V76" i="25"/>
  <c r="AB76" i="25" s="1"/>
  <c r="X75" i="25"/>
  <c r="AD75" i="25" s="1"/>
  <c r="W75" i="25"/>
  <c r="AC75" i="25" s="1"/>
  <c r="V75" i="25"/>
  <c r="AB75" i="25" s="1"/>
  <c r="X74" i="25"/>
  <c r="AD74" i="25" s="1"/>
  <c r="W74" i="25"/>
  <c r="AC74" i="25" s="1"/>
  <c r="V74" i="25"/>
  <c r="AB74" i="25" s="1"/>
  <c r="X73" i="25"/>
  <c r="AD73" i="25" s="1"/>
  <c r="W73" i="25"/>
  <c r="AC73" i="25" s="1"/>
  <c r="V73" i="25"/>
  <c r="AB73" i="25" s="1"/>
  <c r="X72" i="25"/>
  <c r="AD72" i="25" s="1"/>
  <c r="W72" i="25"/>
  <c r="AC72" i="25" s="1"/>
  <c r="V72" i="25"/>
  <c r="AB72" i="25" s="1"/>
  <c r="X71" i="25"/>
  <c r="AD71" i="25" s="1"/>
  <c r="W71" i="25"/>
  <c r="AC71" i="25" s="1"/>
  <c r="V71" i="25"/>
  <c r="AB71" i="25" s="1"/>
  <c r="X70" i="25"/>
  <c r="AD70" i="25" s="1"/>
  <c r="W70" i="25"/>
  <c r="AC70" i="25" s="1"/>
  <c r="V70" i="25"/>
  <c r="AB70" i="25" s="1"/>
  <c r="X69" i="25"/>
  <c r="AD69" i="25" s="1"/>
  <c r="W69" i="25"/>
  <c r="AC69" i="25" s="1"/>
  <c r="V69" i="25"/>
  <c r="AB69" i="25" s="1"/>
  <c r="X68" i="25"/>
  <c r="AD68" i="25" s="1"/>
  <c r="W68" i="25"/>
  <c r="AC68" i="25" s="1"/>
  <c r="V68" i="25"/>
  <c r="AB68" i="25" s="1"/>
  <c r="X67" i="25"/>
  <c r="AD67" i="25" s="1"/>
  <c r="W67" i="25"/>
  <c r="AC67" i="25" s="1"/>
  <c r="V67" i="25"/>
  <c r="AB67" i="25" s="1"/>
  <c r="X66" i="25"/>
  <c r="AD66" i="25" s="1"/>
  <c r="W66" i="25"/>
  <c r="AC66" i="25" s="1"/>
  <c r="V66" i="25"/>
  <c r="AB66" i="25" s="1"/>
  <c r="X65" i="25"/>
  <c r="AD65" i="25" s="1"/>
  <c r="W65" i="25"/>
  <c r="AC65" i="25" s="1"/>
  <c r="V65" i="25"/>
  <c r="AB65" i="25" s="1"/>
  <c r="X64" i="25"/>
  <c r="AD64" i="25" s="1"/>
  <c r="W64" i="25"/>
  <c r="AC64" i="25" s="1"/>
  <c r="V64" i="25"/>
  <c r="AB64" i="25" s="1"/>
  <c r="X63" i="25"/>
  <c r="AD63" i="25" s="1"/>
  <c r="W63" i="25"/>
  <c r="AC63" i="25" s="1"/>
  <c r="V63" i="25"/>
  <c r="AB63" i="25" s="1"/>
  <c r="X62" i="25"/>
  <c r="AD62" i="25" s="1"/>
  <c r="W62" i="25"/>
  <c r="AC62" i="25" s="1"/>
  <c r="V62" i="25"/>
  <c r="AB62" i="25" s="1"/>
  <c r="X61" i="25"/>
  <c r="AD61" i="25" s="1"/>
  <c r="W61" i="25"/>
  <c r="AC61" i="25" s="1"/>
  <c r="V61" i="25"/>
  <c r="AB61" i="25" s="1"/>
  <c r="X60" i="25"/>
  <c r="AD60" i="25" s="1"/>
  <c r="W60" i="25"/>
  <c r="AC60" i="25" s="1"/>
  <c r="V60" i="25"/>
  <c r="AB60" i="25" s="1"/>
  <c r="X59" i="25"/>
  <c r="W59" i="25"/>
  <c r="AC59" i="25" s="1"/>
  <c r="V59" i="25"/>
  <c r="AB59" i="25" s="1"/>
  <c r="X58" i="25"/>
  <c r="AD58" i="25" s="1"/>
  <c r="W58" i="25"/>
  <c r="AC58" i="25" s="1"/>
  <c r="V58" i="25"/>
  <c r="AB58" i="25" s="1"/>
  <c r="X57" i="25"/>
  <c r="AD57" i="25" s="1"/>
  <c r="W57" i="25"/>
  <c r="AC57" i="25" s="1"/>
  <c r="V57" i="25"/>
  <c r="AB57" i="25" s="1"/>
  <c r="X56" i="25"/>
  <c r="AD56" i="25" s="1"/>
  <c r="W56" i="25"/>
  <c r="V56" i="25"/>
  <c r="AB56" i="25" s="1"/>
  <c r="X55" i="25"/>
  <c r="AD55" i="25" s="1"/>
  <c r="W55" i="25"/>
  <c r="AC55" i="25" s="1"/>
  <c r="V55" i="25"/>
  <c r="AB55" i="25" s="1"/>
  <c r="X54" i="25"/>
  <c r="AD54" i="25" s="1"/>
  <c r="W54" i="25"/>
  <c r="AC54" i="25" s="1"/>
  <c r="V54" i="25"/>
  <c r="AB54" i="25" s="1"/>
  <c r="X53" i="25"/>
  <c r="AD53" i="25" s="1"/>
  <c r="W53" i="25"/>
  <c r="AC53" i="25" s="1"/>
  <c r="V53" i="25"/>
  <c r="AB53" i="25" s="1"/>
  <c r="X52" i="25"/>
  <c r="AD52" i="25" s="1"/>
  <c r="W52" i="25"/>
  <c r="AC52" i="25" s="1"/>
  <c r="V52" i="25"/>
  <c r="AB52" i="25" s="1"/>
  <c r="X51" i="25"/>
  <c r="W51" i="25"/>
  <c r="AC51" i="25" s="1"/>
  <c r="V51" i="25"/>
  <c r="AB51" i="25" s="1"/>
  <c r="X50" i="25"/>
  <c r="AD50" i="25" s="1"/>
  <c r="W50" i="25"/>
  <c r="AC50" i="25" s="1"/>
  <c r="V50" i="25"/>
  <c r="AB50" i="25" s="1"/>
  <c r="X49" i="25"/>
  <c r="AD49" i="25" s="1"/>
  <c r="W49" i="25"/>
  <c r="AC49" i="25" s="1"/>
  <c r="V49" i="25"/>
  <c r="AB49" i="25" s="1"/>
  <c r="X48" i="25"/>
  <c r="AD48" i="25" s="1"/>
  <c r="W48" i="25"/>
  <c r="AC48" i="25" s="1"/>
  <c r="V48" i="25"/>
  <c r="AB48" i="25" s="1"/>
  <c r="X47" i="25"/>
  <c r="AD47" i="25" s="1"/>
  <c r="W47" i="25"/>
  <c r="AC47" i="25" s="1"/>
  <c r="V47" i="25"/>
  <c r="AB47" i="25" s="1"/>
  <c r="X46" i="25"/>
  <c r="AD46" i="25" s="1"/>
  <c r="W46" i="25"/>
  <c r="AC46" i="25" s="1"/>
  <c r="V46" i="25"/>
  <c r="AB46" i="25" s="1"/>
  <c r="X45" i="25"/>
  <c r="AD45" i="25" s="1"/>
  <c r="W45" i="25"/>
  <c r="AC45" i="25" s="1"/>
  <c r="V45" i="25"/>
  <c r="AB45" i="25" s="1"/>
  <c r="X44" i="25"/>
  <c r="AD44" i="25" s="1"/>
  <c r="W44" i="25"/>
  <c r="AC44" i="25" s="1"/>
  <c r="V44" i="25"/>
  <c r="AB44" i="25" s="1"/>
  <c r="X43" i="25"/>
  <c r="AD43" i="25" s="1"/>
  <c r="W43" i="25"/>
  <c r="AC43" i="25" s="1"/>
  <c r="V43" i="25"/>
  <c r="AB43" i="25" s="1"/>
  <c r="X42" i="25"/>
  <c r="AD42" i="25" s="1"/>
  <c r="W42" i="25"/>
  <c r="AC42" i="25" s="1"/>
  <c r="V42" i="25"/>
  <c r="AB42" i="25" s="1"/>
  <c r="X41" i="25"/>
  <c r="AD41" i="25" s="1"/>
  <c r="W41" i="25"/>
  <c r="AC41" i="25" s="1"/>
  <c r="V41" i="25"/>
  <c r="AB41" i="25" s="1"/>
  <c r="X40" i="25"/>
  <c r="AD40" i="25" s="1"/>
  <c r="W40" i="25"/>
  <c r="AC40" i="25" s="1"/>
  <c r="V40" i="25"/>
  <c r="AB40" i="25" s="1"/>
  <c r="X39" i="25"/>
  <c r="AD39" i="25" s="1"/>
  <c r="W39" i="25"/>
  <c r="AC39" i="25" s="1"/>
  <c r="V39" i="25"/>
  <c r="AB39" i="25" s="1"/>
  <c r="X38" i="25"/>
  <c r="AD38" i="25" s="1"/>
  <c r="W38" i="25"/>
  <c r="AC38" i="25" s="1"/>
  <c r="V38" i="25"/>
  <c r="AB38" i="25" s="1"/>
  <c r="X37" i="25"/>
  <c r="AD37" i="25" s="1"/>
  <c r="W37" i="25"/>
  <c r="AC37" i="25" s="1"/>
  <c r="V37" i="25"/>
  <c r="AB37" i="25" s="1"/>
  <c r="X36" i="25"/>
  <c r="AD36" i="25" s="1"/>
  <c r="W36" i="25"/>
  <c r="V36" i="25"/>
  <c r="AB36" i="25" s="1"/>
  <c r="X35" i="25"/>
  <c r="AD35" i="25" s="1"/>
  <c r="W35" i="25"/>
  <c r="AC35" i="25" s="1"/>
  <c r="V35" i="25"/>
  <c r="AB35" i="25" s="1"/>
  <c r="X34" i="25"/>
  <c r="AD34" i="25" s="1"/>
  <c r="W34" i="25"/>
  <c r="AC34" i="25" s="1"/>
  <c r="V34" i="25"/>
  <c r="AB34" i="25" s="1"/>
  <c r="X33" i="25"/>
  <c r="AD33" i="25" s="1"/>
  <c r="W33" i="25"/>
  <c r="AC33" i="25" s="1"/>
  <c r="V33" i="25"/>
  <c r="X32" i="25"/>
  <c r="AD32" i="25" s="1"/>
  <c r="W32" i="25"/>
  <c r="AC32" i="25" s="1"/>
  <c r="V32" i="25"/>
  <c r="AB32" i="25" s="1"/>
  <c r="X31" i="25"/>
  <c r="AD31" i="25" s="1"/>
  <c r="W31" i="25"/>
  <c r="AC31" i="25" s="1"/>
  <c r="V31" i="25"/>
  <c r="AB31" i="25" s="1"/>
  <c r="X30" i="25"/>
  <c r="AD30" i="25" s="1"/>
  <c r="W30" i="25"/>
  <c r="AC30" i="25" s="1"/>
  <c r="V30" i="25"/>
  <c r="AB30" i="25" s="1"/>
  <c r="X29" i="25"/>
  <c r="AD29" i="25" s="1"/>
  <c r="W29" i="25"/>
  <c r="AC29" i="25" s="1"/>
  <c r="V29" i="25"/>
  <c r="AB29" i="25" s="1"/>
  <c r="X28" i="25"/>
  <c r="AD28" i="25" s="1"/>
  <c r="W28" i="25"/>
  <c r="V28" i="25"/>
  <c r="AB28" i="25" s="1"/>
  <c r="X27" i="25"/>
  <c r="AD27" i="25" s="1"/>
  <c r="W27" i="25"/>
  <c r="AC27" i="25" s="1"/>
  <c r="V27" i="25"/>
  <c r="AB27" i="25" s="1"/>
  <c r="X26" i="25"/>
  <c r="AD26" i="25" s="1"/>
  <c r="W26" i="25"/>
  <c r="AC26" i="25" s="1"/>
  <c r="V26" i="25"/>
  <c r="AB26" i="25" s="1"/>
  <c r="AD51" i="15"/>
  <c r="AB51" i="15"/>
  <c r="AA51" i="15"/>
  <c r="Z51" i="15"/>
  <c r="X51" i="15"/>
  <c r="W51" i="15"/>
  <c r="V51" i="15"/>
  <c r="U51" i="15"/>
  <c r="AD50" i="15"/>
  <c r="AB50" i="15"/>
  <c r="AA50" i="15"/>
  <c r="Z50" i="15"/>
  <c r="X50" i="15"/>
  <c r="W50" i="15"/>
  <c r="V50" i="15"/>
  <c r="U50" i="15"/>
  <c r="AD49" i="15"/>
  <c r="AB49" i="15"/>
  <c r="AA49" i="15"/>
  <c r="AA49" i="16" s="1"/>
  <c r="Z49" i="15"/>
  <c r="X49" i="15"/>
  <c r="W49" i="15"/>
  <c r="V49" i="15"/>
  <c r="U49" i="15"/>
  <c r="AD48" i="15"/>
  <c r="AB48" i="15"/>
  <c r="AA48" i="15"/>
  <c r="Z48" i="15"/>
  <c r="X48" i="15"/>
  <c r="W48" i="15"/>
  <c r="V48" i="15"/>
  <c r="U48" i="15"/>
  <c r="AD47" i="15"/>
  <c r="AB47" i="15"/>
  <c r="AA47" i="15"/>
  <c r="Z47" i="15"/>
  <c r="X47" i="15"/>
  <c r="W47" i="15"/>
  <c r="V47" i="15"/>
  <c r="U47" i="15"/>
  <c r="AD46" i="15"/>
  <c r="AB46" i="15"/>
  <c r="AA46" i="15"/>
  <c r="Z46" i="15"/>
  <c r="Y46" i="15"/>
  <c r="X46" i="15"/>
  <c r="W46" i="15"/>
  <c r="V46" i="15"/>
  <c r="U46" i="15"/>
  <c r="AD45" i="15"/>
  <c r="AB45" i="15"/>
  <c r="AA45" i="15"/>
  <c r="AA45" i="16" s="1"/>
  <c r="Z45" i="15"/>
  <c r="Z45" i="16" s="1"/>
  <c r="X45" i="15"/>
  <c r="W45" i="15"/>
  <c r="V45" i="15"/>
  <c r="U45" i="15"/>
  <c r="AD44" i="15"/>
  <c r="AB44" i="15"/>
  <c r="AA44" i="15"/>
  <c r="AA44" i="16" s="1"/>
  <c r="Z44" i="15"/>
  <c r="X44" i="15"/>
  <c r="W44" i="15"/>
  <c r="V44" i="15"/>
  <c r="U44" i="15"/>
  <c r="AD43" i="15"/>
  <c r="AB43" i="15"/>
  <c r="AA43" i="15"/>
  <c r="AA43" i="16" s="1"/>
  <c r="Z43" i="15"/>
  <c r="X43" i="15"/>
  <c r="W43" i="15"/>
  <c r="V43" i="15"/>
  <c r="U43" i="15"/>
  <c r="AD42" i="15"/>
  <c r="AB42" i="15"/>
  <c r="AA42" i="15"/>
  <c r="AA42" i="16" s="1"/>
  <c r="Z42" i="15"/>
  <c r="X42" i="15"/>
  <c r="W42" i="15"/>
  <c r="V42" i="15"/>
  <c r="U42" i="15"/>
  <c r="AD41" i="15"/>
  <c r="AB41" i="15"/>
  <c r="AA41" i="15"/>
  <c r="AA41" i="16" s="1"/>
  <c r="Z41" i="15"/>
  <c r="X41" i="15"/>
  <c r="W41" i="15"/>
  <c r="V41" i="15"/>
  <c r="U41" i="15"/>
  <c r="AD40" i="15"/>
  <c r="AB40" i="15"/>
  <c r="AA40" i="15"/>
  <c r="Z40" i="15"/>
  <c r="X40" i="15"/>
  <c r="W40" i="15"/>
  <c r="V40" i="15"/>
  <c r="U40" i="15"/>
  <c r="AD39" i="15"/>
  <c r="AB39" i="15"/>
  <c r="AA39" i="15"/>
  <c r="Z39" i="15"/>
  <c r="X39" i="15"/>
  <c r="W39" i="15"/>
  <c r="V39" i="15"/>
  <c r="U39" i="15"/>
  <c r="AD38" i="15"/>
  <c r="AB38" i="15"/>
  <c r="AA38" i="15"/>
  <c r="Z38" i="15"/>
  <c r="Z38" i="16" s="1"/>
  <c r="X38" i="15"/>
  <c r="W38" i="15"/>
  <c r="V38" i="15"/>
  <c r="U38" i="15"/>
  <c r="AD37" i="15"/>
  <c r="AB37" i="15"/>
  <c r="AA37" i="15"/>
  <c r="AA37" i="16" s="1"/>
  <c r="Z37" i="15"/>
  <c r="X37" i="15"/>
  <c r="W37" i="15"/>
  <c r="V37" i="15"/>
  <c r="U37" i="15"/>
  <c r="AD36" i="15"/>
  <c r="AB36" i="15"/>
  <c r="AA36" i="15"/>
  <c r="Z36" i="15"/>
  <c r="X36" i="15"/>
  <c r="W36" i="15"/>
  <c r="V36" i="15"/>
  <c r="U36" i="15"/>
  <c r="AD35" i="15"/>
  <c r="AB35" i="15"/>
  <c r="AA35" i="15"/>
  <c r="Z35" i="15"/>
  <c r="Z35" i="16" s="1"/>
  <c r="X35" i="15"/>
  <c r="W35" i="15"/>
  <c r="V35" i="15"/>
  <c r="U35" i="15"/>
  <c r="AD34" i="15"/>
  <c r="AB34" i="15"/>
  <c r="AA34" i="15"/>
  <c r="Z34" i="15"/>
  <c r="X34" i="15"/>
  <c r="W34" i="15"/>
  <c r="V34" i="15"/>
  <c r="U34" i="15"/>
  <c r="AD33" i="15"/>
  <c r="AB33" i="15"/>
  <c r="AA33" i="15"/>
  <c r="AA33" i="16" s="1"/>
  <c r="Z33" i="15"/>
  <c r="X33" i="15"/>
  <c r="W33" i="15"/>
  <c r="V33" i="15"/>
  <c r="U33" i="15"/>
  <c r="AD32" i="15"/>
  <c r="AB32" i="15"/>
  <c r="AA32" i="15"/>
  <c r="Z32" i="15"/>
  <c r="X32" i="15"/>
  <c r="W32" i="15"/>
  <c r="V32" i="15"/>
  <c r="U32" i="15"/>
  <c r="AD31" i="15"/>
  <c r="AB31" i="15"/>
  <c r="AA31" i="15"/>
  <c r="Z31" i="15"/>
  <c r="X31" i="15"/>
  <c r="W31" i="15"/>
  <c r="V31" i="15"/>
  <c r="U31" i="15"/>
  <c r="AD30" i="15"/>
  <c r="AB30" i="15"/>
  <c r="AA30" i="15"/>
  <c r="Z30" i="15"/>
  <c r="Y30" i="15"/>
  <c r="X30" i="15"/>
  <c r="W30" i="15"/>
  <c r="V30" i="15"/>
  <c r="U30" i="15"/>
  <c r="AD29" i="15"/>
  <c r="AB29" i="15"/>
  <c r="AA29" i="15"/>
  <c r="AA29" i="16" s="1"/>
  <c r="Z29" i="15"/>
  <c r="Z29" i="16" s="1"/>
  <c r="X29" i="15"/>
  <c r="W29" i="15"/>
  <c r="V29" i="15"/>
  <c r="U29" i="15"/>
  <c r="AD28" i="15"/>
  <c r="AB28" i="15"/>
  <c r="AA28" i="15"/>
  <c r="Z28" i="15"/>
  <c r="X28" i="15"/>
  <c r="W28" i="15"/>
  <c r="V28" i="15"/>
  <c r="U28" i="15"/>
  <c r="AD27" i="15"/>
  <c r="AB27" i="15"/>
  <c r="AA27" i="15"/>
  <c r="AA27" i="16" s="1"/>
  <c r="Z27" i="15"/>
  <c r="Z27" i="16" s="1"/>
  <c r="X27" i="15"/>
  <c r="W27" i="15"/>
  <c r="V27" i="15"/>
  <c r="U27" i="15"/>
  <c r="AD26" i="15"/>
  <c r="AB26" i="15"/>
  <c r="AA26" i="15"/>
  <c r="AA26" i="16" s="1"/>
  <c r="Z26" i="15"/>
  <c r="Z26" i="16" s="1"/>
  <c r="X26" i="15"/>
  <c r="W26" i="15"/>
  <c r="V26" i="15"/>
  <c r="U26" i="15"/>
  <c r="AD25" i="15"/>
  <c r="AC25" i="15"/>
  <c r="AB25" i="15"/>
  <c r="AA25" i="15"/>
  <c r="AA25" i="16" s="1"/>
  <c r="Z25" i="15"/>
  <c r="Z25" i="16" s="1"/>
  <c r="Y25" i="15"/>
  <c r="X25" i="15"/>
  <c r="W25" i="15"/>
  <c r="V25" i="15"/>
  <c r="U25" i="15"/>
  <c r="AD24" i="15"/>
  <c r="AB24" i="15"/>
  <c r="AA24" i="15"/>
  <c r="Z24" i="15"/>
  <c r="X24" i="15"/>
  <c r="W24" i="15"/>
  <c r="V24" i="15"/>
  <c r="U24" i="15"/>
  <c r="AD23" i="15"/>
  <c r="AB23" i="15"/>
  <c r="AA23" i="15"/>
  <c r="Z23" i="15"/>
  <c r="X23" i="15"/>
  <c r="W23" i="15"/>
  <c r="V23" i="15"/>
  <c r="U23" i="15"/>
  <c r="AD22" i="15"/>
  <c r="AB22" i="15"/>
  <c r="AA22" i="15"/>
  <c r="Z22" i="15"/>
  <c r="Z22" i="16" s="1"/>
  <c r="X22" i="15"/>
  <c r="W22" i="15"/>
  <c r="V22" i="15"/>
  <c r="U22" i="15"/>
  <c r="AD21" i="15"/>
  <c r="AB21" i="15"/>
  <c r="AA21" i="15"/>
  <c r="AA21" i="16" s="1"/>
  <c r="Z21" i="15"/>
  <c r="X21" i="15"/>
  <c r="W21" i="15"/>
  <c r="V21" i="15"/>
  <c r="U21" i="15"/>
  <c r="AD20" i="15"/>
  <c r="AC20" i="15"/>
  <c r="AB20" i="15"/>
  <c r="AA20" i="15"/>
  <c r="Z20" i="15"/>
  <c r="Y20" i="15"/>
  <c r="X20" i="15"/>
  <c r="W20" i="15"/>
  <c r="V20" i="15"/>
  <c r="U20" i="15"/>
  <c r="AD19" i="15"/>
  <c r="AC19" i="15"/>
  <c r="AB19" i="15"/>
  <c r="AA19" i="15"/>
  <c r="AA19" i="16" s="1"/>
  <c r="Z19" i="15"/>
  <c r="Z19" i="16" s="1"/>
  <c r="Y19" i="15"/>
  <c r="X19" i="15"/>
  <c r="W19" i="15"/>
  <c r="V19" i="15"/>
  <c r="U19" i="15"/>
  <c r="AD18" i="15"/>
  <c r="AC18" i="15"/>
  <c r="AB18" i="15"/>
  <c r="AA18" i="15"/>
  <c r="Z18" i="15"/>
  <c r="Z18" i="16" s="1"/>
  <c r="Y18" i="15"/>
  <c r="X18" i="15"/>
  <c r="W18" i="15"/>
  <c r="V18" i="15"/>
  <c r="U18" i="15"/>
  <c r="AD17" i="15"/>
  <c r="AC17" i="15"/>
  <c r="AB17" i="15"/>
  <c r="AA17" i="15"/>
  <c r="AA17" i="16" s="1"/>
  <c r="Z17" i="15"/>
  <c r="Y17" i="15"/>
  <c r="X17" i="15"/>
  <c r="W17" i="15"/>
  <c r="V17" i="15"/>
  <c r="U17" i="15"/>
  <c r="AD16" i="15"/>
  <c r="AC16" i="15"/>
  <c r="AB16" i="15"/>
  <c r="AA16" i="15"/>
  <c r="Z16" i="15"/>
  <c r="Y16" i="15"/>
  <c r="X16" i="15"/>
  <c r="W16" i="15"/>
  <c r="V16" i="15"/>
  <c r="U16" i="15"/>
  <c r="AD15" i="15"/>
  <c r="AC15" i="15"/>
  <c r="AB15" i="15"/>
  <c r="AA15" i="15"/>
  <c r="AA15" i="16" s="1"/>
  <c r="Z15" i="15"/>
  <c r="Y15" i="15"/>
  <c r="X15" i="15"/>
  <c r="W15" i="15"/>
  <c r="V15" i="15"/>
  <c r="U15" i="15"/>
  <c r="AD14" i="15"/>
  <c r="AC14" i="15"/>
  <c r="AB14" i="15"/>
  <c r="AA14" i="15"/>
  <c r="Z14" i="15"/>
  <c r="Y14" i="15"/>
  <c r="X14" i="15"/>
  <c r="W14" i="15"/>
  <c r="V14" i="15"/>
  <c r="U14" i="15"/>
  <c r="AD13" i="15"/>
  <c r="AC13" i="15"/>
  <c r="AB13" i="15"/>
  <c r="AA13" i="15"/>
  <c r="AA13" i="16" s="1"/>
  <c r="Z13" i="15"/>
  <c r="Z13" i="16" s="1"/>
  <c r="Y13" i="15"/>
  <c r="X13" i="15"/>
  <c r="W13" i="15"/>
  <c r="V13" i="15"/>
  <c r="U13" i="15"/>
  <c r="AD12" i="15"/>
  <c r="AC12" i="15"/>
  <c r="AB12" i="15"/>
  <c r="AA12" i="15"/>
  <c r="Z12" i="15"/>
  <c r="Y12" i="15"/>
  <c r="X12" i="15"/>
  <c r="W12" i="15"/>
  <c r="V12" i="15"/>
  <c r="U12" i="15"/>
  <c r="AD11" i="15"/>
  <c r="AC11" i="15"/>
  <c r="AB11" i="15"/>
  <c r="AA11" i="15"/>
  <c r="AA11" i="16" s="1"/>
  <c r="Z11" i="15"/>
  <c r="Y11" i="15"/>
  <c r="X11" i="15"/>
  <c r="W11" i="15"/>
  <c r="V11" i="15"/>
  <c r="U11" i="15"/>
  <c r="AD10" i="15"/>
  <c r="AC10" i="15"/>
  <c r="AB10" i="15"/>
  <c r="AA10" i="15"/>
  <c r="Z10" i="15"/>
  <c r="Y10" i="15"/>
  <c r="X10" i="15"/>
  <c r="W10" i="15"/>
  <c r="V10" i="15"/>
  <c r="U10" i="15"/>
  <c r="AD9" i="15"/>
  <c r="AC9" i="15"/>
  <c r="AB9" i="15"/>
  <c r="AA9" i="15"/>
  <c r="AA9" i="16" s="1"/>
  <c r="Z9" i="15"/>
  <c r="Y9" i="15"/>
  <c r="X9" i="15"/>
  <c r="W9" i="15"/>
  <c r="V9" i="15"/>
  <c r="U9" i="15"/>
  <c r="AD8" i="15"/>
  <c r="AC8" i="15"/>
  <c r="AB8" i="15"/>
  <c r="AA8" i="15"/>
  <c r="Z8" i="15"/>
  <c r="Y8" i="15"/>
  <c r="X8" i="15"/>
  <c r="W8" i="15"/>
  <c r="V8" i="15"/>
  <c r="U8" i="15"/>
  <c r="AD7" i="15"/>
  <c r="AC7" i="15"/>
  <c r="AB7" i="15"/>
  <c r="AA7" i="15"/>
  <c r="AA7" i="16" s="1"/>
  <c r="Z7" i="15"/>
  <c r="Y7" i="15"/>
  <c r="X7" i="15"/>
  <c r="W7" i="15"/>
  <c r="V7" i="15"/>
  <c r="U7" i="15"/>
  <c r="AD6" i="15"/>
  <c r="AC6" i="15"/>
  <c r="AB6" i="15"/>
  <c r="AA6" i="15"/>
  <c r="Z6" i="15"/>
  <c r="Z6" i="16" s="1"/>
  <c r="Y6" i="15"/>
  <c r="X6" i="15"/>
  <c r="W6" i="15"/>
  <c r="V6" i="15"/>
  <c r="U6" i="15"/>
  <c r="AD5" i="15"/>
  <c r="AC5" i="15"/>
  <c r="AB5" i="15"/>
  <c r="AA5" i="15"/>
  <c r="AA5" i="16" s="1"/>
  <c r="Z5" i="15"/>
  <c r="Y5" i="15"/>
  <c r="X5" i="15"/>
  <c r="W5" i="15"/>
  <c r="V5" i="15"/>
  <c r="U5" i="15"/>
  <c r="AP51" i="23"/>
  <c r="AC51" i="23"/>
  <c r="AC51" i="15" s="1"/>
  <c r="Y51" i="23"/>
  <c r="Y51" i="15" s="1"/>
  <c r="AP50" i="23"/>
  <c r="AC50" i="23"/>
  <c r="AC50" i="15" s="1"/>
  <c r="Y50" i="23"/>
  <c r="Y50" i="15" s="1"/>
  <c r="AP49" i="23"/>
  <c r="AC49" i="23"/>
  <c r="AC49" i="15" s="1"/>
  <c r="Y49" i="23"/>
  <c r="Y49" i="15" s="1"/>
  <c r="AP48" i="23"/>
  <c r="AC48" i="23"/>
  <c r="AC48" i="15" s="1"/>
  <c r="Y48" i="23"/>
  <c r="Y48" i="15" s="1"/>
  <c r="AP47" i="23"/>
  <c r="AC47" i="23"/>
  <c r="AC47" i="15" s="1"/>
  <c r="Y47" i="23"/>
  <c r="Y47" i="15" s="1"/>
  <c r="AP46" i="23"/>
  <c r="AC46" i="23"/>
  <c r="AC46" i="15" s="1"/>
  <c r="Y46" i="23"/>
  <c r="AP45" i="23"/>
  <c r="AC45" i="23"/>
  <c r="AC45" i="15" s="1"/>
  <c r="Y45" i="23"/>
  <c r="Y45" i="15" s="1"/>
  <c r="AP44" i="23"/>
  <c r="AC44" i="23"/>
  <c r="AC44" i="15" s="1"/>
  <c r="Y44" i="23"/>
  <c r="Y44" i="15" s="1"/>
  <c r="AP43" i="23"/>
  <c r="AC43" i="23"/>
  <c r="AC43" i="15" s="1"/>
  <c r="Y43" i="23"/>
  <c r="Y43" i="15" s="1"/>
  <c r="AP42" i="23"/>
  <c r="AC42" i="23"/>
  <c r="AC42" i="15" s="1"/>
  <c r="Y42" i="23"/>
  <c r="Y42" i="15" s="1"/>
  <c r="AP41" i="23"/>
  <c r="AC41" i="23"/>
  <c r="AC41" i="15" s="1"/>
  <c r="Y41" i="23"/>
  <c r="Y41" i="15" s="1"/>
  <c r="AP40" i="23"/>
  <c r="AC40" i="23"/>
  <c r="AC40" i="15" s="1"/>
  <c r="Y40" i="23"/>
  <c r="Y40" i="15" s="1"/>
  <c r="AP39" i="23"/>
  <c r="AC39" i="23"/>
  <c r="AC39" i="15" s="1"/>
  <c r="Y39" i="23"/>
  <c r="Y39" i="15" s="1"/>
  <c r="AP38" i="23"/>
  <c r="AC38" i="23"/>
  <c r="AC38" i="15" s="1"/>
  <c r="Y38" i="23"/>
  <c r="Y38" i="15" s="1"/>
  <c r="AP37" i="23"/>
  <c r="AC37" i="23"/>
  <c r="AC37" i="15" s="1"/>
  <c r="Y37" i="23"/>
  <c r="Y37" i="15" s="1"/>
  <c r="AP36" i="23"/>
  <c r="AC36" i="23"/>
  <c r="AC36" i="15" s="1"/>
  <c r="Y36" i="23"/>
  <c r="Y36" i="15" s="1"/>
  <c r="AP35" i="23"/>
  <c r="AC35" i="23"/>
  <c r="AC35" i="15" s="1"/>
  <c r="Y35" i="23"/>
  <c r="Y35" i="15" s="1"/>
  <c r="AP34" i="23"/>
  <c r="AC34" i="23"/>
  <c r="AC34" i="15" s="1"/>
  <c r="Y34" i="23"/>
  <c r="Y34" i="15" s="1"/>
  <c r="AP33" i="23"/>
  <c r="AC33" i="23"/>
  <c r="AC33" i="15" s="1"/>
  <c r="Y33" i="23"/>
  <c r="Y33" i="15" s="1"/>
  <c r="AP32" i="23"/>
  <c r="AC32" i="23"/>
  <c r="AC32" i="15" s="1"/>
  <c r="Y32" i="23"/>
  <c r="Y32" i="15" s="1"/>
  <c r="AP31" i="23"/>
  <c r="AC31" i="23"/>
  <c r="AC31" i="15" s="1"/>
  <c r="Y31" i="23"/>
  <c r="Y31" i="15" s="1"/>
  <c r="AP30" i="23"/>
  <c r="AC30" i="23"/>
  <c r="AC30" i="15" s="1"/>
  <c r="Y30" i="23"/>
  <c r="AP29" i="23"/>
  <c r="AC29" i="23"/>
  <c r="AC29" i="15" s="1"/>
  <c r="Y29" i="23"/>
  <c r="Y29" i="15" s="1"/>
  <c r="AP28" i="23"/>
  <c r="AC28" i="23"/>
  <c r="AC28" i="15" s="1"/>
  <c r="Y28" i="23"/>
  <c r="Y28" i="15" s="1"/>
  <c r="AP27" i="23"/>
  <c r="AC27" i="23"/>
  <c r="AC27" i="15" s="1"/>
  <c r="Y27" i="23"/>
  <c r="Y27" i="15" s="1"/>
  <c r="AP26" i="23"/>
  <c r="AC26" i="23"/>
  <c r="AC26" i="15" s="1"/>
  <c r="Y26" i="23"/>
  <c r="Y26" i="15" s="1"/>
  <c r="AP24" i="23"/>
  <c r="AC24" i="23"/>
  <c r="AC24" i="15" s="1"/>
  <c r="Y24" i="23"/>
  <c r="Y24" i="15" s="1"/>
  <c r="AP23" i="23"/>
  <c r="AC23" i="23"/>
  <c r="AC23" i="15" s="1"/>
  <c r="Y23" i="23"/>
  <c r="Y23" i="15" s="1"/>
  <c r="AP22" i="23"/>
  <c r="AC22" i="23"/>
  <c r="AC22" i="15" s="1"/>
  <c r="Y22" i="23"/>
  <c r="Y22" i="15" s="1"/>
  <c r="AP21" i="23"/>
  <c r="AC21" i="23"/>
  <c r="AC21" i="15" s="1"/>
  <c r="Y21" i="23"/>
  <c r="Y21" i="15" s="1"/>
  <c r="X46" i="22"/>
  <c r="V46" i="22"/>
  <c r="T46" i="22"/>
  <c r="P46" i="22"/>
  <c r="O46" i="22"/>
  <c r="N46" i="22"/>
  <c r="M46" i="22"/>
  <c r="V45" i="22"/>
  <c r="U45" i="22"/>
  <c r="T45" i="22"/>
  <c r="P45" i="22"/>
  <c r="O45" i="22"/>
  <c r="N45" i="22"/>
  <c r="M45" i="22"/>
  <c r="X44" i="22"/>
  <c r="V44" i="22"/>
  <c r="U44" i="22"/>
  <c r="T44" i="22"/>
  <c r="P44" i="22"/>
  <c r="O44" i="22"/>
  <c r="N44" i="22"/>
  <c r="M44" i="22"/>
  <c r="X46" i="21"/>
  <c r="V46" i="21"/>
  <c r="T46" i="21"/>
  <c r="P46" i="21"/>
  <c r="O46" i="21"/>
  <c r="N46" i="21"/>
  <c r="M46" i="21"/>
  <c r="V45" i="21"/>
  <c r="U45" i="21"/>
  <c r="T45" i="21"/>
  <c r="P45" i="21"/>
  <c r="O45" i="21"/>
  <c r="N45" i="21"/>
  <c r="M45" i="21"/>
  <c r="X44" i="21"/>
  <c r="V44" i="21"/>
  <c r="V48" i="21" s="1"/>
  <c r="U44" i="21"/>
  <c r="U48" i="21" s="1"/>
  <c r="T44" i="21"/>
  <c r="T48" i="21" s="1"/>
  <c r="P44" i="21"/>
  <c r="P48" i="21" s="1"/>
  <c r="O44" i="21"/>
  <c r="O48" i="21" s="1"/>
  <c r="N44" i="21"/>
  <c r="N48" i="21" s="1"/>
  <c r="M44" i="21"/>
  <c r="M48" i="21" s="1"/>
  <c r="Y41" i="20"/>
  <c r="Y40" i="20"/>
  <c r="Y39" i="20"/>
  <c r="Y38" i="20"/>
  <c r="Y37" i="20"/>
  <c r="Y36" i="20"/>
  <c r="Y35" i="20"/>
  <c r="Y34" i="20"/>
  <c r="Y33" i="20"/>
  <c r="Y32" i="20"/>
  <c r="Y31" i="20"/>
  <c r="Y30" i="20"/>
  <c r="Y29" i="20"/>
  <c r="Y28" i="20"/>
  <c r="Y27" i="20"/>
  <c r="Y26" i="20"/>
  <c r="Y25" i="20"/>
  <c r="Y24" i="20"/>
  <c r="Y23" i="20"/>
  <c r="Y22" i="20"/>
  <c r="Y21" i="20"/>
  <c r="Y20" i="20"/>
  <c r="Y19" i="20"/>
  <c r="Y18" i="20"/>
  <c r="Y17" i="20"/>
  <c r="Y16" i="20"/>
  <c r="Y15" i="20"/>
  <c r="Y14" i="20"/>
  <c r="Y13" i="20"/>
  <c r="Y12" i="20"/>
  <c r="Y11" i="20"/>
  <c r="Y10" i="20"/>
  <c r="Y9" i="20"/>
  <c r="Y8" i="20"/>
  <c r="Y7" i="20"/>
  <c r="Y6" i="20"/>
  <c r="Y5" i="20"/>
  <c r="X46" i="20"/>
  <c r="V46" i="20"/>
  <c r="T46" i="20"/>
  <c r="P46" i="20"/>
  <c r="O46" i="20"/>
  <c r="N46" i="20"/>
  <c r="M46" i="20"/>
  <c r="V45" i="20"/>
  <c r="U45" i="20"/>
  <c r="T45" i="20"/>
  <c r="P45" i="20"/>
  <c r="O45" i="20"/>
  <c r="N45" i="20"/>
  <c r="M45" i="20"/>
  <c r="X44" i="20"/>
  <c r="V44" i="20"/>
  <c r="V48" i="20" s="1"/>
  <c r="U44" i="20"/>
  <c r="U48" i="20" s="1"/>
  <c r="T44" i="20"/>
  <c r="T48" i="20" s="1"/>
  <c r="P44" i="20"/>
  <c r="P48" i="20" s="1"/>
  <c r="O44" i="20"/>
  <c r="O48" i="20" s="1"/>
  <c r="N44" i="20"/>
  <c r="N48" i="20" s="1"/>
  <c r="M44" i="20"/>
  <c r="M48" i="20" s="1"/>
  <c r="X46" i="19"/>
  <c r="X44" i="19"/>
  <c r="V46" i="19"/>
  <c r="V45" i="19"/>
  <c r="V44" i="19"/>
  <c r="U45" i="19"/>
  <c r="U44" i="19"/>
  <c r="T46" i="19"/>
  <c r="T45" i="19"/>
  <c r="T44" i="19"/>
  <c r="R47" i="19"/>
  <c r="P46" i="19"/>
  <c r="P45" i="19"/>
  <c r="P44" i="19"/>
  <c r="O46" i="19"/>
  <c r="O45" i="19"/>
  <c r="O44" i="19"/>
  <c r="N46" i="19"/>
  <c r="N45" i="19"/>
  <c r="N44" i="19"/>
  <c r="M46" i="19"/>
  <c r="M45" i="19"/>
  <c r="M44" i="19"/>
  <c r="Z41" i="19"/>
  <c r="Z40" i="19"/>
  <c r="Z39" i="19"/>
  <c r="Z38" i="19"/>
  <c r="Z37" i="19"/>
  <c r="Z36" i="19"/>
  <c r="Z35" i="19"/>
  <c r="Z34" i="19"/>
  <c r="Z33" i="19"/>
  <c r="Z32" i="19"/>
  <c r="Z31" i="19"/>
  <c r="Z30" i="19"/>
  <c r="Z29" i="19"/>
  <c r="Z28" i="19"/>
  <c r="Z27" i="19"/>
  <c r="Z26" i="19"/>
  <c r="Z25" i="19"/>
  <c r="Z24" i="19"/>
  <c r="Z23" i="19"/>
  <c r="Z22" i="19"/>
  <c r="Z21" i="19"/>
  <c r="Z20" i="19"/>
  <c r="Z19" i="19"/>
  <c r="Z18" i="19"/>
  <c r="Z17" i="19"/>
  <c r="Z16" i="19"/>
  <c r="Z14" i="19"/>
  <c r="Z13" i="19"/>
  <c r="Z12" i="19"/>
  <c r="Z11" i="19"/>
  <c r="V41" i="19"/>
  <c r="V40" i="19"/>
  <c r="V39" i="19"/>
  <c r="V38" i="19"/>
  <c r="V37" i="19"/>
  <c r="V36" i="19"/>
  <c r="V35" i="19"/>
  <c r="V34" i="19"/>
  <c r="V33" i="19"/>
  <c r="V32" i="19"/>
  <c r="V31" i="19"/>
  <c r="V30" i="19"/>
  <c r="V29" i="19"/>
  <c r="V28" i="19"/>
  <c r="V27" i="19"/>
  <c r="V26" i="19"/>
  <c r="V25" i="19"/>
  <c r="V24" i="19"/>
  <c r="V23" i="19"/>
  <c r="V22" i="19"/>
  <c r="V21" i="19"/>
  <c r="V20" i="19"/>
  <c r="V19" i="19"/>
  <c r="V18" i="19"/>
  <c r="V17" i="19"/>
  <c r="V16" i="19"/>
  <c r="V14" i="19"/>
  <c r="V13" i="19"/>
  <c r="V12" i="19"/>
  <c r="V11" i="19"/>
  <c r="U41" i="19"/>
  <c r="U40" i="19"/>
  <c r="U39" i="19"/>
  <c r="U38" i="19"/>
  <c r="U37" i="19"/>
  <c r="U36" i="19"/>
  <c r="U35" i="19"/>
  <c r="U34" i="19"/>
  <c r="U33" i="19"/>
  <c r="U32" i="19"/>
  <c r="U31" i="19"/>
  <c r="U30" i="19"/>
  <c r="U29" i="19"/>
  <c r="U28" i="19"/>
  <c r="U27" i="19"/>
  <c r="U26" i="19"/>
  <c r="U25" i="19"/>
  <c r="U24" i="19"/>
  <c r="U23" i="19"/>
  <c r="U22" i="19"/>
  <c r="U21" i="19"/>
  <c r="U20" i="19"/>
  <c r="U19" i="19"/>
  <c r="U18" i="19"/>
  <c r="U17" i="19"/>
  <c r="U16" i="19"/>
  <c r="U14" i="19"/>
  <c r="U13" i="19"/>
  <c r="U12" i="19"/>
  <c r="U11" i="19"/>
  <c r="T41" i="19"/>
  <c r="T40" i="19"/>
  <c r="T39" i="19"/>
  <c r="T38" i="19"/>
  <c r="T37" i="19"/>
  <c r="T36" i="19"/>
  <c r="T35" i="19"/>
  <c r="T34" i="19"/>
  <c r="T33" i="19"/>
  <c r="T32" i="19"/>
  <c r="T31" i="19"/>
  <c r="T30" i="19"/>
  <c r="T29" i="19"/>
  <c r="T28" i="19"/>
  <c r="T27" i="19"/>
  <c r="T26" i="19"/>
  <c r="T25" i="19"/>
  <c r="T24" i="19"/>
  <c r="T23" i="19"/>
  <c r="T22" i="19"/>
  <c r="T21" i="19"/>
  <c r="T20" i="19"/>
  <c r="T19" i="19"/>
  <c r="T18" i="19"/>
  <c r="T17" i="19"/>
  <c r="T16" i="19"/>
  <c r="T14" i="19"/>
  <c r="T13" i="19"/>
  <c r="T12" i="19"/>
  <c r="T11" i="19"/>
  <c r="R41" i="19"/>
  <c r="R40" i="19"/>
  <c r="R39" i="19"/>
  <c r="R38" i="19"/>
  <c r="R37" i="19"/>
  <c r="R36" i="19"/>
  <c r="R35" i="19"/>
  <c r="R34" i="19"/>
  <c r="R33" i="19"/>
  <c r="R32" i="19"/>
  <c r="R31" i="19"/>
  <c r="R30" i="19"/>
  <c r="R29" i="19"/>
  <c r="R28" i="19"/>
  <c r="R27" i="19"/>
  <c r="R26" i="19"/>
  <c r="R25" i="19"/>
  <c r="R24" i="19"/>
  <c r="R23" i="19"/>
  <c r="R22" i="19"/>
  <c r="R21" i="19"/>
  <c r="R20" i="19"/>
  <c r="R19" i="19"/>
  <c r="R18" i="19"/>
  <c r="R17" i="19"/>
  <c r="R16" i="19"/>
  <c r="R14" i="19"/>
  <c r="R13" i="19"/>
  <c r="R12" i="19"/>
  <c r="R11" i="19"/>
  <c r="P41" i="19"/>
  <c r="P40" i="19"/>
  <c r="P39" i="19"/>
  <c r="P38" i="19"/>
  <c r="P37" i="19"/>
  <c r="P36" i="19"/>
  <c r="P35" i="19"/>
  <c r="P34" i="19"/>
  <c r="P33" i="19"/>
  <c r="P32" i="19"/>
  <c r="P31" i="19"/>
  <c r="P30" i="19"/>
  <c r="P29" i="19"/>
  <c r="P28" i="19"/>
  <c r="P27" i="19"/>
  <c r="P26" i="19"/>
  <c r="P25" i="19"/>
  <c r="P24" i="19"/>
  <c r="P23" i="19"/>
  <c r="P22" i="19"/>
  <c r="P21" i="19"/>
  <c r="P20" i="19"/>
  <c r="P19" i="19"/>
  <c r="P18" i="19"/>
  <c r="P17" i="19"/>
  <c r="P16" i="19"/>
  <c r="P14" i="19"/>
  <c r="P13" i="19"/>
  <c r="P12" i="19"/>
  <c r="P11" i="19"/>
  <c r="O41" i="19"/>
  <c r="O40" i="19"/>
  <c r="O39" i="19"/>
  <c r="O38" i="19"/>
  <c r="O37" i="19"/>
  <c r="O36" i="19"/>
  <c r="O35" i="19"/>
  <c r="O34" i="19"/>
  <c r="O33" i="19"/>
  <c r="O32" i="19"/>
  <c r="O31" i="19"/>
  <c r="O30" i="19"/>
  <c r="O29" i="19"/>
  <c r="O28" i="19"/>
  <c r="O27" i="19"/>
  <c r="O26" i="19"/>
  <c r="O25" i="19"/>
  <c r="O24" i="19"/>
  <c r="O23" i="19"/>
  <c r="O22" i="19"/>
  <c r="O21" i="19"/>
  <c r="O20" i="19"/>
  <c r="O19" i="19"/>
  <c r="O18" i="19"/>
  <c r="O17" i="19"/>
  <c r="O16" i="19"/>
  <c r="O14" i="19"/>
  <c r="O13" i="19"/>
  <c r="O12" i="19"/>
  <c r="O11" i="19"/>
  <c r="N41" i="19"/>
  <c r="N40" i="19"/>
  <c r="N39" i="19"/>
  <c r="N38" i="19"/>
  <c r="N37" i="19"/>
  <c r="N36" i="19"/>
  <c r="N35" i="19"/>
  <c r="N34" i="19"/>
  <c r="N33" i="19"/>
  <c r="N32" i="19"/>
  <c r="N31" i="19"/>
  <c r="N30" i="19"/>
  <c r="N29" i="19"/>
  <c r="N28" i="19"/>
  <c r="N27" i="19"/>
  <c r="N26" i="19"/>
  <c r="N25" i="19"/>
  <c r="N24" i="19"/>
  <c r="N23" i="19"/>
  <c r="N22" i="19"/>
  <c r="N21" i="19"/>
  <c r="N20" i="19"/>
  <c r="N19" i="19"/>
  <c r="N18" i="19"/>
  <c r="N17" i="19"/>
  <c r="N16" i="19"/>
  <c r="N14" i="19"/>
  <c r="N13" i="19"/>
  <c r="N12" i="19"/>
  <c r="N11" i="19"/>
  <c r="M41" i="19"/>
  <c r="M40" i="19"/>
  <c r="M39" i="19"/>
  <c r="M38" i="19"/>
  <c r="M37" i="19"/>
  <c r="M36" i="19"/>
  <c r="M35" i="19"/>
  <c r="M34" i="19"/>
  <c r="M33" i="19"/>
  <c r="M32" i="19"/>
  <c r="M31" i="19"/>
  <c r="M30" i="19"/>
  <c r="M29" i="19"/>
  <c r="M28" i="19"/>
  <c r="M27" i="19"/>
  <c r="M26" i="19"/>
  <c r="M25" i="19"/>
  <c r="M24" i="19"/>
  <c r="M23" i="19"/>
  <c r="M22" i="19"/>
  <c r="M21" i="19"/>
  <c r="M20" i="19"/>
  <c r="M19" i="19"/>
  <c r="M18" i="19"/>
  <c r="M17" i="19"/>
  <c r="M16" i="19"/>
  <c r="M14" i="19"/>
  <c r="M13" i="19"/>
  <c r="M12" i="19"/>
  <c r="M11" i="19"/>
  <c r="L41" i="19"/>
  <c r="L40" i="19"/>
  <c r="L39" i="19"/>
  <c r="L38" i="19"/>
  <c r="L37" i="19"/>
  <c r="L36" i="19"/>
  <c r="L35" i="19"/>
  <c r="L34" i="19"/>
  <c r="L33" i="19"/>
  <c r="L32" i="19"/>
  <c r="L31" i="19"/>
  <c r="L30" i="19"/>
  <c r="L29" i="19"/>
  <c r="L28" i="19"/>
  <c r="L27" i="19"/>
  <c r="L26" i="19"/>
  <c r="L25" i="19"/>
  <c r="L24" i="19"/>
  <c r="L23" i="19"/>
  <c r="L22" i="19"/>
  <c r="L21" i="19"/>
  <c r="L20" i="19"/>
  <c r="L19" i="19"/>
  <c r="L18" i="19"/>
  <c r="L17" i="19"/>
  <c r="L16" i="19"/>
  <c r="L14" i="19"/>
  <c r="L13" i="19"/>
  <c r="L12" i="19"/>
  <c r="L11" i="19"/>
  <c r="AK56" i="18"/>
  <c r="AF56" i="18"/>
  <c r="AP54" i="18" s="1"/>
  <c r="AE56" i="18"/>
  <c r="AO54" i="18" s="1"/>
  <c r="AC56" i="18"/>
  <c r="Y56" i="18"/>
  <c r="X56" i="18"/>
  <c r="W56" i="18"/>
  <c r="S56" i="18"/>
  <c r="R56" i="18"/>
  <c r="Q56" i="18"/>
  <c r="P56" i="18"/>
  <c r="O56" i="18"/>
  <c r="M56" i="18"/>
  <c r="L56" i="18"/>
  <c r="AK55" i="18"/>
  <c r="AF55" i="18"/>
  <c r="AC55" i="18"/>
  <c r="AA55" i="18"/>
  <c r="Z55" i="18"/>
  <c r="Y55" i="18"/>
  <c r="X55" i="18"/>
  <c r="W55" i="18"/>
  <c r="V55" i="18"/>
  <c r="U55" i="18"/>
  <c r="S55" i="18"/>
  <c r="R55" i="18"/>
  <c r="Q55" i="18"/>
  <c r="P55" i="18"/>
  <c r="O55" i="18"/>
  <c r="M55" i="18"/>
  <c r="L55" i="18"/>
  <c r="AL57" i="17"/>
  <c r="AG57" i="17"/>
  <c r="AD57" i="17"/>
  <c r="AB57" i="17"/>
  <c r="T57" i="17"/>
  <c r="AK56" i="17"/>
  <c r="AF56" i="17"/>
  <c r="AE56" i="17"/>
  <c r="AC56" i="17"/>
  <c r="Y56" i="17"/>
  <c r="X56" i="17"/>
  <c r="W56" i="17"/>
  <c r="S56" i="17"/>
  <c r="R56" i="17"/>
  <c r="Q56" i="17"/>
  <c r="P56" i="17"/>
  <c r="O56" i="17"/>
  <c r="M56" i="17"/>
  <c r="L56" i="17"/>
  <c r="AK55" i="17"/>
  <c r="AF55" i="17"/>
  <c r="AP54" i="17" s="1"/>
  <c r="AC55" i="17"/>
  <c r="AA55" i="17"/>
  <c r="Z55" i="17"/>
  <c r="Y55" i="17"/>
  <c r="X55" i="17"/>
  <c r="W55" i="17"/>
  <c r="V55" i="17"/>
  <c r="U55" i="17"/>
  <c r="S55" i="17"/>
  <c r="R55" i="17"/>
  <c r="Q55" i="17"/>
  <c r="P55" i="17"/>
  <c r="O55" i="17"/>
  <c r="M55" i="17"/>
  <c r="L55" i="17"/>
  <c r="AL57" i="16"/>
  <c r="AG57" i="16"/>
  <c r="AD57" i="16"/>
  <c r="AB57" i="16"/>
  <c r="T57" i="16"/>
  <c r="AG51" i="16"/>
  <c r="AA51" i="16"/>
  <c r="Z51" i="16"/>
  <c r="AG50" i="16"/>
  <c r="AA50" i="16"/>
  <c r="Z50" i="16"/>
  <c r="AG49" i="16"/>
  <c r="Z49" i="16"/>
  <c r="AG48" i="16"/>
  <c r="AA48" i="16"/>
  <c r="Z48" i="16"/>
  <c r="AG47" i="16"/>
  <c r="AA47" i="16"/>
  <c r="Z47" i="16"/>
  <c r="AG46" i="16"/>
  <c r="AA46" i="16"/>
  <c r="Z46" i="16"/>
  <c r="AG45" i="16"/>
  <c r="AG44" i="16"/>
  <c r="Z44" i="16"/>
  <c r="AG43" i="16"/>
  <c r="Z43" i="16"/>
  <c r="AG42" i="16"/>
  <c r="Z42" i="16"/>
  <c r="AG41" i="16"/>
  <c r="Z41" i="16"/>
  <c r="AG40" i="16"/>
  <c r="AA40" i="16"/>
  <c r="Z40" i="16"/>
  <c r="AG39" i="16"/>
  <c r="AA39" i="16"/>
  <c r="Z39" i="16"/>
  <c r="AG38" i="16"/>
  <c r="AA38" i="16"/>
  <c r="AG37" i="16"/>
  <c r="Z37" i="16"/>
  <c r="AG36" i="16"/>
  <c r="AA36" i="16"/>
  <c r="Z36" i="16"/>
  <c r="AG35" i="16"/>
  <c r="AA35" i="16"/>
  <c r="AG34" i="16"/>
  <c r="AA34" i="16"/>
  <c r="Z34" i="16"/>
  <c r="AG33" i="16"/>
  <c r="Z33" i="16"/>
  <c r="AG32" i="16"/>
  <c r="AA32" i="16"/>
  <c r="Z32" i="16"/>
  <c r="AG31" i="16"/>
  <c r="AA31" i="16"/>
  <c r="Z31" i="16"/>
  <c r="AG30" i="16"/>
  <c r="AA30" i="16"/>
  <c r="Z30" i="16"/>
  <c r="AG29" i="16"/>
  <c r="AG28" i="16"/>
  <c r="AA28" i="16"/>
  <c r="Z28" i="16"/>
  <c r="AG27" i="16"/>
  <c r="AG26" i="16"/>
  <c r="AG25" i="16"/>
  <c r="AG24" i="16"/>
  <c r="AA24" i="16"/>
  <c r="Z24" i="16"/>
  <c r="AG23" i="16"/>
  <c r="AA23" i="16"/>
  <c r="Z23" i="16"/>
  <c r="AG22" i="16"/>
  <c r="AA22" i="16"/>
  <c r="AG21" i="16"/>
  <c r="Z21" i="16"/>
  <c r="AG20" i="16"/>
  <c r="AA20" i="16"/>
  <c r="Z20" i="16"/>
  <c r="AG19" i="16"/>
  <c r="AG18" i="16"/>
  <c r="AA18" i="16"/>
  <c r="AG17" i="16"/>
  <c r="Z17" i="16"/>
  <c r="AG16" i="16"/>
  <c r="AA16" i="16"/>
  <c r="Z16" i="16"/>
  <c r="AG15" i="16"/>
  <c r="Z15" i="16"/>
  <c r="AG14" i="16"/>
  <c r="AA14" i="16"/>
  <c r="Z14" i="16"/>
  <c r="AG13" i="16"/>
  <c r="AG12" i="16"/>
  <c r="AA12" i="16"/>
  <c r="Z12" i="16"/>
  <c r="AG11" i="16"/>
  <c r="Z11" i="16"/>
  <c r="AG10" i="16"/>
  <c r="AA10" i="16"/>
  <c r="Z10" i="16"/>
  <c r="AG9" i="16"/>
  <c r="Z9" i="16"/>
  <c r="AG8" i="16"/>
  <c r="AA8" i="16"/>
  <c r="Z8" i="16"/>
  <c r="AG7" i="16"/>
  <c r="Z7" i="16"/>
  <c r="AG6" i="16"/>
  <c r="AA6" i="16"/>
  <c r="AG5" i="16"/>
  <c r="Z5" i="16"/>
  <c r="AK56" i="16"/>
  <c r="AF56" i="16"/>
  <c r="AE56" i="16"/>
  <c r="AC56" i="16"/>
  <c r="Y56" i="16"/>
  <c r="X56" i="16"/>
  <c r="W56" i="16"/>
  <c r="S56" i="16"/>
  <c r="R56" i="16"/>
  <c r="Q56" i="16"/>
  <c r="P56" i="16"/>
  <c r="O56" i="16"/>
  <c r="M56" i="16"/>
  <c r="L56" i="16"/>
  <c r="AK55" i="16"/>
  <c r="AF55" i="16"/>
  <c r="AC55" i="16"/>
  <c r="AA55" i="16"/>
  <c r="Z55" i="16"/>
  <c r="Y55" i="16"/>
  <c r="X55" i="16"/>
  <c r="W55" i="16"/>
  <c r="V55" i="16"/>
  <c r="U55" i="16"/>
  <c r="S55" i="16"/>
  <c r="R55" i="16"/>
  <c r="Q55" i="16"/>
  <c r="P55" i="16"/>
  <c r="O55" i="16"/>
  <c r="M55" i="16"/>
  <c r="L55" i="16"/>
  <c r="AP51" i="16"/>
  <c r="AP50" i="16"/>
  <c r="AP49" i="16"/>
  <c r="AP48" i="16"/>
  <c r="AP47" i="16"/>
  <c r="AP46" i="16"/>
  <c r="AP45" i="16"/>
  <c r="AP44" i="16"/>
  <c r="AP43" i="16"/>
  <c r="AP42" i="16"/>
  <c r="AP41" i="16"/>
  <c r="AP40" i="16"/>
  <c r="AP39" i="16"/>
  <c r="AP38" i="16"/>
  <c r="AP37" i="16"/>
  <c r="AP36" i="16"/>
  <c r="AP35" i="16"/>
  <c r="AP34" i="16"/>
  <c r="AP33" i="16"/>
  <c r="AP32" i="16"/>
  <c r="AP31" i="16"/>
  <c r="AP30" i="16"/>
  <c r="AP29" i="16"/>
  <c r="AP28" i="16"/>
  <c r="AP27" i="16"/>
  <c r="AP26" i="16"/>
  <c r="AP24" i="16"/>
  <c r="AP23" i="16"/>
  <c r="AP22" i="16"/>
  <c r="AP21" i="16"/>
  <c r="AA56" i="15"/>
  <c r="Z56" i="15"/>
  <c r="AK58" i="15"/>
  <c r="AK57" i="15"/>
  <c r="AK56" i="15"/>
  <c r="AF58" i="15"/>
  <c r="AF57" i="15"/>
  <c r="AF56" i="15"/>
  <c r="AE58" i="15"/>
  <c r="AE56" i="15"/>
  <c r="AD57" i="15"/>
  <c r="AC58" i="15"/>
  <c r="AC57" i="15"/>
  <c r="AC56" i="15"/>
  <c r="AA57" i="15"/>
  <c r="Z57" i="15"/>
  <c r="Y58" i="15"/>
  <c r="Y57" i="15"/>
  <c r="X58" i="15"/>
  <c r="X57" i="15"/>
  <c r="X56" i="15"/>
  <c r="W58" i="15"/>
  <c r="W57" i="15"/>
  <c r="V57" i="15"/>
  <c r="U57" i="15"/>
  <c r="U56" i="15"/>
  <c r="S58" i="15"/>
  <c r="S57" i="15"/>
  <c r="S56" i="15"/>
  <c r="R58" i="15"/>
  <c r="R57" i="15"/>
  <c r="R56" i="15"/>
  <c r="Q58" i="15"/>
  <c r="Q57" i="15"/>
  <c r="Q56" i="15"/>
  <c r="P58" i="15"/>
  <c r="P57" i="15"/>
  <c r="P56" i="15"/>
  <c r="O58" i="15"/>
  <c r="O57" i="15"/>
  <c r="O56" i="15"/>
  <c r="M58" i="15"/>
  <c r="M57" i="15"/>
  <c r="M56" i="15"/>
  <c r="L58" i="15"/>
  <c r="L57" i="15"/>
  <c r="L56" i="15"/>
  <c r="AK16" i="15"/>
  <c r="AK15" i="15"/>
  <c r="AK10" i="15"/>
  <c r="AK9" i="15"/>
  <c r="AK6" i="15"/>
  <c r="AK5" i="15"/>
  <c r="AI51" i="15"/>
  <c r="AI50" i="15"/>
  <c r="AI49" i="15"/>
  <c r="AI48" i="15"/>
  <c r="AI47" i="15"/>
  <c r="AI46" i="15"/>
  <c r="AI45" i="15"/>
  <c r="AI44" i="15"/>
  <c r="AI43" i="15"/>
  <c r="AI42" i="15"/>
  <c r="AI41" i="15"/>
  <c r="AI40" i="15"/>
  <c r="AI39" i="15"/>
  <c r="AI38" i="15"/>
  <c r="AI37" i="15"/>
  <c r="AI36" i="15"/>
  <c r="AI35" i="15"/>
  <c r="AI34" i="15"/>
  <c r="AI33" i="15"/>
  <c r="AI32" i="15"/>
  <c r="AI31" i="15"/>
  <c r="AI30" i="15"/>
  <c r="AI29" i="15"/>
  <c r="AI28" i="15"/>
  <c r="AI27" i="15"/>
  <c r="AI26" i="15"/>
  <c r="AI24" i="15"/>
  <c r="AI23" i="15"/>
  <c r="AI22" i="15"/>
  <c r="AI21" i="15"/>
  <c r="AH51" i="15"/>
  <c r="AH50" i="15"/>
  <c r="AH49" i="15"/>
  <c r="AH48" i="15"/>
  <c r="AH47" i="15"/>
  <c r="AH46" i="15"/>
  <c r="AH45" i="15"/>
  <c r="AH44" i="15"/>
  <c r="AH43" i="15"/>
  <c r="AH42" i="15"/>
  <c r="AH41" i="15"/>
  <c r="AH40" i="15"/>
  <c r="AH39" i="15"/>
  <c r="AH38" i="15"/>
  <c r="AH37" i="15"/>
  <c r="AH36" i="15"/>
  <c r="AH35" i="15"/>
  <c r="AH34" i="15"/>
  <c r="AH33" i="15"/>
  <c r="AH32" i="15"/>
  <c r="AH31" i="15"/>
  <c r="AH30" i="15"/>
  <c r="AH29" i="15"/>
  <c r="AH28" i="15"/>
  <c r="AH27" i="15"/>
  <c r="AH26" i="15"/>
  <c r="AH24" i="15"/>
  <c r="AH23" i="15"/>
  <c r="AH22" i="15"/>
  <c r="AH21" i="15"/>
  <c r="S51" i="15"/>
  <c r="S50" i="15"/>
  <c r="S49" i="15"/>
  <c r="S48" i="15"/>
  <c r="S47" i="15"/>
  <c r="S46" i="15"/>
  <c r="S45" i="15"/>
  <c r="S44" i="15"/>
  <c r="S43" i="15"/>
  <c r="S42" i="15"/>
  <c r="S41" i="15"/>
  <c r="S40" i="15"/>
  <c r="S39" i="15"/>
  <c r="S38" i="15"/>
  <c r="S37" i="15"/>
  <c r="S36" i="15"/>
  <c r="S35" i="15"/>
  <c r="S34" i="15"/>
  <c r="S33" i="15"/>
  <c r="S32" i="15"/>
  <c r="S31" i="15"/>
  <c r="S30" i="15"/>
  <c r="S29" i="15"/>
  <c r="S28" i="15"/>
  <c r="S27" i="15"/>
  <c r="S26" i="15"/>
  <c r="S24" i="15"/>
  <c r="S23" i="15"/>
  <c r="S22" i="15"/>
  <c r="S21" i="15"/>
  <c r="R51" i="15"/>
  <c r="R50" i="15"/>
  <c r="R49" i="15"/>
  <c r="R48" i="15"/>
  <c r="R47" i="15"/>
  <c r="R46" i="15"/>
  <c r="R45" i="15"/>
  <c r="R44" i="15"/>
  <c r="R43" i="15"/>
  <c r="R42" i="15"/>
  <c r="R41" i="15"/>
  <c r="R40" i="15"/>
  <c r="R39" i="15"/>
  <c r="R38" i="15"/>
  <c r="R37" i="15"/>
  <c r="R36" i="15"/>
  <c r="R35" i="15"/>
  <c r="R34" i="15"/>
  <c r="R33" i="15"/>
  <c r="R32" i="15"/>
  <c r="R31" i="15"/>
  <c r="R30" i="15"/>
  <c r="Q51" i="15"/>
  <c r="Q50" i="15"/>
  <c r="Q49" i="15"/>
  <c r="Q48" i="15"/>
  <c r="Q47" i="15"/>
  <c r="Q46" i="15"/>
  <c r="Q45" i="15"/>
  <c r="Q44" i="15"/>
  <c r="Q43" i="15"/>
  <c r="Q42" i="15"/>
  <c r="Q41" i="15"/>
  <c r="Q40" i="15"/>
  <c r="Q39" i="15"/>
  <c r="Q38" i="15"/>
  <c r="Q37" i="15"/>
  <c r="Q36" i="15"/>
  <c r="Q35" i="15"/>
  <c r="Q34" i="15"/>
  <c r="Q33" i="15"/>
  <c r="Q32" i="15"/>
  <c r="Q31" i="15"/>
  <c r="Q30" i="15"/>
  <c r="Q25" i="15"/>
  <c r="Q20" i="15"/>
  <c r="Q19" i="15"/>
  <c r="Q18" i="15"/>
  <c r="Q17" i="15"/>
  <c r="Q12" i="15"/>
  <c r="Q11" i="15"/>
  <c r="Q7" i="15"/>
  <c r="P51" i="15"/>
  <c r="P50" i="15"/>
  <c r="P49" i="15"/>
  <c r="P48" i="15"/>
  <c r="P47" i="15"/>
  <c r="P46" i="15"/>
  <c r="P45" i="15"/>
  <c r="P44" i="15"/>
  <c r="P43" i="15"/>
  <c r="P42" i="15"/>
  <c r="P41" i="15"/>
  <c r="P40" i="15"/>
  <c r="P39" i="15"/>
  <c r="P38" i="15"/>
  <c r="P37" i="15"/>
  <c r="P36" i="15"/>
  <c r="P35" i="15"/>
  <c r="P34" i="15"/>
  <c r="P33" i="15"/>
  <c r="P32" i="15"/>
  <c r="P31" i="15"/>
  <c r="P30" i="15"/>
  <c r="O51" i="15"/>
  <c r="O50" i="15"/>
  <c r="O49" i="15"/>
  <c r="O48" i="15"/>
  <c r="O47" i="15"/>
  <c r="O46" i="15"/>
  <c r="O45" i="15"/>
  <c r="O44" i="15"/>
  <c r="O43" i="15"/>
  <c r="O42" i="15"/>
  <c r="O41" i="15"/>
  <c r="O40" i="15"/>
  <c r="O39" i="15"/>
  <c r="O38" i="15"/>
  <c r="O37" i="15"/>
  <c r="O36" i="15"/>
  <c r="O35" i="15"/>
  <c r="O34" i="15"/>
  <c r="O33" i="15"/>
  <c r="O32" i="15"/>
  <c r="O31" i="15"/>
  <c r="O30" i="15"/>
  <c r="O29" i="15"/>
  <c r="O28" i="15"/>
  <c r="O27" i="15"/>
  <c r="O26" i="15"/>
  <c r="O24" i="15"/>
  <c r="O23" i="15"/>
  <c r="O22" i="15"/>
  <c r="O21" i="15"/>
  <c r="AP51" i="15"/>
  <c r="AP50" i="15"/>
  <c r="AP49" i="15"/>
  <c r="AP48" i="15"/>
  <c r="AP47" i="15"/>
  <c r="AP46" i="15"/>
  <c r="AP45" i="15"/>
  <c r="AP44" i="15"/>
  <c r="AP43" i="15"/>
  <c r="AP42" i="15"/>
  <c r="AP41" i="15"/>
  <c r="AP40" i="15"/>
  <c r="AP39" i="15"/>
  <c r="AP38" i="15"/>
  <c r="AP37" i="15"/>
  <c r="AP36" i="15"/>
  <c r="AP35" i="15"/>
  <c r="AP34" i="15"/>
  <c r="AP33" i="15"/>
  <c r="AP32" i="15"/>
  <c r="AP31" i="15"/>
  <c r="AP30" i="15"/>
  <c r="AP29" i="15"/>
  <c r="AP28" i="15"/>
  <c r="AP27" i="15"/>
  <c r="AP26" i="15"/>
  <c r="AP24" i="15"/>
  <c r="AP23" i="15"/>
  <c r="AP22" i="15"/>
  <c r="AP21" i="15"/>
  <c r="L51" i="15"/>
  <c r="L50" i="15"/>
  <c r="L49" i="15"/>
  <c r="L48" i="15"/>
  <c r="L47" i="15"/>
  <c r="L46" i="15"/>
  <c r="L45" i="15"/>
  <c r="L44" i="15"/>
  <c r="L43" i="15"/>
  <c r="L42" i="15"/>
  <c r="L41" i="15"/>
  <c r="L40" i="15"/>
  <c r="L39" i="15"/>
  <c r="L38" i="15"/>
  <c r="L37" i="15"/>
  <c r="L36" i="15"/>
  <c r="L35" i="15"/>
  <c r="L34" i="15"/>
  <c r="L33" i="15"/>
  <c r="L32" i="15"/>
  <c r="L31" i="15"/>
  <c r="L30" i="15"/>
  <c r="L25" i="15"/>
  <c r="L20" i="15"/>
  <c r="L19" i="15"/>
  <c r="L18" i="15"/>
  <c r="L17" i="15"/>
  <c r="L12" i="15"/>
  <c r="L11" i="15"/>
  <c r="L7" i="15"/>
  <c r="P11" i="5"/>
  <c r="R11" i="5" s="1"/>
  <c r="P10" i="5"/>
  <c r="R10" i="5" s="1"/>
  <c r="P9" i="5"/>
  <c r="R9" i="5" s="1"/>
  <c r="F44" i="5"/>
  <c r="E44" i="5"/>
  <c r="D44" i="5"/>
  <c r="D45" i="5" s="1"/>
  <c r="F26" i="5"/>
  <c r="E26" i="5"/>
  <c r="D26" i="5"/>
  <c r="AJ56" i="15" s="1"/>
  <c r="F25" i="5"/>
  <c r="AI56" i="16" s="1"/>
  <c r="E25" i="5"/>
  <c r="AI55" i="16" s="1"/>
  <c r="D25" i="5"/>
  <c r="AI56" i="15" s="1"/>
  <c r="F24" i="5"/>
  <c r="E24" i="5"/>
  <c r="AH55" i="16" s="1"/>
  <c r="D24" i="5"/>
  <c r="AH56" i="15" s="1"/>
  <c r="D13" i="5"/>
  <c r="W56" i="15" s="1"/>
  <c r="F39" i="5"/>
  <c r="F41" i="5" s="1"/>
  <c r="F17" i="5"/>
  <c r="AA56" i="16" s="1"/>
  <c r="F16" i="5"/>
  <c r="Z56" i="16" s="1"/>
  <c r="F12" i="5"/>
  <c r="V56" i="16" s="1"/>
  <c r="F11" i="5"/>
  <c r="M15" i="5"/>
  <c r="M7" i="5"/>
  <c r="D36" i="5" s="1"/>
  <c r="F45" i="5"/>
  <c r="F43" i="5"/>
  <c r="D43" i="5"/>
  <c r="E41" i="5"/>
  <c r="D41" i="5"/>
  <c r="F23" i="5"/>
  <c r="AG56" i="16" s="1"/>
  <c r="D23" i="5"/>
  <c r="AG56" i="15" s="1"/>
  <c r="F20" i="5"/>
  <c r="AD58" i="15" s="1"/>
  <c r="E20" i="5"/>
  <c r="D20" i="5"/>
  <c r="AD56" i="15" s="1"/>
  <c r="E18" i="5"/>
  <c r="AB55" i="16" s="1"/>
  <c r="T38" i="4"/>
  <c r="S38" i="4"/>
  <c r="R38" i="4"/>
  <c r="Q38" i="4"/>
  <c r="P38" i="4"/>
  <c r="O38" i="4"/>
  <c r="N38" i="4"/>
  <c r="M38" i="4"/>
  <c r="L38" i="4"/>
  <c r="K38" i="4"/>
  <c r="J38" i="4"/>
  <c r="I38" i="4"/>
  <c r="T37" i="4"/>
  <c r="S37" i="4"/>
  <c r="R37" i="4"/>
  <c r="Q37" i="4"/>
  <c r="P37" i="4"/>
  <c r="O37" i="4"/>
  <c r="N37" i="4"/>
  <c r="M37" i="4"/>
  <c r="L37" i="4"/>
  <c r="K37" i="4"/>
  <c r="J37" i="4"/>
  <c r="I37" i="4"/>
  <c r="T36" i="4"/>
  <c r="S36" i="4"/>
  <c r="R36" i="4"/>
  <c r="Q36" i="4"/>
  <c r="P36" i="4"/>
  <c r="O36" i="4"/>
  <c r="N36" i="4"/>
  <c r="M36" i="4"/>
  <c r="L36" i="4"/>
  <c r="K36" i="4"/>
  <c r="J36" i="4"/>
  <c r="I36" i="4"/>
  <c r="T35" i="4"/>
  <c r="S35" i="4"/>
  <c r="R35" i="4"/>
  <c r="Q35" i="4"/>
  <c r="P35" i="4"/>
  <c r="O35" i="4"/>
  <c r="N35" i="4"/>
  <c r="M35" i="4"/>
  <c r="L35" i="4"/>
  <c r="K35" i="4"/>
  <c r="J35" i="4"/>
  <c r="I35" i="4"/>
  <c r="T34" i="4"/>
  <c r="S34" i="4"/>
  <c r="R34" i="4"/>
  <c r="Q34" i="4"/>
  <c r="P34" i="4"/>
  <c r="O34" i="4"/>
  <c r="N34" i="4"/>
  <c r="M34" i="4"/>
  <c r="L34" i="4"/>
  <c r="K34" i="4"/>
  <c r="J34" i="4"/>
  <c r="I34" i="4"/>
  <c r="T33" i="4"/>
  <c r="S33" i="4"/>
  <c r="R33" i="4"/>
  <c r="Q33" i="4"/>
  <c r="P33" i="4"/>
  <c r="O33" i="4"/>
  <c r="N33" i="4"/>
  <c r="M33" i="4"/>
  <c r="L33" i="4"/>
  <c r="K33" i="4"/>
  <c r="J33" i="4"/>
  <c r="I33" i="4"/>
  <c r="T32" i="4"/>
  <c r="S32" i="4"/>
  <c r="R32" i="4"/>
  <c r="Q32" i="4"/>
  <c r="P32" i="4"/>
  <c r="O32" i="4"/>
  <c r="N32" i="4"/>
  <c r="M32" i="4"/>
  <c r="L32" i="4"/>
  <c r="K32" i="4"/>
  <c r="J32" i="4"/>
  <c r="I32" i="4"/>
  <c r="T31" i="4"/>
  <c r="S31" i="4"/>
  <c r="R31" i="4"/>
  <c r="Q31" i="4"/>
  <c r="P31" i="4"/>
  <c r="O31" i="4"/>
  <c r="N31" i="4"/>
  <c r="M31" i="4"/>
  <c r="L31" i="4"/>
  <c r="K31" i="4"/>
  <c r="J31" i="4"/>
  <c r="I31" i="4"/>
  <c r="T30" i="4"/>
  <c r="S30" i="4"/>
  <c r="R30" i="4"/>
  <c r="Q30" i="4"/>
  <c r="P30" i="4"/>
  <c r="O30" i="4"/>
  <c r="N30" i="4"/>
  <c r="M30" i="4"/>
  <c r="L30" i="4"/>
  <c r="K30" i="4"/>
  <c r="J30" i="4"/>
  <c r="I30" i="4"/>
  <c r="T29" i="4"/>
  <c r="S29" i="4"/>
  <c r="R29" i="4"/>
  <c r="Q29" i="4"/>
  <c r="P29" i="4"/>
  <c r="O29" i="4"/>
  <c r="N29" i="4"/>
  <c r="M29" i="4"/>
  <c r="L29" i="4"/>
  <c r="K29" i="4"/>
  <c r="J29" i="4"/>
  <c r="I29" i="4"/>
  <c r="T28" i="4"/>
  <c r="S28" i="4"/>
  <c r="R28" i="4"/>
  <c r="Q28" i="4"/>
  <c r="P28" i="4"/>
  <c r="O28" i="4"/>
  <c r="N28" i="4"/>
  <c r="M28" i="4"/>
  <c r="L28" i="4"/>
  <c r="K28" i="4"/>
  <c r="J28" i="4"/>
  <c r="I28" i="4"/>
  <c r="T27" i="4"/>
  <c r="S27" i="4"/>
  <c r="R27" i="4"/>
  <c r="Q27" i="4"/>
  <c r="P27" i="4"/>
  <c r="O27" i="4"/>
  <c r="N27" i="4"/>
  <c r="M27" i="4"/>
  <c r="L27" i="4"/>
  <c r="K27" i="4"/>
  <c r="J27" i="4"/>
  <c r="I27" i="4"/>
  <c r="T26" i="4"/>
  <c r="S26" i="4"/>
  <c r="R26" i="4"/>
  <c r="Q26" i="4"/>
  <c r="P26" i="4"/>
  <c r="O26" i="4"/>
  <c r="N26" i="4"/>
  <c r="M26" i="4"/>
  <c r="L26" i="4"/>
  <c r="K26" i="4"/>
  <c r="J26" i="4"/>
  <c r="I26" i="4"/>
  <c r="T25" i="4"/>
  <c r="S25" i="4"/>
  <c r="R25" i="4"/>
  <c r="Q25" i="4"/>
  <c r="P25" i="4"/>
  <c r="O25" i="4"/>
  <c r="N25" i="4"/>
  <c r="M25" i="4"/>
  <c r="L25" i="4"/>
  <c r="K25" i="4"/>
  <c r="J25" i="4"/>
  <c r="I25" i="4"/>
  <c r="T24" i="4"/>
  <c r="S24" i="4"/>
  <c r="R24" i="4"/>
  <c r="Q24" i="4"/>
  <c r="P24" i="4"/>
  <c r="O24" i="4"/>
  <c r="N24" i="4"/>
  <c r="M24" i="4"/>
  <c r="L24" i="4"/>
  <c r="K24" i="4"/>
  <c r="J24" i="4"/>
  <c r="I24" i="4"/>
  <c r="T23" i="4"/>
  <c r="S23" i="4"/>
  <c r="R23" i="4"/>
  <c r="Q23" i="4"/>
  <c r="P23" i="4"/>
  <c r="O23" i="4"/>
  <c r="N23" i="4"/>
  <c r="M23" i="4"/>
  <c r="L23" i="4"/>
  <c r="K23" i="4"/>
  <c r="J23" i="4"/>
  <c r="I23" i="4"/>
  <c r="T22" i="4"/>
  <c r="S22" i="4"/>
  <c r="R22" i="4"/>
  <c r="Q22" i="4"/>
  <c r="P22" i="4"/>
  <c r="O22" i="4"/>
  <c r="N22" i="4"/>
  <c r="M22" i="4"/>
  <c r="L22" i="4"/>
  <c r="K22" i="4"/>
  <c r="J22" i="4"/>
  <c r="I22" i="4"/>
  <c r="T21" i="4"/>
  <c r="S21" i="4"/>
  <c r="R21" i="4"/>
  <c r="Q21" i="4"/>
  <c r="P21" i="4"/>
  <c r="O21" i="4"/>
  <c r="N21" i="4"/>
  <c r="M21" i="4"/>
  <c r="L21" i="4"/>
  <c r="K21" i="4"/>
  <c r="J21" i="4"/>
  <c r="I21" i="4"/>
  <c r="T20" i="4"/>
  <c r="S20" i="4"/>
  <c r="R20" i="4"/>
  <c r="Q20" i="4"/>
  <c r="P20" i="4"/>
  <c r="O20" i="4"/>
  <c r="N20" i="4"/>
  <c r="M20" i="4"/>
  <c r="L20" i="4"/>
  <c r="K20" i="4"/>
  <c r="J20" i="4"/>
  <c r="I20" i="4"/>
  <c r="T19" i="4"/>
  <c r="S19" i="4"/>
  <c r="R19" i="4"/>
  <c r="Q19" i="4"/>
  <c r="P19" i="4"/>
  <c r="O19" i="4"/>
  <c r="N19" i="4"/>
  <c r="M19" i="4"/>
  <c r="L19" i="4"/>
  <c r="K19" i="4"/>
  <c r="J19" i="4"/>
  <c r="I19" i="4"/>
  <c r="T18" i="4"/>
  <c r="S18" i="4"/>
  <c r="R18" i="4"/>
  <c r="Q18" i="4"/>
  <c r="P18" i="4"/>
  <c r="O18" i="4"/>
  <c r="N18" i="4"/>
  <c r="M18" i="4"/>
  <c r="L18" i="4"/>
  <c r="K18" i="4"/>
  <c r="J18" i="4"/>
  <c r="I18" i="4"/>
  <c r="T17" i="4"/>
  <c r="S17" i="4"/>
  <c r="R17" i="4"/>
  <c r="Q17" i="4"/>
  <c r="P17" i="4"/>
  <c r="O17" i="4"/>
  <c r="N17" i="4"/>
  <c r="M17" i="4"/>
  <c r="L17" i="4"/>
  <c r="K17" i="4"/>
  <c r="J17" i="4"/>
  <c r="I17" i="4"/>
  <c r="T16" i="4"/>
  <c r="S16" i="4"/>
  <c r="R16" i="4"/>
  <c r="Q16" i="4"/>
  <c r="P16" i="4"/>
  <c r="O16" i="4"/>
  <c r="N16" i="4"/>
  <c r="M16" i="4"/>
  <c r="L16" i="4"/>
  <c r="K16" i="4"/>
  <c r="J16" i="4"/>
  <c r="I16" i="4"/>
  <c r="T15" i="4"/>
  <c r="S15" i="4"/>
  <c r="R15" i="4"/>
  <c r="Q15" i="4"/>
  <c r="P15" i="4"/>
  <c r="O15" i="4"/>
  <c r="N15" i="4"/>
  <c r="M15" i="4"/>
  <c r="L15" i="4"/>
  <c r="K15" i="4"/>
  <c r="J15" i="4"/>
  <c r="I15" i="4"/>
  <c r="T14" i="4"/>
  <c r="S14" i="4"/>
  <c r="R14" i="4"/>
  <c r="Q14" i="4"/>
  <c r="P14" i="4"/>
  <c r="O14" i="4"/>
  <c r="N14" i="4"/>
  <c r="M14" i="4"/>
  <c r="L14" i="4"/>
  <c r="K14" i="4"/>
  <c r="J14" i="4"/>
  <c r="I14" i="4"/>
  <c r="T13" i="4"/>
  <c r="S13" i="4"/>
  <c r="R13" i="4"/>
  <c r="Q13" i="4"/>
  <c r="P13" i="4"/>
  <c r="O13" i="4"/>
  <c r="N13" i="4"/>
  <c r="M13" i="4"/>
  <c r="L13" i="4"/>
  <c r="K13" i="4"/>
  <c r="J13" i="4"/>
  <c r="I13" i="4"/>
  <c r="T12" i="4"/>
  <c r="S12" i="4"/>
  <c r="R12" i="4"/>
  <c r="Q12" i="4"/>
  <c r="P12" i="4"/>
  <c r="O12" i="4"/>
  <c r="N12" i="4"/>
  <c r="M12" i="4"/>
  <c r="L12" i="4"/>
  <c r="K12" i="4"/>
  <c r="J12" i="4"/>
  <c r="I12" i="4"/>
  <c r="T11" i="4"/>
  <c r="S11" i="4"/>
  <c r="R11" i="4"/>
  <c r="Q11" i="4"/>
  <c r="P11" i="4"/>
  <c r="O11" i="4"/>
  <c r="N11" i="4"/>
  <c r="M11" i="4"/>
  <c r="L11" i="4"/>
  <c r="K11" i="4"/>
  <c r="J11" i="4"/>
  <c r="I11" i="4"/>
  <c r="T10" i="4"/>
  <c r="S10" i="4"/>
  <c r="R10" i="4"/>
  <c r="Q10" i="4"/>
  <c r="P10" i="4"/>
  <c r="O10" i="4"/>
  <c r="N10" i="4"/>
  <c r="M10" i="4"/>
  <c r="L10" i="4"/>
  <c r="K10" i="4"/>
  <c r="J10" i="4"/>
  <c r="I10" i="4"/>
  <c r="T9" i="4"/>
  <c r="S9" i="4"/>
  <c r="R9" i="4"/>
  <c r="Q9" i="4"/>
  <c r="P9" i="4"/>
  <c r="O9" i="4"/>
  <c r="N9" i="4"/>
  <c r="M9" i="4"/>
  <c r="L9" i="4"/>
  <c r="K9" i="4"/>
  <c r="J9" i="4"/>
  <c r="I9" i="4"/>
  <c r="T8" i="4"/>
  <c r="S8" i="4"/>
  <c r="R8" i="4"/>
  <c r="Q8" i="4"/>
  <c r="P8" i="4"/>
  <c r="O8" i="4"/>
  <c r="N8" i="4"/>
  <c r="M8" i="4"/>
  <c r="L8" i="4"/>
  <c r="K8" i="4"/>
  <c r="J8" i="4"/>
  <c r="I8" i="4"/>
  <c r="T7" i="4"/>
  <c r="S7" i="4"/>
  <c r="R7" i="4"/>
  <c r="Q7" i="4"/>
  <c r="P7" i="4"/>
  <c r="O7" i="4"/>
  <c r="N7" i="4"/>
  <c r="M7" i="4"/>
  <c r="L7" i="4"/>
  <c r="K7" i="4"/>
  <c r="J7" i="4"/>
  <c r="I7" i="4"/>
  <c r="T6" i="4"/>
  <c r="S6" i="4"/>
  <c r="R6" i="4"/>
  <c r="Q6" i="4"/>
  <c r="P6" i="4"/>
  <c r="O6" i="4"/>
  <c r="N6" i="4"/>
  <c r="M6" i="4"/>
  <c r="L6" i="4"/>
  <c r="K6" i="4"/>
  <c r="J6" i="4"/>
  <c r="I6" i="4"/>
  <c r="T5" i="4"/>
  <c r="S5" i="4"/>
  <c r="R5" i="4"/>
  <c r="Q5" i="4"/>
  <c r="P5" i="4"/>
  <c r="O5" i="4"/>
  <c r="N5" i="4"/>
  <c r="M5" i="4"/>
  <c r="L5" i="4"/>
  <c r="K5" i="4"/>
  <c r="J5" i="4"/>
  <c r="I5" i="4"/>
  <c r="T4" i="4"/>
  <c r="S4" i="4"/>
  <c r="R4" i="4"/>
  <c r="Q4" i="4"/>
  <c r="P4" i="4"/>
  <c r="O4" i="4"/>
  <c r="N4" i="4"/>
  <c r="M4" i="4"/>
  <c r="L4" i="4"/>
  <c r="K4" i="4"/>
  <c r="J4" i="4"/>
  <c r="I4" i="4"/>
  <c r="T3" i="4"/>
  <c r="S3" i="4"/>
  <c r="R3" i="4"/>
  <c r="Q3" i="4"/>
  <c r="P3" i="4"/>
  <c r="O3" i="4"/>
  <c r="N3" i="4"/>
  <c r="M3" i="4"/>
  <c r="L3" i="4"/>
  <c r="K3" i="4"/>
  <c r="J3" i="4"/>
  <c r="I3" i="4"/>
  <c r="T2" i="4"/>
  <c r="S2" i="4"/>
  <c r="R2" i="4"/>
  <c r="Q2" i="4"/>
  <c r="P2" i="4"/>
  <c r="O2" i="4"/>
  <c r="N2" i="4"/>
  <c r="M2" i="4"/>
  <c r="L2" i="4"/>
  <c r="K2" i="4"/>
  <c r="J2" i="4"/>
  <c r="I2" i="4"/>
  <c r="T48" i="3"/>
  <c r="S48" i="3"/>
  <c r="R48" i="3"/>
  <c r="Q48" i="3"/>
  <c r="P48" i="3"/>
  <c r="O48" i="3"/>
  <c r="N48" i="3"/>
  <c r="M48" i="3"/>
  <c r="L48" i="3"/>
  <c r="K48" i="3"/>
  <c r="J48" i="3"/>
  <c r="I48" i="3"/>
  <c r="T47" i="3"/>
  <c r="S47" i="3"/>
  <c r="R47" i="3"/>
  <c r="Q47" i="3"/>
  <c r="P47" i="3"/>
  <c r="O47" i="3"/>
  <c r="N47" i="3"/>
  <c r="M47" i="3"/>
  <c r="L47" i="3"/>
  <c r="K47" i="3"/>
  <c r="J47" i="3"/>
  <c r="I47" i="3"/>
  <c r="T46" i="3"/>
  <c r="S46" i="3"/>
  <c r="R46" i="3"/>
  <c r="Q46" i="3"/>
  <c r="P46" i="3"/>
  <c r="O46" i="3"/>
  <c r="N46" i="3"/>
  <c r="M46" i="3"/>
  <c r="L46" i="3"/>
  <c r="K46" i="3"/>
  <c r="J46" i="3"/>
  <c r="I46" i="3"/>
  <c r="T45" i="3"/>
  <c r="S45" i="3"/>
  <c r="R45" i="3"/>
  <c r="Q45" i="3"/>
  <c r="P45" i="3"/>
  <c r="O45" i="3"/>
  <c r="N45" i="3"/>
  <c r="M45" i="3"/>
  <c r="L45" i="3"/>
  <c r="K45" i="3"/>
  <c r="J45" i="3"/>
  <c r="I45" i="3"/>
  <c r="T44" i="3"/>
  <c r="S44" i="3"/>
  <c r="R44" i="3"/>
  <c r="Q44" i="3"/>
  <c r="P44" i="3"/>
  <c r="O44" i="3"/>
  <c r="N44" i="3"/>
  <c r="M44" i="3"/>
  <c r="L44" i="3"/>
  <c r="K44" i="3"/>
  <c r="J44" i="3"/>
  <c r="I44" i="3"/>
  <c r="T43" i="3"/>
  <c r="S43" i="3"/>
  <c r="R43" i="3"/>
  <c r="Q43" i="3"/>
  <c r="P43" i="3"/>
  <c r="O43" i="3"/>
  <c r="N43" i="3"/>
  <c r="M43" i="3"/>
  <c r="L43" i="3"/>
  <c r="K43" i="3"/>
  <c r="J43" i="3"/>
  <c r="I43" i="3"/>
  <c r="T42" i="3"/>
  <c r="S42" i="3"/>
  <c r="R42" i="3"/>
  <c r="Q42" i="3"/>
  <c r="P42" i="3"/>
  <c r="O42" i="3"/>
  <c r="N42" i="3"/>
  <c r="M42" i="3"/>
  <c r="L42" i="3"/>
  <c r="K42" i="3"/>
  <c r="J42" i="3"/>
  <c r="I42" i="3"/>
  <c r="T41" i="3"/>
  <c r="S41" i="3"/>
  <c r="R41" i="3"/>
  <c r="Q41" i="3"/>
  <c r="P41" i="3"/>
  <c r="O41" i="3"/>
  <c r="N41" i="3"/>
  <c r="M41" i="3"/>
  <c r="L41" i="3"/>
  <c r="K41" i="3"/>
  <c r="J41" i="3"/>
  <c r="I41" i="3"/>
  <c r="T40" i="3"/>
  <c r="S40" i="3"/>
  <c r="R40" i="3"/>
  <c r="Q40" i="3"/>
  <c r="P40" i="3"/>
  <c r="O40" i="3"/>
  <c r="N40" i="3"/>
  <c r="M40" i="3"/>
  <c r="L40" i="3"/>
  <c r="K40" i="3"/>
  <c r="J40" i="3"/>
  <c r="I40" i="3"/>
  <c r="T39" i="3"/>
  <c r="S39" i="3"/>
  <c r="R39" i="3"/>
  <c r="Q39" i="3"/>
  <c r="P39" i="3"/>
  <c r="O39" i="3"/>
  <c r="N39" i="3"/>
  <c r="M39" i="3"/>
  <c r="L39" i="3"/>
  <c r="K39" i="3"/>
  <c r="J39" i="3"/>
  <c r="I39" i="3"/>
  <c r="T38" i="3"/>
  <c r="S38" i="3"/>
  <c r="R38" i="3"/>
  <c r="Q38" i="3"/>
  <c r="P38" i="3"/>
  <c r="O38" i="3"/>
  <c r="N38" i="3"/>
  <c r="M38" i="3"/>
  <c r="L38" i="3"/>
  <c r="K38" i="3"/>
  <c r="J38" i="3"/>
  <c r="I38" i="3"/>
  <c r="T37" i="3"/>
  <c r="S37" i="3"/>
  <c r="R37" i="3"/>
  <c r="Q37" i="3"/>
  <c r="P37" i="3"/>
  <c r="O37" i="3"/>
  <c r="N37" i="3"/>
  <c r="M37" i="3"/>
  <c r="L37" i="3"/>
  <c r="K37" i="3"/>
  <c r="J37" i="3"/>
  <c r="I37" i="3"/>
  <c r="T36" i="3"/>
  <c r="S36" i="3"/>
  <c r="R36" i="3"/>
  <c r="Q36" i="3"/>
  <c r="P36" i="3"/>
  <c r="O36" i="3"/>
  <c r="N36" i="3"/>
  <c r="M36" i="3"/>
  <c r="L36" i="3"/>
  <c r="K36" i="3"/>
  <c r="J36" i="3"/>
  <c r="I36" i="3"/>
  <c r="T35" i="3"/>
  <c r="S35" i="3"/>
  <c r="R35" i="3"/>
  <c r="Q35" i="3"/>
  <c r="P35" i="3"/>
  <c r="O35" i="3"/>
  <c r="N35" i="3"/>
  <c r="M35" i="3"/>
  <c r="L35" i="3"/>
  <c r="K35" i="3"/>
  <c r="J35" i="3"/>
  <c r="I35" i="3"/>
  <c r="T34" i="3"/>
  <c r="S34" i="3"/>
  <c r="R34" i="3"/>
  <c r="Q34" i="3"/>
  <c r="P34" i="3"/>
  <c r="O34" i="3"/>
  <c r="N34" i="3"/>
  <c r="M34" i="3"/>
  <c r="L34" i="3"/>
  <c r="K34" i="3"/>
  <c r="J34" i="3"/>
  <c r="I34" i="3"/>
  <c r="T33" i="3"/>
  <c r="S33" i="3"/>
  <c r="R33" i="3"/>
  <c r="Q33" i="3"/>
  <c r="P33" i="3"/>
  <c r="O33" i="3"/>
  <c r="N33" i="3"/>
  <c r="M33" i="3"/>
  <c r="L33" i="3"/>
  <c r="K33" i="3"/>
  <c r="J33" i="3"/>
  <c r="I33" i="3"/>
  <c r="T32" i="3"/>
  <c r="S32" i="3"/>
  <c r="R32" i="3"/>
  <c r="Q32" i="3"/>
  <c r="P32" i="3"/>
  <c r="O32" i="3"/>
  <c r="N32" i="3"/>
  <c r="M32" i="3"/>
  <c r="L32" i="3"/>
  <c r="K32" i="3"/>
  <c r="J32" i="3"/>
  <c r="I32" i="3"/>
  <c r="T31" i="3"/>
  <c r="S31" i="3"/>
  <c r="R31" i="3"/>
  <c r="Q31" i="3"/>
  <c r="P31" i="3"/>
  <c r="O31" i="3"/>
  <c r="N31" i="3"/>
  <c r="M31" i="3"/>
  <c r="L31" i="3"/>
  <c r="K31" i="3"/>
  <c r="J31" i="3"/>
  <c r="I31" i="3"/>
  <c r="T30" i="3"/>
  <c r="S30" i="3"/>
  <c r="R30" i="3"/>
  <c r="Q30" i="3"/>
  <c r="P30" i="3"/>
  <c r="O30" i="3"/>
  <c r="N30" i="3"/>
  <c r="M30" i="3"/>
  <c r="L30" i="3"/>
  <c r="K30" i="3"/>
  <c r="J30" i="3"/>
  <c r="I30" i="3"/>
  <c r="T29" i="3"/>
  <c r="S29" i="3"/>
  <c r="R29" i="3"/>
  <c r="Q29" i="3"/>
  <c r="P29" i="3"/>
  <c r="O29" i="3"/>
  <c r="N29" i="3"/>
  <c r="M29" i="3"/>
  <c r="L29" i="3"/>
  <c r="K29" i="3"/>
  <c r="J29" i="3"/>
  <c r="I29" i="3"/>
  <c r="T28" i="3"/>
  <c r="S28" i="3"/>
  <c r="R28" i="3"/>
  <c r="Q28" i="3"/>
  <c r="P28" i="3"/>
  <c r="O28" i="3"/>
  <c r="N28" i="3"/>
  <c r="M28" i="3"/>
  <c r="L28" i="3"/>
  <c r="K28" i="3"/>
  <c r="J28" i="3"/>
  <c r="I28" i="3"/>
  <c r="T27" i="3"/>
  <c r="S27" i="3"/>
  <c r="R27" i="3"/>
  <c r="Q27" i="3"/>
  <c r="P27" i="3"/>
  <c r="O27" i="3"/>
  <c r="N27" i="3"/>
  <c r="M27" i="3"/>
  <c r="L27" i="3"/>
  <c r="K27" i="3"/>
  <c r="J27" i="3"/>
  <c r="I27" i="3"/>
  <c r="T26" i="3"/>
  <c r="S26" i="3"/>
  <c r="R26" i="3"/>
  <c r="Q26" i="3"/>
  <c r="P26" i="3"/>
  <c r="O26" i="3"/>
  <c r="N26" i="3"/>
  <c r="M26" i="3"/>
  <c r="L26" i="3"/>
  <c r="K26" i="3"/>
  <c r="J26" i="3"/>
  <c r="I26" i="3"/>
  <c r="T25" i="3"/>
  <c r="S25" i="3"/>
  <c r="R25" i="3"/>
  <c r="Q25" i="3"/>
  <c r="P25" i="3"/>
  <c r="O25" i="3"/>
  <c r="N25" i="3"/>
  <c r="M25" i="3"/>
  <c r="L25" i="3"/>
  <c r="K25" i="3"/>
  <c r="J25" i="3"/>
  <c r="I25" i="3"/>
  <c r="T24" i="3"/>
  <c r="S24" i="3"/>
  <c r="R24" i="3"/>
  <c r="Q24" i="3"/>
  <c r="P24" i="3"/>
  <c r="O24" i="3"/>
  <c r="N24" i="3"/>
  <c r="M24" i="3"/>
  <c r="L24" i="3"/>
  <c r="K24" i="3"/>
  <c r="J24" i="3"/>
  <c r="I24" i="3"/>
  <c r="T23" i="3"/>
  <c r="S23" i="3"/>
  <c r="R23" i="3"/>
  <c r="Q23" i="3"/>
  <c r="P23" i="3"/>
  <c r="O23" i="3"/>
  <c r="N23" i="3"/>
  <c r="M23" i="3"/>
  <c r="L23" i="3"/>
  <c r="K23" i="3"/>
  <c r="J23" i="3"/>
  <c r="I23" i="3"/>
  <c r="T22" i="3"/>
  <c r="S22" i="3"/>
  <c r="R22" i="3"/>
  <c r="Q22" i="3"/>
  <c r="P22" i="3"/>
  <c r="O22" i="3"/>
  <c r="N22" i="3"/>
  <c r="M22" i="3"/>
  <c r="L22" i="3"/>
  <c r="K22" i="3"/>
  <c r="J22" i="3"/>
  <c r="I22" i="3"/>
  <c r="T21" i="3"/>
  <c r="S21" i="3"/>
  <c r="R21" i="3"/>
  <c r="Q21" i="3"/>
  <c r="P21" i="3"/>
  <c r="O21" i="3"/>
  <c r="N21" i="3"/>
  <c r="M21" i="3"/>
  <c r="L21" i="3"/>
  <c r="K21" i="3"/>
  <c r="J21" i="3"/>
  <c r="I21" i="3"/>
  <c r="T20" i="3"/>
  <c r="S20" i="3"/>
  <c r="R20" i="3"/>
  <c r="Q20" i="3"/>
  <c r="P20" i="3"/>
  <c r="O20" i="3"/>
  <c r="N20" i="3"/>
  <c r="M20" i="3"/>
  <c r="L20" i="3"/>
  <c r="K20" i="3"/>
  <c r="J20" i="3"/>
  <c r="I20" i="3"/>
  <c r="T19" i="3"/>
  <c r="S19" i="3"/>
  <c r="R19" i="3"/>
  <c r="Q19" i="3"/>
  <c r="P19" i="3"/>
  <c r="O19" i="3"/>
  <c r="N19" i="3"/>
  <c r="M19" i="3"/>
  <c r="L19" i="3"/>
  <c r="K19" i="3"/>
  <c r="J19" i="3"/>
  <c r="I19" i="3"/>
  <c r="T18" i="3"/>
  <c r="S18" i="3"/>
  <c r="R18" i="3"/>
  <c r="Q18" i="3"/>
  <c r="P18" i="3"/>
  <c r="O18" i="3"/>
  <c r="N18" i="3"/>
  <c r="M18" i="3"/>
  <c r="L18" i="3"/>
  <c r="K18" i="3"/>
  <c r="J18" i="3"/>
  <c r="I18" i="3"/>
  <c r="T17" i="3"/>
  <c r="S17" i="3"/>
  <c r="R17" i="3"/>
  <c r="Q17" i="3"/>
  <c r="P17" i="3"/>
  <c r="O17" i="3"/>
  <c r="N17" i="3"/>
  <c r="M17" i="3"/>
  <c r="L17" i="3"/>
  <c r="K17" i="3"/>
  <c r="J17" i="3"/>
  <c r="I17" i="3"/>
  <c r="T16" i="3"/>
  <c r="S16" i="3"/>
  <c r="R16" i="3"/>
  <c r="Q16" i="3"/>
  <c r="P16" i="3"/>
  <c r="O16" i="3"/>
  <c r="N16" i="3"/>
  <c r="M16" i="3"/>
  <c r="L16" i="3"/>
  <c r="K16" i="3"/>
  <c r="J16" i="3"/>
  <c r="I16" i="3"/>
  <c r="T15" i="3"/>
  <c r="S15" i="3"/>
  <c r="R15" i="3"/>
  <c r="Q15" i="3"/>
  <c r="P15" i="3"/>
  <c r="O15" i="3"/>
  <c r="N15" i="3"/>
  <c r="M15" i="3"/>
  <c r="L15" i="3"/>
  <c r="K15" i="3"/>
  <c r="J15" i="3"/>
  <c r="I15" i="3"/>
  <c r="T14" i="3"/>
  <c r="S14" i="3"/>
  <c r="R14" i="3"/>
  <c r="Q14" i="3"/>
  <c r="P14" i="3"/>
  <c r="O14" i="3"/>
  <c r="N14" i="3"/>
  <c r="M14" i="3"/>
  <c r="L14" i="3"/>
  <c r="K14" i="3"/>
  <c r="J14" i="3"/>
  <c r="I14" i="3"/>
  <c r="T13" i="3"/>
  <c r="S13" i="3"/>
  <c r="R13" i="3"/>
  <c r="Q13" i="3"/>
  <c r="P13" i="3"/>
  <c r="O13" i="3"/>
  <c r="N13" i="3"/>
  <c r="M13" i="3"/>
  <c r="L13" i="3"/>
  <c r="K13" i="3"/>
  <c r="J13" i="3"/>
  <c r="I13" i="3"/>
  <c r="T12" i="3"/>
  <c r="S12" i="3"/>
  <c r="R12" i="3"/>
  <c r="Q12" i="3"/>
  <c r="P12" i="3"/>
  <c r="O12" i="3"/>
  <c r="N12" i="3"/>
  <c r="M12" i="3"/>
  <c r="L12" i="3"/>
  <c r="K12" i="3"/>
  <c r="J12" i="3"/>
  <c r="I12" i="3"/>
  <c r="T11" i="3"/>
  <c r="S11" i="3"/>
  <c r="R11" i="3"/>
  <c r="Q11" i="3"/>
  <c r="P11" i="3"/>
  <c r="O11" i="3"/>
  <c r="N11" i="3"/>
  <c r="M11" i="3"/>
  <c r="L11" i="3"/>
  <c r="K11" i="3"/>
  <c r="J11" i="3"/>
  <c r="I11" i="3"/>
  <c r="T10" i="3"/>
  <c r="S10" i="3"/>
  <c r="R10" i="3"/>
  <c r="Q10" i="3"/>
  <c r="P10" i="3"/>
  <c r="O10" i="3"/>
  <c r="N10" i="3"/>
  <c r="M10" i="3"/>
  <c r="L10" i="3"/>
  <c r="K10" i="3"/>
  <c r="J10" i="3"/>
  <c r="I10" i="3"/>
  <c r="T9" i="3"/>
  <c r="S9" i="3"/>
  <c r="R9" i="3"/>
  <c r="Q9" i="3"/>
  <c r="P9" i="3"/>
  <c r="O9" i="3"/>
  <c r="N9" i="3"/>
  <c r="M9" i="3"/>
  <c r="L9" i="3"/>
  <c r="K9" i="3"/>
  <c r="J9" i="3"/>
  <c r="I9" i="3"/>
  <c r="T8" i="3"/>
  <c r="S8" i="3"/>
  <c r="R8" i="3"/>
  <c r="Q8" i="3"/>
  <c r="P8" i="3"/>
  <c r="O8" i="3"/>
  <c r="N8" i="3"/>
  <c r="M8" i="3"/>
  <c r="L8" i="3"/>
  <c r="K8" i="3"/>
  <c r="J8" i="3"/>
  <c r="I8" i="3"/>
  <c r="T7" i="3"/>
  <c r="S7" i="3"/>
  <c r="R7" i="3"/>
  <c r="Q7" i="3"/>
  <c r="P7" i="3"/>
  <c r="O7" i="3"/>
  <c r="N7" i="3"/>
  <c r="M7" i="3"/>
  <c r="L7" i="3"/>
  <c r="K7" i="3"/>
  <c r="J7" i="3"/>
  <c r="I7" i="3"/>
  <c r="T6" i="3"/>
  <c r="S6" i="3"/>
  <c r="R6" i="3"/>
  <c r="Q6" i="3"/>
  <c r="P6" i="3"/>
  <c r="O6" i="3"/>
  <c r="N6" i="3"/>
  <c r="M6" i="3"/>
  <c r="L6" i="3"/>
  <c r="K6" i="3"/>
  <c r="J6" i="3"/>
  <c r="I6" i="3"/>
  <c r="T5" i="3"/>
  <c r="S5" i="3"/>
  <c r="R5" i="3"/>
  <c r="Q5" i="3"/>
  <c r="P5" i="3"/>
  <c r="O5" i="3"/>
  <c r="N5" i="3"/>
  <c r="M5" i="3"/>
  <c r="L5" i="3"/>
  <c r="K5" i="3"/>
  <c r="J5" i="3"/>
  <c r="I5" i="3"/>
  <c r="T4" i="3"/>
  <c r="S4" i="3"/>
  <c r="R4" i="3"/>
  <c r="Q4" i="3"/>
  <c r="P4" i="3"/>
  <c r="O4" i="3"/>
  <c r="N4" i="3"/>
  <c r="M4" i="3"/>
  <c r="L4" i="3"/>
  <c r="K4" i="3"/>
  <c r="J4" i="3"/>
  <c r="I4" i="3"/>
  <c r="T3" i="3"/>
  <c r="S3" i="3"/>
  <c r="R3" i="3"/>
  <c r="Q3" i="3"/>
  <c r="P3" i="3"/>
  <c r="O3" i="3"/>
  <c r="N3" i="3"/>
  <c r="M3" i="3"/>
  <c r="L3" i="3"/>
  <c r="K3" i="3"/>
  <c r="J3" i="3"/>
  <c r="I3" i="3"/>
  <c r="T2" i="3"/>
  <c r="S2" i="3"/>
  <c r="R2" i="3"/>
  <c r="Q2" i="3"/>
  <c r="P2" i="3"/>
  <c r="O2" i="3"/>
  <c r="N2" i="3"/>
  <c r="M2" i="3"/>
  <c r="L2" i="3"/>
  <c r="K2" i="3"/>
  <c r="J2" i="3"/>
  <c r="I2" i="3"/>
  <c r="H1" i="2"/>
  <c r="AT4" i="25" l="1"/>
  <c r="AJ4" i="25"/>
  <c r="U11" i="3"/>
  <c r="U19" i="3"/>
  <c r="U27" i="3"/>
  <c r="U35" i="3"/>
  <c r="U43" i="3"/>
  <c r="U6" i="4"/>
  <c r="AO4" i="25"/>
  <c r="AM57" i="16"/>
  <c r="AT6" i="25"/>
  <c r="AJ6" i="25"/>
  <c r="U6" i="3"/>
  <c r="U8" i="3"/>
  <c r="U9" i="3"/>
  <c r="U14" i="3"/>
  <c r="U16" i="3"/>
  <c r="U17" i="3"/>
  <c r="U22" i="3"/>
  <c r="U24" i="3"/>
  <c r="U25" i="3"/>
  <c r="U30" i="3"/>
  <c r="U32" i="3"/>
  <c r="U33" i="3"/>
  <c r="U34" i="3"/>
  <c r="U38" i="3"/>
  <c r="U40" i="3"/>
  <c r="U41" i="3"/>
  <c r="U42" i="3"/>
  <c r="U46" i="3"/>
  <c r="U48" i="3"/>
  <c r="U3" i="4"/>
  <c r="U7" i="4"/>
  <c r="U8" i="4"/>
  <c r="U9" i="4"/>
  <c r="U11" i="4"/>
  <c r="U15" i="4"/>
  <c r="U16" i="4"/>
  <c r="U17" i="4"/>
  <c r="U19" i="4"/>
  <c r="U23" i="4"/>
  <c r="U24" i="4"/>
  <c r="U25" i="4"/>
  <c r="U27" i="4"/>
  <c r="U31" i="4"/>
  <c r="U32" i="4"/>
  <c r="U33" i="4"/>
  <c r="U35" i="4"/>
  <c r="U37" i="4"/>
  <c r="AJ3" i="25"/>
  <c r="AT3" i="25"/>
  <c r="U2" i="3"/>
  <c r="U10" i="3"/>
  <c r="U18" i="3"/>
  <c r="U26" i="3"/>
  <c r="AO6" i="25"/>
  <c r="U3" i="3"/>
  <c r="AO3" i="25"/>
  <c r="U5" i="4"/>
  <c r="U13" i="4"/>
  <c r="U21" i="4"/>
  <c r="U29" i="4"/>
  <c r="AJ5" i="25"/>
  <c r="U4" i="3"/>
  <c r="U5" i="3"/>
  <c r="U7" i="3"/>
  <c r="U12" i="3"/>
  <c r="U13" i="3"/>
  <c r="U15" i="3"/>
  <c r="U20" i="3"/>
  <c r="U21" i="3"/>
  <c r="U23" i="3"/>
  <c r="U28" i="3"/>
  <c r="U29" i="3"/>
  <c r="U31" i="3"/>
  <c r="U36" i="3"/>
  <c r="U37" i="3"/>
  <c r="U39" i="3"/>
  <c r="U44" i="3"/>
  <c r="U45" i="3"/>
  <c r="U47" i="3"/>
  <c r="U2" i="4"/>
  <c r="U4" i="4"/>
  <c r="U10" i="4"/>
  <c r="U12" i="4"/>
  <c r="U18" i="4"/>
  <c r="U20" i="4"/>
  <c r="U26" i="4"/>
  <c r="U28" i="4"/>
  <c r="U30" i="4"/>
  <c r="U34" i="4"/>
  <c r="U36" i="4"/>
  <c r="U38" i="4"/>
  <c r="D28" i="5"/>
  <c r="AL56" i="15" s="1"/>
  <c r="AT5" i="25"/>
  <c r="U14" i="4"/>
  <c r="U22" i="4"/>
  <c r="AA10" i="30"/>
  <c r="AA12" i="30"/>
  <c r="AC61" i="26"/>
  <c r="AC65" i="26"/>
  <c r="AC73" i="26"/>
  <c r="AC77" i="26"/>
  <c r="AC81" i="26"/>
  <c r="AA11" i="30"/>
  <c r="AC67" i="26"/>
  <c r="AC71" i="26"/>
  <c r="AC75" i="26"/>
  <c r="AC83" i="26"/>
  <c r="AC63" i="26"/>
  <c r="AC79" i="26"/>
  <c r="AC146" i="26"/>
  <c r="AC154" i="26"/>
  <c r="AC162" i="26"/>
  <c r="AC7" i="26"/>
  <c r="AC15" i="26"/>
  <c r="AC23" i="26"/>
  <c r="AC38" i="26"/>
  <c r="AC40" i="26"/>
  <c r="AC42" i="26"/>
  <c r="AC44" i="26"/>
  <c r="AC46" i="26"/>
  <c r="AC48" i="26"/>
  <c r="AC50" i="26"/>
  <c r="AC52" i="26"/>
  <c r="AC54" i="26"/>
  <c r="AC56" i="26"/>
  <c r="AC58" i="26"/>
  <c r="AC60" i="26"/>
  <c r="AC208" i="26"/>
  <c r="AC224" i="26"/>
  <c r="AC240" i="26"/>
  <c r="AC256" i="26"/>
  <c r="AC272" i="26"/>
  <c r="AC288" i="26"/>
  <c r="AC304" i="26"/>
  <c r="AC320" i="26"/>
  <c r="AD10" i="30"/>
  <c r="AO5" i="25"/>
  <c r="AC29" i="26"/>
  <c r="AC37" i="26"/>
  <c r="AC121" i="26"/>
  <c r="AC125" i="26"/>
  <c r="AC129" i="26"/>
  <c r="AC147" i="26"/>
  <c r="AC155" i="26"/>
  <c r="AC163" i="26"/>
  <c r="AC171" i="26"/>
  <c r="AC179" i="26"/>
  <c r="AC4" i="26"/>
  <c r="AC12" i="26"/>
  <c r="AC20" i="26"/>
  <c r="AC69" i="26"/>
  <c r="AD9" i="30"/>
  <c r="AC3" i="26"/>
  <c r="AC11" i="26"/>
  <c r="AC19" i="26"/>
  <c r="AC39" i="26"/>
  <c r="AC41" i="26"/>
  <c r="AC43" i="26"/>
  <c r="AC45" i="26"/>
  <c r="AC47" i="26"/>
  <c r="AC49" i="26"/>
  <c r="AC51" i="26"/>
  <c r="AC53" i="26"/>
  <c r="AC55" i="26"/>
  <c r="AC57" i="26"/>
  <c r="AC59" i="26"/>
  <c r="AC33" i="26"/>
  <c r="AC119" i="26"/>
  <c r="AC123" i="26"/>
  <c r="AC143" i="26"/>
  <c r="AC167" i="26"/>
  <c r="AC8" i="26"/>
  <c r="AC16" i="26"/>
  <c r="AC105" i="26"/>
  <c r="AC107" i="26"/>
  <c r="AC138" i="26"/>
  <c r="AC327" i="26"/>
  <c r="AC329" i="26"/>
  <c r="AC331" i="26"/>
  <c r="AC333" i="26"/>
  <c r="AC335" i="26"/>
  <c r="Y3" i="30"/>
  <c r="X6" i="30"/>
  <c r="AC109" i="26"/>
  <c r="AC117" i="26"/>
  <c r="AC135" i="26"/>
  <c r="AC137" i="26"/>
  <c r="AI3" i="30"/>
  <c r="X4" i="30"/>
  <c r="AF4" i="30" s="1"/>
  <c r="AC102" i="26"/>
  <c r="AC104" i="26"/>
  <c r="AC130" i="26"/>
  <c r="AC140" i="26"/>
  <c r="R9" i="30"/>
  <c r="AI4" i="30"/>
  <c r="X5" i="30"/>
  <c r="AF5" i="30" s="1"/>
  <c r="Y8" i="30"/>
  <c r="AG8" i="30" s="1"/>
  <c r="AC134" i="26"/>
  <c r="AC136" i="26"/>
  <c r="R10" i="30"/>
  <c r="AJ3" i="30"/>
  <c r="AJ6" i="30"/>
  <c r="Y4" i="30"/>
  <c r="AG4" i="30" s="1"/>
  <c r="AJ4" i="30"/>
  <c r="Z4" i="30"/>
  <c r="AH4" i="30" s="1"/>
  <c r="AJ13" i="30"/>
  <c r="Z3" i="30"/>
  <c r="AH3" i="30" s="1"/>
  <c r="AH13" i="30"/>
  <c r="Z8" i="30"/>
  <c r="AH8" i="30" s="1"/>
  <c r="AJ5" i="30"/>
  <c r="AJ8" i="30"/>
  <c r="Z6" i="30"/>
  <c r="AH6" i="30" s="1"/>
  <c r="M241" i="30"/>
  <c r="U9" i="30" s="1"/>
  <c r="AI9" i="30" s="1"/>
  <c r="M333" i="30"/>
  <c r="U10" i="30" s="1"/>
  <c r="AI10" i="30" s="1"/>
  <c r="U11" i="30"/>
  <c r="AI11" i="30" s="1"/>
  <c r="AI5" i="30"/>
  <c r="AF6" i="30"/>
  <c r="AG6" i="30"/>
  <c r="X8" i="30"/>
  <c r="AF8" i="30" s="1"/>
  <c r="R11" i="30"/>
  <c r="AG3" i="30"/>
  <c r="U12" i="30"/>
  <c r="AI12" i="30" s="1"/>
  <c r="Y5" i="30"/>
  <c r="AG5" i="30" s="1"/>
  <c r="Z5" i="30"/>
  <c r="AH5" i="30" s="1"/>
  <c r="AI5" i="26"/>
  <c r="AT2" i="25"/>
  <c r="AT7" i="25" s="1"/>
  <c r="AJ2" i="25"/>
  <c r="AJ7" i="25" s="1"/>
  <c r="AC106" i="26"/>
  <c r="AO2" i="25"/>
  <c r="AO7" i="25" s="1"/>
  <c r="AO9" i="25" s="1"/>
  <c r="AO8" i="25"/>
  <c r="AC326" i="26"/>
  <c r="AC26" i="26"/>
  <c r="AC28" i="26"/>
  <c r="AC30" i="26"/>
  <c r="AC32" i="26"/>
  <c r="AC34" i="26"/>
  <c r="AC36" i="26"/>
  <c r="AC145" i="26"/>
  <c r="AC153" i="26"/>
  <c r="AC161" i="26"/>
  <c r="AC169" i="26"/>
  <c r="AC177" i="26"/>
  <c r="AC185" i="26"/>
  <c r="AC193" i="26"/>
  <c r="AC201" i="26"/>
  <c r="AC209" i="26"/>
  <c r="AC217" i="26"/>
  <c r="AC225" i="26"/>
  <c r="AC233" i="26"/>
  <c r="AC241" i="26"/>
  <c r="AC249" i="26"/>
  <c r="AC257" i="26"/>
  <c r="AC265" i="26"/>
  <c r="AC273" i="26"/>
  <c r="AC281" i="26"/>
  <c r="AC289" i="26"/>
  <c r="AC297" i="26"/>
  <c r="AC305" i="26"/>
  <c r="AC313" i="26"/>
  <c r="AC321" i="26"/>
  <c r="AC142" i="26"/>
  <c r="AC150" i="26"/>
  <c r="AC158" i="26"/>
  <c r="AC166" i="26"/>
  <c r="AC174" i="26"/>
  <c r="AC182" i="26"/>
  <c r="AC190" i="26"/>
  <c r="AC198" i="26"/>
  <c r="AC206" i="26"/>
  <c r="AC214" i="26"/>
  <c r="AC222" i="26"/>
  <c r="AC230" i="26"/>
  <c r="AC238" i="26"/>
  <c r="AC246" i="26"/>
  <c r="AC254" i="26"/>
  <c r="AC262" i="26"/>
  <c r="AC270" i="26"/>
  <c r="AC278" i="26"/>
  <c r="AC286" i="26"/>
  <c r="AC294" i="26"/>
  <c r="AC302" i="26"/>
  <c r="AC310" i="26"/>
  <c r="AC318" i="26"/>
  <c r="AC187" i="26"/>
  <c r="AC195" i="26"/>
  <c r="AC203" i="26"/>
  <c r="AC211" i="26"/>
  <c r="AC219" i="26"/>
  <c r="AC227" i="26"/>
  <c r="AC235" i="26"/>
  <c r="AC243" i="26"/>
  <c r="AC251" i="26"/>
  <c r="AC259" i="26"/>
  <c r="AC267" i="26"/>
  <c r="AC275" i="26"/>
  <c r="AC283" i="26"/>
  <c r="AC291" i="26"/>
  <c r="AC299" i="26"/>
  <c r="AC307" i="26"/>
  <c r="AC315" i="26"/>
  <c r="AC323" i="26"/>
  <c r="AJ8" i="25"/>
  <c r="AC144" i="26"/>
  <c r="AC152" i="26"/>
  <c r="AC160" i="26"/>
  <c r="AC168" i="26"/>
  <c r="AC176" i="26"/>
  <c r="AC184" i="26"/>
  <c r="AC192" i="26"/>
  <c r="AC200" i="26"/>
  <c r="AC216" i="26"/>
  <c r="AC232" i="26"/>
  <c r="AC248" i="26"/>
  <c r="AC264" i="26"/>
  <c r="AC280" i="26"/>
  <c r="AC296" i="26"/>
  <c r="AC312" i="26"/>
  <c r="AC141" i="26"/>
  <c r="AC149" i="26"/>
  <c r="AC157" i="26"/>
  <c r="AC165" i="26"/>
  <c r="AC173" i="26"/>
  <c r="AC181" i="26"/>
  <c r="AC189" i="26"/>
  <c r="AC197" i="26"/>
  <c r="AC205" i="26"/>
  <c r="AC213" i="26"/>
  <c r="AC221" i="26"/>
  <c r="AC229" i="26"/>
  <c r="AC237" i="26"/>
  <c r="AC245" i="26"/>
  <c r="AC253" i="26"/>
  <c r="AC261" i="26"/>
  <c r="AC269" i="26"/>
  <c r="AC277" i="26"/>
  <c r="AC285" i="26"/>
  <c r="AC293" i="26"/>
  <c r="AC301" i="26"/>
  <c r="AC309" i="26"/>
  <c r="AC317" i="26"/>
  <c r="AC325" i="26"/>
  <c r="AT8" i="25"/>
  <c r="AC170" i="26"/>
  <c r="AC178" i="26"/>
  <c r="AC186" i="26"/>
  <c r="AC194" i="26"/>
  <c r="AC202" i="26"/>
  <c r="AC210" i="26"/>
  <c r="AC218" i="26"/>
  <c r="AC226" i="26"/>
  <c r="AC234" i="26"/>
  <c r="AC242" i="26"/>
  <c r="AC250" i="26"/>
  <c r="AC258" i="26"/>
  <c r="AC266" i="26"/>
  <c r="AC274" i="26"/>
  <c r="AC282" i="26"/>
  <c r="AC290" i="26"/>
  <c r="AC298" i="26"/>
  <c r="AC306" i="26"/>
  <c r="AC314" i="26"/>
  <c r="AC322" i="26"/>
  <c r="AC151" i="26"/>
  <c r="AC159" i="26"/>
  <c r="AC175" i="26"/>
  <c r="AC183" i="26"/>
  <c r="AC191" i="26"/>
  <c r="AC199" i="26"/>
  <c r="AC207" i="26"/>
  <c r="AC215" i="26"/>
  <c r="AC223" i="26"/>
  <c r="AC231" i="26"/>
  <c r="AC239" i="26"/>
  <c r="AC247" i="26"/>
  <c r="AC255" i="26"/>
  <c r="AC263" i="26"/>
  <c r="AC271" i="26"/>
  <c r="AC279" i="26"/>
  <c r="AC287" i="26"/>
  <c r="AC295" i="26"/>
  <c r="AC303" i="26"/>
  <c r="AC311" i="26"/>
  <c r="AC319" i="26"/>
  <c r="AC148" i="26"/>
  <c r="AC156" i="26"/>
  <c r="AC164" i="26"/>
  <c r="AC172" i="26"/>
  <c r="AC180" i="26"/>
  <c r="AC188" i="26"/>
  <c r="AC196" i="26"/>
  <c r="AC204" i="26"/>
  <c r="AC212" i="26"/>
  <c r="AC220" i="26"/>
  <c r="AC228" i="26"/>
  <c r="AC236" i="26"/>
  <c r="AC244" i="26"/>
  <c r="AC252" i="26"/>
  <c r="AC260" i="26"/>
  <c r="AC268" i="26"/>
  <c r="AC276" i="26"/>
  <c r="AC284" i="26"/>
  <c r="AC292" i="26"/>
  <c r="AC300" i="26"/>
  <c r="AC308" i="26"/>
  <c r="AC316" i="26"/>
  <c r="AC324" i="26"/>
  <c r="AJ54" i="18"/>
  <c r="AJ54" i="17"/>
  <c r="AJ58" i="17" s="1"/>
  <c r="AJ54" i="16"/>
  <c r="AG54" i="17"/>
  <c r="AG54" i="18"/>
  <c r="AG54" i="16"/>
  <c r="AL54" i="17"/>
  <c r="AL54" i="18"/>
  <c r="AL54" i="16"/>
  <c r="W54" i="17"/>
  <c r="W58" i="17" s="1"/>
  <c r="W54" i="18"/>
  <c r="W54" i="16"/>
  <c r="AH54" i="17"/>
  <c r="AH54" i="18"/>
  <c r="AH54" i="16"/>
  <c r="AA44" i="22"/>
  <c r="AA44" i="21"/>
  <c r="AA44" i="20"/>
  <c r="AA44" i="19"/>
  <c r="AI54" i="17"/>
  <c r="AI58" i="17" s="1"/>
  <c r="AI54" i="18"/>
  <c r="AI54" i="16"/>
  <c r="AD54" i="17"/>
  <c r="AD54" i="18"/>
  <c r="AD54" i="16"/>
  <c r="W45" i="22"/>
  <c r="W45" i="21"/>
  <c r="W45" i="20"/>
  <c r="W45" i="19"/>
  <c r="M54" i="17"/>
  <c r="M58" i="17" s="1"/>
  <c r="M54" i="18"/>
  <c r="M54" i="16"/>
  <c r="Z58" i="15"/>
  <c r="AI58" i="15"/>
  <c r="AD56" i="16"/>
  <c r="AJ55" i="18"/>
  <c r="AJ55" i="17"/>
  <c r="AB55" i="18"/>
  <c r="AB55" i="17"/>
  <c r="W46" i="22"/>
  <c r="W46" i="21"/>
  <c r="W46" i="20"/>
  <c r="W46" i="19"/>
  <c r="R44" i="22"/>
  <c r="R44" i="21"/>
  <c r="R44" i="19"/>
  <c r="R44" i="20"/>
  <c r="AJ56" i="18"/>
  <c r="AJ56" i="17"/>
  <c r="Q54" i="17"/>
  <c r="Q58" i="17" s="1"/>
  <c r="Q54" i="18"/>
  <c r="Q54" i="16"/>
  <c r="AG58" i="15"/>
  <c r="AJ55" i="16"/>
  <c r="AH55" i="18"/>
  <c r="AH55" i="17"/>
  <c r="X54" i="17"/>
  <c r="X58" i="17" s="1"/>
  <c r="X54" i="18"/>
  <c r="X54" i="16"/>
  <c r="AA58" i="15"/>
  <c r="AJ57" i="15"/>
  <c r="AD55" i="18"/>
  <c r="AD55" i="17"/>
  <c r="Y46" i="22"/>
  <c r="Y46" i="21"/>
  <c r="Y46" i="20"/>
  <c r="Y46" i="19"/>
  <c r="U56" i="18"/>
  <c r="U56" i="17"/>
  <c r="AH56" i="18"/>
  <c r="AH56" i="17"/>
  <c r="Z45" i="22"/>
  <c r="Z45" i="21"/>
  <c r="Z45" i="20"/>
  <c r="Z45" i="19"/>
  <c r="O54" i="17"/>
  <c r="O58" i="17" s="1"/>
  <c r="O54" i="18"/>
  <c r="O54" i="16"/>
  <c r="AJ58" i="15"/>
  <c r="AA54" i="17"/>
  <c r="AA58" i="17" s="1"/>
  <c r="AA47" i="18" s="1"/>
  <c r="AA54" i="18"/>
  <c r="AA54" i="16"/>
  <c r="U54" i="17"/>
  <c r="U58" i="17" s="1"/>
  <c r="U54" i="18"/>
  <c r="U54" i="16"/>
  <c r="Z54" i="17"/>
  <c r="Z58" i="17" s="1"/>
  <c r="Z36" i="18" s="1"/>
  <c r="Z54" i="18"/>
  <c r="Z54" i="16"/>
  <c r="AD56" i="18"/>
  <c r="AD56" i="17"/>
  <c r="AA46" i="21"/>
  <c r="AA46" i="22"/>
  <c r="AA46" i="19"/>
  <c r="AA46" i="20"/>
  <c r="V56" i="18"/>
  <c r="V56" i="17"/>
  <c r="Z46" i="22"/>
  <c r="Z46" i="21"/>
  <c r="Z46" i="19"/>
  <c r="Z46" i="20"/>
  <c r="R54" i="17"/>
  <c r="R58" i="17" s="1"/>
  <c r="R54" i="18"/>
  <c r="R54" i="16"/>
  <c r="U58" i="15"/>
  <c r="AB57" i="15"/>
  <c r="AE54" i="17"/>
  <c r="AE54" i="18"/>
  <c r="AE54" i="16"/>
  <c r="AH57" i="15"/>
  <c r="AK54" i="17"/>
  <c r="AK58" i="17" s="1"/>
  <c r="AK54" i="18"/>
  <c r="AK54" i="16"/>
  <c r="AD55" i="16"/>
  <c r="AH56" i="16"/>
  <c r="Z44" i="22"/>
  <c r="Z44" i="21"/>
  <c r="Z48" i="21" s="1"/>
  <c r="Z44" i="20"/>
  <c r="Z48" i="20" s="1"/>
  <c r="Z44" i="19"/>
  <c r="F18" i="5"/>
  <c r="Z56" i="18"/>
  <c r="Z56" i="17"/>
  <c r="AI55" i="18"/>
  <c r="AI55" i="17"/>
  <c r="L54" i="18"/>
  <c r="L54" i="17"/>
  <c r="L58" i="17" s="1"/>
  <c r="L54" i="16"/>
  <c r="AH58" i="15"/>
  <c r="Y44" i="22"/>
  <c r="Y44" i="21"/>
  <c r="Y44" i="20"/>
  <c r="Y44" i="19"/>
  <c r="P54" i="17"/>
  <c r="P58" i="17" s="1"/>
  <c r="P54" i="18"/>
  <c r="P54" i="16"/>
  <c r="V58" i="15"/>
  <c r="AC54" i="17"/>
  <c r="AC58" i="17" s="1"/>
  <c r="AC54" i="18"/>
  <c r="AC54" i="16"/>
  <c r="AF54" i="17"/>
  <c r="AF54" i="18"/>
  <c r="AF54" i="16"/>
  <c r="AJ56" i="16"/>
  <c r="AG56" i="18"/>
  <c r="AG56" i="17"/>
  <c r="D18" i="5"/>
  <c r="AB56" i="15" s="1"/>
  <c r="AA56" i="18"/>
  <c r="AA56" i="17"/>
  <c r="AI56" i="18"/>
  <c r="AI56" i="17"/>
  <c r="W44" i="21"/>
  <c r="W44" i="22"/>
  <c r="W44" i="19"/>
  <c r="W44" i="20"/>
  <c r="U46" i="21"/>
  <c r="U46" i="22"/>
  <c r="U46" i="20"/>
  <c r="U46" i="19"/>
  <c r="S54" i="17"/>
  <c r="S54" i="18"/>
  <c r="S54" i="16"/>
  <c r="AI57" i="15"/>
  <c r="U56" i="16"/>
  <c r="AA43" i="18"/>
  <c r="AA39" i="18"/>
  <c r="AA44" i="18"/>
  <c r="AA36" i="18"/>
  <c r="AA49" i="18"/>
  <c r="AA45" i="18"/>
  <c r="AA46" i="18"/>
  <c r="AA42" i="18"/>
  <c r="AA30" i="18"/>
  <c r="AA31" i="18"/>
  <c r="AA33" i="18"/>
  <c r="AA24" i="18"/>
  <c r="AA22" i="18"/>
  <c r="AA18" i="18"/>
  <c r="AA14" i="18"/>
  <c r="AA10" i="18"/>
  <c r="AA6" i="18"/>
  <c r="AA19" i="18"/>
  <c r="AA7" i="18"/>
  <c r="AA12" i="18"/>
  <c r="AA21" i="18"/>
  <c r="AA8" i="18"/>
  <c r="AA15" i="18"/>
  <c r="AA5" i="18"/>
  <c r="Z51" i="18"/>
  <c r="Z47" i="18"/>
  <c r="Z35" i="18"/>
  <c r="Z48" i="18"/>
  <c r="Z40" i="18"/>
  <c r="Z32" i="18"/>
  <c r="Z45" i="18"/>
  <c r="Z41" i="18"/>
  <c r="Z50" i="18"/>
  <c r="Z46" i="18"/>
  <c r="Z42" i="18"/>
  <c r="Z30" i="18"/>
  <c r="Z26" i="18"/>
  <c r="Z18" i="18"/>
  <c r="Z27" i="18"/>
  <c r="Z19" i="18"/>
  <c r="Z15" i="18"/>
  <c r="Z24" i="18"/>
  <c r="Z20" i="18"/>
  <c r="Z16" i="18"/>
  <c r="Z21" i="18"/>
  <c r="Z17" i="18"/>
  <c r="Z5" i="18"/>
  <c r="Z10" i="18"/>
  <c r="Z13" i="18"/>
  <c r="Z7" i="18"/>
  <c r="Z8" i="18"/>
  <c r="AA23" i="18"/>
  <c r="E36" i="5"/>
  <c r="D30" i="5" s="1"/>
  <c r="F36" i="5"/>
  <c r="E45" i="5"/>
  <c r="E28" i="5"/>
  <c r="F28" i="5"/>
  <c r="D37" i="5"/>
  <c r="Z12" i="18" l="1"/>
  <c r="Z25" i="18"/>
  <c r="Z31" i="18"/>
  <c r="Z37" i="18"/>
  <c r="Z39" i="18"/>
  <c r="AA29" i="18"/>
  <c r="AA35" i="18"/>
  <c r="AA34" i="18"/>
  <c r="AA40" i="18"/>
  <c r="AI6" i="26"/>
  <c r="AA50" i="18"/>
  <c r="Z14" i="18"/>
  <c r="Z11" i="18"/>
  <c r="Z34" i="18"/>
  <c r="AA11" i="18"/>
  <c r="AA13" i="18"/>
  <c r="AA28" i="18"/>
  <c r="AA41" i="18"/>
  <c r="AA48" i="18"/>
  <c r="AA37" i="18"/>
  <c r="AA27" i="18"/>
  <c r="AA20" i="18"/>
  <c r="AA25" i="18"/>
  <c r="AA9" i="18"/>
  <c r="AA51" i="18"/>
  <c r="AA32" i="18"/>
  <c r="AA38" i="18"/>
  <c r="AA26" i="18"/>
  <c r="AA17" i="18"/>
  <c r="AA16" i="18"/>
  <c r="AI7" i="26"/>
  <c r="Z44" i="18"/>
  <c r="Z33" i="18"/>
  <c r="Z22" i="18"/>
  <c r="Z28" i="18"/>
  <c r="Z9" i="18"/>
  <c r="Z43" i="18"/>
  <c r="Z49" i="18"/>
  <c r="Z38" i="18"/>
  <c r="Z23" i="18"/>
  <c r="Z29" i="18"/>
  <c r="Z6" i="18"/>
  <c r="AI3" i="26"/>
  <c r="AI8" i="26"/>
  <c r="I17" i="33"/>
  <c r="I17" i="22"/>
  <c r="I17" i="21"/>
  <c r="I17" i="20"/>
  <c r="I17" i="19"/>
  <c r="I23" i="33"/>
  <c r="I23" i="22"/>
  <c r="I23" i="21"/>
  <c r="I23" i="20"/>
  <c r="I23" i="19"/>
  <c r="I47" i="32"/>
  <c r="I47" i="16"/>
  <c r="I47" i="18"/>
  <c r="I47" i="23"/>
  <c r="I47" i="15"/>
  <c r="I47" i="17"/>
  <c r="I24" i="32"/>
  <c r="I24" i="18"/>
  <c r="I24" i="15"/>
  <c r="I24" i="23"/>
  <c r="I24" i="17"/>
  <c r="I24" i="16"/>
  <c r="I21" i="33"/>
  <c r="I21" i="21"/>
  <c r="I21" i="20"/>
  <c r="I21" i="19"/>
  <c r="I21" i="22"/>
  <c r="I42" i="32"/>
  <c r="I42" i="23"/>
  <c r="I42" i="18"/>
  <c r="I42" i="16"/>
  <c r="I42" i="15"/>
  <c r="I42" i="17"/>
  <c r="I23" i="32"/>
  <c r="I23" i="16"/>
  <c r="I23" i="23"/>
  <c r="I23" i="18"/>
  <c r="I23" i="15"/>
  <c r="I23" i="17"/>
  <c r="I28" i="33"/>
  <c r="I28" i="21"/>
  <c r="I28" i="20"/>
  <c r="I28" i="19"/>
  <c r="I28" i="22"/>
  <c r="I12" i="33"/>
  <c r="I12" i="21"/>
  <c r="I12" i="20"/>
  <c r="I12" i="19"/>
  <c r="I12" i="22"/>
  <c r="I43" i="32"/>
  <c r="I43" i="18"/>
  <c r="I43" i="16"/>
  <c r="I43" i="15"/>
  <c r="I43" i="17"/>
  <c r="I43" i="23"/>
  <c r="I25" i="32"/>
  <c r="I25" i="23"/>
  <c r="I25" i="18"/>
  <c r="I25" i="16"/>
  <c r="I25" i="15"/>
  <c r="I25" i="17"/>
  <c r="I25" i="33"/>
  <c r="I25" i="22"/>
  <c r="I25" i="21"/>
  <c r="I25" i="20"/>
  <c r="I25" i="19"/>
  <c r="I29" i="33"/>
  <c r="I29" i="21"/>
  <c r="I29" i="20"/>
  <c r="I29" i="19"/>
  <c r="I29" i="22"/>
  <c r="I48" i="32"/>
  <c r="I48" i="23"/>
  <c r="I48" i="18"/>
  <c r="I48" i="15"/>
  <c r="I48" i="17"/>
  <c r="I48" i="16"/>
  <c r="I26" i="32"/>
  <c r="I26" i="23"/>
  <c r="I26" i="18"/>
  <c r="I26" i="16"/>
  <c r="I26" i="15"/>
  <c r="I26" i="17"/>
  <c r="I7" i="32"/>
  <c r="I7" i="23"/>
  <c r="P13" i="5"/>
  <c r="P16" i="5" s="1"/>
  <c r="I7" i="16"/>
  <c r="M63" i="15" s="1"/>
  <c r="I7" i="18"/>
  <c r="I7" i="15"/>
  <c r="I7" i="17"/>
  <c r="I34" i="33"/>
  <c r="I34" i="22"/>
  <c r="I34" i="21"/>
  <c r="I34" i="20"/>
  <c r="I34" i="19"/>
  <c r="I18" i="33"/>
  <c r="I18" i="22"/>
  <c r="I18" i="21"/>
  <c r="I18" i="20"/>
  <c r="I18" i="19"/>
  <c r="I45" i="32"/>
  <c r="I45" i="15"/>
  <c r="I45" i="17"/>
  <c r="I45" i="23"/>
  <c r="I45" i="16"/>
  <c r="M68" i="15" s="1"/>
  <c r="I45" i="18"/>
  <c r="I28" i="32"/>
  <c r="I28" i="23"/>
  <c r="I28" i="15"/>
  <c r="I28" i="17"/>
  <c r="I28" i="18"/>
  <c r="I28" i="16"/>
  <c r="I9" i="32"/>
  <c r="I9" i="16"/>
  <c r="I9" i="18"/>
  <c r="I9" i="15"/>
  <c r="I9" i="17"/>
  <c r="I9" i="23"/>
  <c r="I14" i="32"/>
  <c r="I14" i="17"/>
  <c r="I14" i="23"/>
  <c r="I14" i="16"/>
  <c r="I14" i="18"/>
  <c r="I14" i="15"/>
  <c r="I30" i="33"/>
  <c r="I30" i="22"/>
  <c r="I30" i="21"/>
  <c r="I30" i="20"/>
  <c r="I30" i="19"/>
  <c r="I14" i="33"/>
  <c r="I14" i="22"/>
  <c r="I14" i="21"/>
  <c r="I14" i="20"/>
  <c r="I14" i="19"/>
  <c r="I44" i="32"/>
  <c r="I44" i="23"/>
  <c r="I44" i="15"/>
  <c r="I44" i="17"/>
  <c r="I44" i="18"/>
  <c r="I44" i="16"/>
  <c r="I27" i="32"/>
  <c r="I27" i="18"/>
  <c r="I27" i="16"/>
  <c r="I27" i="15"/>
  <c r="I27" i="17"/>
  <c r="I27" i="23"/>
  <c r="I41" i="33"/>
  <c r="I41" i="22"/>
  <c r="I41" i="21"/>
  <c r="I41" i="20"/>
  <c r="I41" i="19"/>
  <c r="I15" i="33"/>
  <c r="I15" i="22"/>
  <c r="I15" i="21"/>
  <c r="I15" i="20"/>
  <c r="I15" i="19"/>
  <c r="I40" i="32"/>
  <c r="I40" i="23"/>
  <c r="I40" i="18"/>
  <c r="I40" i="15"/>
  <c r="I40" i="17"/>
  <c r="I40" i="16"/>
  <c r="I18" i="32"/>
  <c r="I18" i="18"/>
  <c r="I18" i="15"/>
  <c r="I18" i="17"/>
  <c r="I18" i="23"/>
  <c r="I18" i="16"/>
  <c r="I32" i="33"/>
  <c r="I32" i="22"/>
  <c r="I32" i="21"/>
  <c r="I32" i="20"/>
  <c r="I32" i="19"/>
  <c r="I6" i="32"/>
  <c r="I6" i="17"/>
  <c r="I6" i="23"/>
  <c r="I6" i="16"/>
  <c r="I6" i="18"/>
  <c r="I6" i="15"/>
  <c r="I29" i="32"/>
  <c r="I29" i="15"/>
  <c r="I29" i="17"/>
  <c r="I29" i="23"/>
  <c r="I29" i="16"/>
  <c r="I29" i="18"/>
  <c r="I27" i="33"/>
  <c r="I27" i="21"/>
  <c r="I27" i="20"/>
  <c r="I27" i="19"/>
  <c r="I27" i="22"/>
  <c r="I11" i="33"/>
  <c r="I11" i="21"/>
  <c r="I11" i="20"/>
  <c r="I11" i="19"/>
  <c r="I11" i="22"/>
  <c r="I41" i="32"/>
  <c r="I41" i="18"/>
  <c r="I41" i="15"/>
  <c r="I41" i="23"/>
  <c r="I41" i="17"/>
  <c r="I41" i="16"/>
  <c r="I20" i="32"/>
  <c r="I20" i="15"/>
  <c r="I20" i="17"/>
  <c r="I20" i="23"/>
  <c r="I20" i="16"/>
  <c r="I20" i="18"/>
  <c r="I9" i="33"/>
  <c r="I9" i="22"/>
  <c r="I9" i="21"/>
  <c r="I9" i="20"/>
  <c r="I9" i="19"/>
  <c r="I39" i="33"/>
  <c r="I39" i="22"/>
  <c r="I39" i="21"/>
  <c r="I39" i="20"/>
  <c r="I39" i="19"/>
  <c r="I13" i="33"/>
  <c r="I13" i="21"/>
  <c r="I13" i="20"/>
  <c r="I13" i="19"/>
  <c r="I13" i="22"/>
  <c r="I39" i="32"/>
  <c r="I39" i="16"/>
  <c r="I39" i="18"/>
  <c r="I39" i="23"/>
  <c r="I39" i="15"/>
  <c r="I39" i="17"/>
  <c r="I16" i="32"/>
  <c r="I16" i="16"/>
  <c r="I16" i="15"/>
  <c r="I16" i="18"/>
  <c r="I16" i="17"/>
  <c r="I16" i="23"/>
  <c r="I24" i="33"/>
  <c r="I24" i="22"/>
  <c r="I24" i="21"/>
  <c r="I24" i="20"/>
  <c r="I24" i="19"/>
  <c r="I21" i="32"/>
  <c r="I21" i="15"/>
  <c r="I21" i="17"/>
  <c r="I21" i="23"/>
  <c r="I21" i="16"/>
  <c r="I21" i="18"/>
  <c r="I40" i="33"/>
  <c r="I40" i="22"/>
  <c r="I40" i="21"/>
  <c r="I40" i="20"/>
  <c r="I40" i="19"/>
  <c r="I26" i="33"/>
  <c r="I26" i="22"/>
  <c r="I26" i="21"/>
  <c r="I26" i="20"/>
  <c r="I26" i="19"/>
  <c r="I10" i="33"/>
  <c r="I10" i="22"/>
  <c r="I10" i="21"/>
  <c r="I10" i="20"/>
  <c r="I10" i="19"/>
  <c r="I37" i="32"/>
  <c r="I37" i="15"/>
  <c r="I37" i="17"/>
  <c r="I37" i="23"/>
  <c r="I37" i="16"/>
  <c r="I37" i="18"/>
  <c r="I19" i="32"/>
  <c r="I19" i="18"/>
  <c r="I19" i="15"/>
  <c r="I19" i="17"/>
  <c r="I19" i="23"/>
  <c r="I19" i="16"/>
  <c r="I46" i="32"/>
  <c r="I46" i="17"/>
  <c r="I46" i="23"/>
  <c r="I46" i="16"/>
  <c r="I46" i="18"/>
  <c r="I46" i="15"/>
  <c r="I37" i="33"/>
  <c r="I37" i="21"/>
  <c r="I37" i="20"/>
  <c r="I37" i="19"/>
  <c r="I37" i="22"/>
  <c r="I7" i="33"/>
  <c r="I7" i="22"/>
  <c r="I7" i="21"/>
  <c r="I7" i="20"/>
  <c r="I7" i="19"/>
  <c r="I34" i="32"/>
  <c r="I34" i="23"/>
  <c r="I34" i="18"/>
  <c r="I34" i="16"/>
  <c r="I34" i="15"/>
  <c r="I34" i="17"/>
  <c r="I15" i="32"/>
  <c r="I15" i="23"/>
  <c r="I15" i="16"/>
  <c r="I15" i="15"/>
  <c r="I15" i="18"/>
  <c r="I15" i="17"/>
  <c r="I16" i="33"/>
  <c r="I16" i="22"/>
  <c r="I16" i="21"/>
  <c r="I16" i="20"/>
  <c r="I16" i="19"/>
  <c r="I13" i="32"/>
  <c r="I13" i="17"/>
  <c r="I13" i="23"/>
  <c r="I13" i="16"/>
  <c r="I13" i="18"/>
  <c r="I13" i="15"/>
  <c r="I38" i="33"/>
  <c r="I38" i="22"/>
  <c r="I38" i="21"/>
  <c r="I38" i="20"/>
  <c r="I38" i="19"/>
  <c r="I22" i="33"/>
  <c r="I22" i="22"/>
  <c r="I22" i="21"/>
  <c r="I22" i="20"/>
  <c r="I22" i="19"/>
  <c r="I6" i="33"/>
  <c r="I6" i="22"/>
  <c r="I6" i="21"/>
  <c r="I6" i="20"/>
  <c r="I6" i="19"/>
  <c r="I36" i="32"/>
  <c r="I36" i="23"/>
  <c r="I36" i="15"/>
  <c r="I36" i="17"/>
  <c r="I36" i="18"/>
  <c r="I36" i="16"/>
  <c r="I17" i="32"/>
  <c r="I17" i="16"/>
  <c r="I17" i="18"/>
  <c r="I17" i="15"/>
  <c r="I17" i="17"/>
  <c r="I17" i="23"/>
  <c r="I38" i="32"/>
  <c r="I38" i="17"/>
  <c r="I38" i="23"/>
  <c r="I38" i="16"/>
  <c r="I38" i="18"/>
  <c r="I38" i="15"/>
  <c r="I33" i="33"/>
  <c r="I33" i="22"/>
  <c r="I33" i="21"/>
  <c r="I33" i="20"/>
  <c r="I33" i="19"/>
  <c r="I5" i="33"/>
  <c r="I5" i="21"/>
  <c r="I5" i="20"/>
  <c r="I5" i="19"/>
  <c r="I5" i="22"/>
  <c r="P14" i="5"/>
  <c r="P17" i="5" s="1"/>
  <c r="I32" i="32"/>
  <c r="I32" i="23"/>
  <c r="I32" i="18"/>
  <c r="I32" i="15"/>
  <c r="I32" i="17"/>
  <c r="I32" i="16"/>
  <c r="I10" i="32"/>
  <c r="I10" i="18"/>
  <c r="I10" i="15"/>
  <c r="I10" i="17"/>
  <c r="I10" i="23"/>
  <c r="I10" i="16"/>
  <c r="I8" i="33"/>
  <c r="I8" i="22"/>
  <c r="I8" i="21"/>
  <c r="I8" i="20"/>
  <c r="I8" i="19"/>
  <c r="I5" i="32"/>
  <c r="I5" i="17"/>
  <c r="P12" i="5"/>
  <c r="P15" i="5" s="1"/>
  <c r="I5" i="23"/>
  <c r="I5" i="16"/>
  <c r="I5" i="18"/>
  <c r="I5" i="15"/>
  <c r="I36" i="33"/>
  <c r="I36" i="21"/>
  <c r="I36" i="20"/>
  <c r="I36" i="19"/>
  <c r="I36" i="22"/>
  <c r="I20" i="33"/>
  <c r="I20" i="21"/>
  <c r="I20" i="20"/>
  <c r="I20" i="19"/>
  <c r="I20" i="22"/>
  <c r="I51" i="32"/>
  <c r="I51" i="18"/>
  <c r="I51" i="16"/>
  <c r="I51" i="15"/>
  <c r="I51" i="17"/>
  <c r="I51" i="23"/>
  <c r="I35" i="32"/>
  <c r="I35" i="18"/>
  <c r="I35" i="16"/>
  <c r="I35" i="15"/>
  <c r="I35" i="17"/>
  <c r="I35" i="23"/>
  <c r="I12" i="32"/>
  <c r="I12" i="17"/>
  <c r="I12" i="23"/>
  <c r="I12" i="16"/>
  <c r="I12" i="18"/>
  <c r="I12" i="15"/>
  <c r="I30" i="32"/>
  <c r="I30" i="17"/>
  <c r="I30" i="23"/>
  <c r="I30" i="16"/>
  <c r="M67" i="15" s="1"/>
  <c r="I30" i="18"/>
  <c r="I30" i="15"/>
  <c r="I31" i="33"/>
  <c r="I31" i="22"/>
  <c r="I31" i="21"/>
  <c r="I31" i="20"/>
  <c r="I31" i="19"/>
  <c r="I50" i="32"/>
  <c r="I50" i="23"/>
  <c r="I50" i="18"/>
  <c r="I50" i="16"/>
  <c r="M69" i="15" s="1"/>
  <c r="I50" i="15"/>
  <c r="I50" i="17"/>
  <c r="I31" i="32"/>
  <c r="I31" i="16"/>
  <c r="I31" i="18"/>
  <c r="I31" i="23"/>
  <c r="I31" i="15"/>
  <c r="I31" i="17"/>
  <c r="I8" i="32"/>
  <c r="I8" i="16"/>
  <c r="I8" i="18"/>
  <c r="I8" i="15"/>
  <c r="I8" i="17"/>
  <c r="I8" i="23"/>
  <c r="I35" i="33"/>
  <c r="I35" i="21"/>
  <c r="I35" i="20"/>
  <c r="I35" i="19"/>
  <c r="I35" i="22"/>
  <c r="I19" i="33"/>
  <c r="I19" i="21"/>
  <c r="I19" i="20"/>
  <c r="I19" i="19"/>
  <c r="I19" i="22"/>
  <c r="I49" i="32"/>
  <c r="I49" i="18"/>
  <c r="I49" i="15"/>
  <c r="I49" i="23"/>
  <c r="I49" i="17"/>
  <c r="I49" i="16"/>
  <c r="I33" i="32"/>
  <c r="I33" i="18"/>
  <c r="I33" i="15"/>
  <c r="I33" i="23"/>
  <c r="I33" i="17"/>
  <c r="I33" i="16"/>
  <c r="I11" i="32"/>
  <c r="I11" i="18"/>
  <c r="I11" i="15"/>
  <c r="I11" i="17"/>
  <c r="I11" i="23"/>
  <c r="I11" i="16"/>
  <c r="I22" i="32"/>
  <c r="I22" i="17"/>
  <c r="I22" i="16"/>
  <c r="I22" i="18"/>
  <c r="I22" i="23"/>
  <c r="I22" i="15"/>
  <c r="X12" i="30"/>
  <c r="AF12" i="30" s="1"/>
  <c r="X11" i="30"/>
  <c r="AF11" i="30" s="1"/>
  <c r="X10" i="30"/>
  <c r="AF10" i="30" s="1"/>
  <c r="X9" i="30"/>
  <c r="AF9" i="30" s="1"/>
  <c r="AT9" i="25"/>
  <c r="AJ9" i="25"/>
  <c r="Z53" i="18"/>
  <c r="S44" i="22"/>
  <c r="S44" i="21"/>
  <c r="S44" i="20"/>
  <c r="S44" i="19"/>
  <c r="AL55" i="18"/>
  <c r="AL55" i="17"/>
  <c r="AL55" i="16"/>
  <c r="AL57" i="15"/>
  <c r="R46" i="22"/>
  <c r="R46" i="21"/>
  <c r="R46" i="19"/>
  <c r="R46" i="20"/>
  <c r="AL56" i="18"/>
  <c r="AL56" i="17"/>
  <c r="AL58" i="15"/>
  <c r="AL56" i="16"/>
  <c r="AA45" i="22"/>
  <c r="AA45" i="21"/>
  <c r="AA45" i="19"/>
  <c r="AA45" i="20"/>
  <c r="R45" i="22"/>
  <c r="R45" i="21"/>
  <c r="R45" i="20"/>
  <c r="R45" i="19"/>
  <c r="L44" i="22"/>
  <c r="L44" i="21"/>
  <c r="L48" i="21" s="1"/>
  <c r="L44" i="19"/>
  <c r="L47" i="19" s="1"/>
  <c r="L44" i="20"/>
  <c r="L48" i="20" s="1"/>
  <c r="AA53" i="18"/>
  <c r="AB54" i="18"/>
  <c r="AB54" i="17"/>
  <c r="AB54" i="16"/>
  <c r="AB56" i="18"/>
  <c r="AB56" i="17"/>
  <c r="AB56" i="16"/>
  <c r="AB58" i="15"/>
  <c r="AH58" i="17"/>
  <c r="R48" i="20"/>
  <c r="R47" i="20" s="1"/>
  <c r="R48" i="21"/>
  <c r="R47" i="21" s="1"/>
  <c r="D4" i="5"/>
  <c r="N56" i="15" s="1"/>
  <c r="F37" i="5"/>
  <c r="E37" i="5"/>
  <c r="D35" i="5"/>
  <c r="BA87" i="32" l="1"/>
  <c r="AO87" i="32"/>
  <c r="BB87" i="32"/>
  <c r="AQ87" i="32"/>
  <c r="BD87" i="32"/>
  <c r="AX87" i="32"/>
  <c r="AT87" i="32"/>
  <c r="AI87" i="32"/>
  <c r="AV87" i="32"/>
  <c r="AL87" i="32"/>
  <c r="AZ87" i="32"/>
  <c r="AN87" i="32"/>
  <c r="AU87" i="32"/>
  <c r="AJ87" i="32"/>
  <c r="AW87" i="32"/>
  <c r="AM87" i="32"/>
  <c r="AY87" i="32"/>
  <c r="AS87" i="32"/>
  <c r="AK87" i="32"/>
  <c r="BC87" i="32"/>
  <c r="AR87" i="32"/>
  <c r="AP87" i="32"/>
  <c r="AA78" i="33"/>
  <c r="AH78" i="33"/>
  <c r="AD78" i="33"/>
  <c r="AF78" i="33"/>
  <c r="AG78" i="33"/>
  <c r="Z78" i="33"/>
  <c r="AC78" i="33"/>
  <c r="Y78" i="33"/>
  <c r="X78" i="33"/>
  <c r="AE78" i="33"/>
  <c r="AB78" i="33"/>
  <c r="BD84" i="32"/>
  <c r="AW84" i="32"/>
  <c r="AN84" i="32"/>
  <c r="AY84" i="32"/>
  <c r="AO84" i="32"/>
  <c r="AZ84" i="32"/>
  <c r="AU84" i="32"/>
  <c r="AI84" i="32"/>
  <c r="AR84" i="32"/>
  <c r="BC84" i="32"/>
  <c r="AJ84" i="32"/>
  <c r="AT84" i="32"/>
  <c r="AM84" i="32"/>
  <c r="AX84" i="32"/>
  <c r="BA84" i="32"/>
  <c r="AK84" i="32"/>
  <c r="AV84" i="32"/>
  <c r="AL84" i="32"/>
  <c r="AP84" i="32"/>
  <c r="AS84" i="32"/>
  <c r="AQ84" i="32"/>
  <c r="BB84" i="32"/>
  <c r="AH49" i="33"/>
  <c r="AC49" i="33"/>
  <c r="Z49" i="33"/>
  <c r="AD49" i="33"/>
  <c r="AG49" i="33"/>
  <c r="AE49" i="33"/>
  <c r="AB49" i="33"/>
  <c r="Y49" i="33"/>
  <c r="AA49" i="33"/>
  <c r="AF49" i="33"/>
  <c r="X49" i="33"/>
  <c r="AP93" i="32"/>
  <c r="BC93" i="32"/>
  <c r="AM93" i="32"/>
  <c r="AW93" i="32"/>
  <c r="AJ93" i="32"/>
  <c r="AY93" i="32"/>
  <c r="AO93" i="32"/>
  <c r="AZ93" i="32"/>
  <c r="AQ93" i="32"/>
  <c r="BB93" i="32"/>
  <c r="AI93" i="32"/>
  <c r="AT93" i="32"/>
  <c r="AU93" i="32"/>
  <c r="BA93" i="32"/>
  <c r="BD93" i="32"/>
  <c r="AL93" i="32"/>
  <c r="AK93" i="32"/>
  <c r="AX93" i="32"/>
  <c r="AN93" i="32"/>
  <c r="AV93" i="32"/>
  <c r="AR93" i="32"/>
  <c r="AS93" i="32"/>
  <c r="BA81" i="32"/>
  <c r="P81" i="32"/>
  <c r="AJ81" i="32"/>
  <c r="AM81" i="32"/>
  <c r="AS81" i="32"/>
  <c r="BD81" i="32"/>
  <c r="AR81" i="32"/>
  <c r="AK81" i="32"/>
  <c r="AV81" i="32"/>
  <c r="AY81" i="32"/>
  <c r="BB81" i="32"/>
  <c r="AN81" i="32"/>
  <c r="AI81" i="32"/>
  <c r="AQ81" i="32"/>
  <c r="AT81" i="32"/>
  <c r="R81" i="32"/>
  <c r="AL81" i="32"/>
  <c r="AW81" i="32"/>
  <c r="AX81" i="32"/>
  <c r="AP81" i="32"/>
  <c r="AO81" i="32"/>
  <c r="AZ81" i="32"/>
  <c r="AU81" i="32"/>
  <c r="BC81" i="32"/>
  <c r="AV59" i="32"/>
  <c r="AR59" i="32"/>
  <c r="AJ59" i="32"/>
  <c r="AX59" i="32"/>
  <c r="BC59" i="32"/>
  <c r="AK59" i="32"/>
  <c r="AY59" i="32"/>
  <c r="AL59" i="32"/>
  <c r="AQ59" i="32"/>
  <c r="AU59" i="32"/>
  <c r="BA59" i="32"/>
  <c r="AI59" i="32"/>
  <c r="AM59" i="32"/>
  <c r="AS59" i="32"/>
  <c r="BD59" i="32"/>
  <c r="AP59" i="32"/>
  <c r="AZ59" i="32"/>
  <c r="AW59" i="32"/>
  <c r="AT59" i="32"/>
  <c r="AN59" i="32"/>
  <c r="BB59" i="32"/>
  <c r="AO59" i="32"/>
  <c r="AO94" i="32"/>
  <c r="BB94" i="32"/>
  <c r="AP94" i="32"/>
  <c r="BD94" i="32"/>
  <c r="AT94" i="32"/>
  <c r="AL94" i="32"/>
  <c r="AZ94" i="32"/>
  <c r="AY94" i="32"/>
  <c r="BC94" i="32"/>
  <c r="AR94" i="32"/>
  <c r="AQ94" i="32"/>
  <c r="AU94" i="32"/>
  <c r="AJ94" i="32"/>
  <c r="AN94" i="32"/>
  <c r="AV94" i="32"/>
  <c r="AM94" i="32"/>
  <c r="BA94" i="32"/>
  <c r="AI94" i="32"/>
  <c r="AW94" i="32"/>
  <c r="AK94" i="32"/>
  <c r="AX94" i="32"/>
  <c r="AS94" i="32"/>
  <c r="AV63" i="32"/>
  <c r="AR63" i="32"/>
  <c r="AJ63" i="32"/>
  <c r="AX63" i="32"/>
  <c r="BC63" i="32"/>
  <c r="AS63" i="32"/>
  <c r="AM63" i="32"/>
  <c r="AK63" i="32"/>
  <c r="AY63" i="32"/>
  <c r="BB63" i="32"/>
  <c r="AQ63" i="32"/>
  <c r="AW63" i="32"/>
  <c r="AL63" i="32"/>
  <c r="AZ63" i="32"/>
  <c r="BA63" i="32"/>
  <c r="AI63" i="32"/>
  <c r="AP63" i="32"/>
  <c r="BD63" i="32"/>
  <c r="AO63" i="32"/>
  <c r="AU63" i="32"/>
  <c r="AT63" i="32"/>
  <c r="AN63" i="32"/>
  <c r="BC102" i="32"/>
  <c r="AR102" i="32"/>
  <c r="AY102" i="32"/>
  <c r="AU102" i="32"/>
  <c r="AJ102" i="32"/>
  <c r="AQ102" i="32"/>
  <c r="BD102" i="32"/>
  <c r="AM102" i="32"/>
  <c r="AV102" i="32"/>
  <c r="AS102" i="32"/>
  <c r="AN102" i="32"/>
  <c r="AK102" i="32"/>
  <c r="AX102" i="32"/>
  <c r="BB102" i="32"/>
  <c r="AP102" i="32"/>
  <c r="AO102" i="32"/>
  <c r="AL102" i="32"/>
  <c r="AZ102" i="32"/>
  <c r="BA102" i="32"/>
  <c r="AI102" i="32"/>
  <c r="AW102" i="32"/>
  <c r="AT102" i="32"/>
  <c r="AF55" i="15"/>
  <c r="AF60" i="15" s="1"/>
  <c r="AA55" i="15"/>
  <c r="Q55" i="15"/>
  <c r="Q60" i="15" s="1"/>
  <c r="R55" i="15"/>
  <c r="R60" i="15" s="1"/>
  <c r="S55" i="15"/>
  <c r="S60" i="15" s="1"/>
  <c r="U55" i="15"/>
  <c r="U60" i="15" s="1"/>
  <c r="Y55" i="15"/>
  <c r="AC55" i="15"/>
  <c r="AC60" i="15" s="1"/>
  <c r="AI55" i="15"/>
  <c r="AI60" i="15" s="1"/>
  <c r="O55" i="15"/>
  <c r="O60" i="15" s="1"/>
  <c r="L55" i="15"/>
  <c r="L60" i="15" s="1"/>
  <c r="X55" i="15"/>
  <c r="X60" i="15" s="1"/>
  <c r="AE55" i="15"/>
  <c r="AE60" i="15" s="1"/>
  <c r="V55" i="15"/>
  <c r="Z55" i="15"/>
  <c r="P55" i="15"/>
  <c r="P60" i="15" s="1"/>
  <c r="W55" i="15"/>
  <c r="W60" i="15" s="1"/>
  <c r="AH55" i="15"/>
  <c r="AH60" i="15" s="1"/>
  <c r="BC90" i="32"/>
  <c r="AI90" i="32"/>
  <c r="BD90" i="32"/>
  <c r="BA90" i="32"/>
  <c r="AY90" i="32"/>
  <c r="AQ90" i="32"/>
  <c r="AW90" i="32"/>
  <c r="AV90" i="32"/>
  <c r="AL90" i="32"/>
  <c r="AX90" i="32"/>
  <c r="AP90" i="32"/>
  <c r="AJ90" i="32"/>
  <c r="AO90" i="32"/>
  <c r="BB90" i="32"/>
  <c r="AN90" i="32"/>
  <c r="AU90" i="32"/>
  <c r="AZ90" i="32"/>
  <c r="AT90" i="32"/>
  <c r="AK90" i="32"/>
  <c r="AR90" i="32"/>
  <c r="AS90" i="32"/>
  <c r="AM90" i="32"/>
  <c r="BC71" i="32"/>
  <c r="AQ71" i="32"/>
  <c r="AU71" i="32"/>
  <c r="AI71" i="32"/>
  <c r="AS71" i="32"/>
  <c r="AV71" i="32"/>
  <c r="AR71" i="32"/>
  <c r="AO71" i="32"/>
  <c r="AN71" i="32"/>
  <c r="AJ71" i="32"/>
  <c r="BB71" i="32"/>
  <c r="BA71" i="32"/>
  <c r="AP71" i="32"/>
  <c r="AL71" i="32"/>
  <c r="AY71" i="32"/>
  <c r="AW71" i="32"/>
  <c r="BD71" i="32"/>
  <c r="AM71" i="32"/>
  <c r="AK71" i="32"/>
  <c r="AT71" i="32"/>
  <c r="AZ71" i="32"/>
  <c r="AX71" i="32"/>
  <c r="AF68" i="33"/>
  <c r="AH68" i="33"/>
  <c r="AB68" i="33"/>
  <c r="AD68" i="33"/>
  <c r="AC68" i="33"/>
  <c r="X68" i="33"/>
  <c r="AA68" i="33"/>
  <c r="AG68" i="33"/>
  <c r="Z68" i="33"/>
  <c r="Y68" i="33"/>
  <c r="AE68" i="33"/>
  <c r="AE66" i="33"/>
  <c r="AG66" i="33"/>
  <c r="Y66" i="33"/>
  <c r="Z66" i="33"/>
  <c r="X66" i="33"/>
  <c r="AH66" i="33"/>
  <c r="AD66" i="33"/>
  <c r="AF66" i="33"/>
  <c r="AC66" i="33"/>
  <c r="AA66" i="33"/>
  <c r="AB66" i="33"/>
  <c r="AI70" i="32"/>
  <c r="AV70" i="32"/>
  <c r="AZ70" i="32"/>
  <c r="AN70" i="32"/>
  <c r="AR70" i="32"/>
  <c r="AO70" i="32"/>
  <c r="AJ70" i="32"/>
  <c r="AX70" i="32"/>
  <c r="AK70" i="32"/>
  <c r="BB70" i="32"/>
  <c r="AP70" i="32"/>
  <c r="AW70" i="32"/>
  <c r="AT70" i="32"/>
  <c r="BC70" i="32"/>
  <c r="BA70" i="32"/>
  <c r="AQ70" i="32"/>
  <c r="BD70" i="32"/>
  <c r="AM70" i="32"/>
  <c r="AS70" i="32"/>
  <c r="AL70" i="32"/>
  <c r="AY70" i="32"/>
  <c r="AU70" i="32"/>
  <c r="Z83" i="33"/>
  <c r="AH83" i="33"/>
  <c r="AG83" i="33"/>
  <c r="AF83" i="33"/>
  <c r="AC83" i="33"/>
  <c r="Y83" i="33"/>
  <c r="X83" i="33"/>
  <c r="AE83" i="33"/>
  <c r="AB83" i="33"/>
  <c r="AA83" i="33"/>
  <c r="AD83" i="33"/>
  <c r="AO80" i="32"/>
  <c r="AZ80" i="32"/>
  <c r="AU80" i="32"/>
  <c r="AI80" i="32"/>
  <c r="AR80" i="32"/>
  <c r="BC80" i="32"/>
  <c r="R80" i="32"/>
  <c r="P80" i="32"/>
  <c r="AJ80" i="32"/>
  <c r="AT80" i="32"/>
  <c r="AM80" i="32"/>
  <c r="AX80" i="32"/>
  <c r="BA80" i="32"/>
  <c r="AP80" i="32"/>
  <c r="AS80" i="32"/>
  <c r="AQ80" i="32"/>
  <c r="BB80" i="32"/>
  <c r="AK80" i="32"/>
  <c r="AV80" i="32"/>
  <c r="AL80" i="32"/>
  <c r="AW80" i="32"/>
  <c r="AN80" i="32"/>
  <c r="AY80" i="32"/>
  <c r="BD80" i="32"/>
  <c r="AD76" i="33"/>
  <c r="AF76" i="33"/>
  <c r="X76" i="33"/>
  <c r="AA76" i="33"/>
  <c r="AH76" i="33"/>
  <c r="Z76" i="33"/>
  <c r="AE76" i="33"/>
  <c r="AG76" i="33"/>
  <c r="AB76" i="33"/>
  <c r="Y76" i="33"/>
  <c r="AC76" i="33"/>
  <c r="AG71" i="33"/>
  <c r="X71" i="33"/>
  <c r="AB71" i="33"/>
  <c r="Z71" i="33"/>
  <c r="AD71" i="33"/>
  <c r="AF71" i="33"/>
  <c r="AC71" i="33"/>
  <c r="AH71" i="33"/>
  <c r="Y71" i="33"/>
  <c r="AE71" i="33"/>
  <c r="AA71" i="33"/>
  <c r="AN99" i="32"/>
  <c r="AY99" i="32"/>
  <c r="AU99" i="32"/>
  <c r="AZ99" i="32"/>
  <c r="BA99" i="32"/>
  <c r="BB99" i="32"/>
  <c r="AJ99" i="32"/>
  <c r="AP99" i="32"/>
  <c r="AT99" i="32"/>
  <c r="AS99" i="32"/>
  <c r="AW99" i="32"/>
  <c r="AL99" i="32"/>
  <c r="AK99" i="32"/>
  <c r="AO99" i="32"/>
  <c r="AR99" i="32"/>
  <c r="AQ99" i="32"/>
  <c r="BD99" i="32"/>
  <c r="AM99" i="32"/>
  <c r="AI99" i="32"/>
  <c r="AV99" i="32"/>
  <c r="AX99" i="32"/>
  <c r="BC99" i="32"/>
  <c r="AC61" i="33"/>
  <c r="AE61" i="33"/>
  <c r="X61" i="33"/>
  <c r="AB61" i="33"/>
  <c r="AD61" i="33"/>
  <c r="AF61" i="33"/>
  <c r="AA61" i="33"/>
  <c r="Y61" i="33"/>
  <c r="AG61" i="33"/>
  <c r="Z61" i="33"/>
  <c r="AH61" i="33"/>
  <c r="AJ64" i="32"/>
  <c r="AX64" i="32"/>
  <c r="BD64" i="32"/>
  <c r="AM64" i="32"/>
  <c r="BA64" i="32"/>
  <c r="AR64" i="32"/>
  <c r="AP64" i="32"/>
  <c r="AV64" i="32"/>
  <c r="AS64" i="32"/>
  <c r="AZ64" i="32"/>
  <c r="AN64" i="32"/>
  <c r="AK64" i="32"/>
  <c r="BB64" i="32"/>
  <c r="AW64" i="32"/>
  <c r="AT64" i="32"/>
  <c r="AO64" i="32"/>
  <c r="AL64" i="32"/>
  <c r="AY64" i="32"/>
  <c r="AU64" i="32"/>
  <c r="AI64" i="32"/>
  <c r="BC64" i="32"/>
  <c r="AQ64" i="32"/>
  <c r="AZ62" i="32"/>
  <c r="AR62" i="32"/>
  <c r="BC62" i="32"/>
  <c r="AQ62" i="32"/>
  <c r="AU62" i="32"/>
  <c r="AI62" i="32"/>
  <c r="AX62" i="32"/>
  <c r="BD62" i="32"/>
  <c r="AM62" i="32"/>
  <c r="BA62" i="32"/>
  <c r="AP62" i="32"/>
  <c r="AV62" i="32"/>
  <c r="AS62" i="32"/>
  <c r="AN62" i="32"/>
  <c r="AK62" i="32"/>
  <c r="BB62" i="32"/>
  <c r="AO62" i="32"/>
  <c r="AL62" i="32"/>
  <c r="AY62" i="32"/>
  <c r="AT62" i="32"/>
  <c r="AJ62" i="32"/>
  <c r="AW62" i="32"/>
  <c r="AA48" i="33"/>
  <c r="AC48" i="33"/>
  <c r="AE48" i="33"/>
  <c r="X48" i="33"/>
  <c r="AF48" i="33"/>
  <c r="Y48" i="33"/>
  <c r="AG48" i="33"/>
  <c r="Z48" i="33"/>
  <c r="AB48" i="33"/>
  <c r="AH48" i="33"/>
  <c r="AD48" i="33"/>
  <c r="AV65" i="32"/>
  <c r="AR65" i="32"/>
  <c r="AN65" i="32"/>
  <c r="AJ65" i="32"/>
  <c r="AX65" i="32"/>
  <c r="BC65" i="32"/>
  <c r="BD65" i="32"/>
  <c r="BA65" i="32"/>
  <c r="AP65" i="32"/>
  <c r="AU65" i="32"/>
  <c r="AS65" i="32"/>
  <c r="AM65" i="32"/>
  <c r="AK65" i="32"/>
  <c r="AY65" i="32"/>
  <c r="BB65" i="32"/>
  <c r="AQ65" i="32"/>
  <c r="AW65" i="32"/>
  <c r="AT65" i="32"/>
  <c r="AI65" i="32"/>
  <c r="AO65" i="32"/>
  <c r="AL65" i="32"/>
  <c r="AZ65" i="32"/>
  <c r="AG55" i="33"/>
  <c r="AA55" i="33"/>
  <c r="Z55" i="33"/>
  <c r="AE55" i="33"/>
  <c r="AF55" i="33"/>
  <c r="AH55" i="33"/>
  <c r="AB55" i="33"/>
  <c r="AC55" i="33"/>
  <c r="Y55" i="33"/>
  <c r="AD55" i="33"/>
  <c r="X55" i="33"/>
  <c r="AT72" i="32"/>
  <c r="BC72" i="32"/>
  <c r="AL72" i="32"/>
  <c r="AY72" i="32"/>
  <c r="AU72" i="32"/>
  <c r="AO72" i="32"/>
  <c r="AZ72" i="32"/>
  <c r="AN72" i="32"/>
  <c r="AX72" i="32"/>
  <c r="AP72" i="32"/>
  <c r="AW72" i="32"/>
  <c r="AR72" i="32"/>
  <c r="BD72" i="32"/>
  <c r="AJ72" i="32"/>
  <c r="AV72" i="32"/>
  <c r="AS72" i="32"/>
  <c r="AK72" i="32"/>
  <c r="AQ72" i="32"/>
  <c r="BA72" i="32"/>
  <c r="BB72" i="32"/>
  <c r="AM72" i="32"/>
  <c r="AI72" i="32"/>
  <c r="X69" i="33"/>
  <c r="AF69" i="33"/>
  <c r="Z69" i="33"/>
  <c r="AB69" i="33"/>
  <c r="AG69" i="33"/>
  <c r="Y69" i="33"/>
  <c r="AD69" i="33"/>
  <c r="AE69" i="33"/>
  <c r="AA69" i="33"/>
  <c r="AH69" i="33"/>
  <c r="AC69" i="33"/>
  <c r="AA56" i="33"/>
  <c r="AC56" i="33"/>
  <c r="AF56" i="33"/>
  <c r="Y56" i="33"/>
  <c r="Z56" i="33"/>
  <c r="AB56" i="33"/>
  <c r="AD56" i="33"/>
  <c r="AG56" i="33"/>
  <c r="AH56" i="33"/>
  <c r="AE56" i="33"/>
  <c r="X56" i="33"/>
  <c r="AQ95" i="32"/>
  <c r="AW95" i="32"/>
  <c r="AJ95" i="32"/>
  <c r="AS95" i="32"/>
  <c r="AT95" i="32"/>
  <c r="AZ95" i="32"/>
  <c r="AK95" i="32"/>
  <c r="AX95" i="32"/>
  <c r="BD95" i="32"/>
  <c r="AL95" i="32"/>
  <c r="AP95" i="32"/>
  <c r="AY95" i="32"/>
  <c r="AM95" i="32"/>
  <c r="AV95" i="32"/>
  <c r="AU95" i="32"/>
  <c r="BA95" i="32"/>
  <c r="AN95" i="32"/>
  <c r="AR95" i="32"/>
  <c r="AI95" i="32"/>
  <c r="BB95" i="32"/>
  <c r="AO95" i="32"/>
  <c r="BC95" i="32"/>
  <c r="AP75" i="32"/>
  <c r="AV75" i="32"/>
  <c r="AS75" i="32"/>
  <c r="AN75" i="32"/>
  <c r="AK75" i="32"/>
  <c r="AY75" i="32"/>
  <c r="AO75" i="32"/>
  <c r="AL75" i="32"/>
  <c r="AZ75" i="32"/>
  <c r="AX75" i="32"/>
  <c r="BC75" i="32"/>
  <c r="AU75" i="32"/>
  <c r="AW75" i="32"/>
  <c r="AM75" i="32"/>
  <c r="AR75" i="32"/>
  <c r="BB75" i="32"/>
  <c r="AJ75" i="32"/>
  <c r="P75" i="32"/>
  <c r="AT75" i="32"/>
  <c r="BD75" i="32"/>
  <c r="AQ75" i="32"/>
  <c r="BA75" i="32"/>
  <c r="R75" i="32"/>
  <c r="AI75" i="32"/>
  <c r="AL74" i="32"/>
  <c r="AJ74" i="32"/>
  <c r="AX74" i="32"/>
  <c r="AN74" i="32"/>
  <c r="AP74" i="32"/>
  <c r="AS74" i="32"/>
  <c r="AQ74" i="32"/>
  <c r="AW74" i="32"/>
  <c r="BC74" i="32"/>
  <c r="AR74" i="32"/>
  <c r="AO74" i="32"/>
  <c r="BD74" i="32"/>
  <c r="P74" i="32"/>
  <c r="BB74" i="32"/>
  <c r="AY74" i="32"/>
  <c r="AV74" i="32"/>
  <c r="AT74" i="32"/>
  <c r="AI74" i="32"/>
  <c r="BA74" i="32"/>
  <c r="R74" i="32"/>
  <c r="AU74" i="32"/>
  <c r="AZ74" i="32"/>
  <c r="AK74" i="32"/>
  <c r="AM74" i="32"/>
  <c r="AL83" i="32"/>
  <c r="AW83" i="32"/>
  <c r="BC83" i="32"/>
  <c r="AO83" i="32"/>
  <c r="AM83" i="32"/>
  <c r="AX83" i="32"/>
  <c r="AS83" i="32"/>
  <c r="BD83" i="32"/>
  <c r="AQ83" i="32"/>
  <c r="AJ83" i="32"/>
  <c r="BB83" i="32"/>
  <c r="AT83" i="32"/>
  <c r="AV83" i="32"/>
  <c r="AN83" i="32"/>
  <c r="AZ83" i="32"/>
  <c r="BA83" i="32"/>
  <c r="AK83" i="32"/>
  <c r="AR83" i="32"/>
  <c r="AY83" i="32"/>
  <c r="AI83" i="32"/>
  <c r="AP83" i="32"/>
  <c r="AU83" i="32"/>
  <c r="Y62" i="33"/>
  <c r="AD62" i="33"/>
  <c r="AG62" i="33"/>
  <c r="AH62" i="33"/>
  <c r="AC62" i="33"/>
  <c r="Z62" i="33"/>
  <c r="AF62" i="33"/>
  <c r="AE62" i="33"/>
  <c r="AB62" i="33"/>
  <c r="X62" i="33"/>
  <c r="AA62" i="33"/>
  <c r="AF53" i="16"/>
  <c r="AE53" i="16"/>
  <c r="AA53" i="16"/>
  <c r="AA58" i="16" s="1"/>
  <c r="Z53" i="16"/>
  <c r="Z58" i="16" s="1"/>
  <c r="AG53" i="16"/>
  <c r="AB43" i="19"/>
  <c r="Y43" i="19"/>
  <c r="U47" i="19"/>
  <c r="Z47" i="19"/>
  <c r="V43" i="19"/>
  <c r="X43" i="19"/>
  <c r="X48" i="19" s="1"/>
  <c r="Z43" i="19"/>
  <c r="M43" i="19"/>
  <c r="M47" i="19"/>
  <c r="Q43" i="19"/>
  <c r="P47" i="19"/>
  <c r="X47" i="19"/>
  <c r="W43" i="19"/>
  <c r="V47" i="19"/>
  <c r="N43" i="19"/>
  <c r="T43" i="19"/>
  <c r="S43" i="19"/>
  <c r="O43" i="19"/>
  <c r="R43" i="19"/>
  <c r="R48" i="19" s="1"/>
  <c r="L43" i="19"/>
  <c r="U43" i="19"/>
  <c r="U48" i="19" s="1"/>
  <c r="N47" i="19"/>
  <c r="AA43" i="19"/>
  <c r="T47" i="19"/>
  <c r="P43" i="19"/>
  <c r="P48" i="19" s="1"/>
  <c r="O47" i="19"/>
  <c r="Z75" i="33"/>
  <c r="Y75" i="33"/>
  <c r="AG75" i="33"/>
  <c r="AD75" i="33"/>
  <c r="AF75" i="33"/>
  <c r="AC75" i="33"/>
  <c r="AH75" i="33"/>
  <c r="X75" i="33"/>
  <c r="AB75" i="33"/>
  <c r="AE75" i="33"/>
  <c r="AA75" i="33"/>
  <c r="AX86" i="32"/>
  <c r="BD86" i="32"/>
  <c r="AZ86" i="32"/>
  <c r="AP86" i="32"/>
  <c r="AV86" i="32"/>
  <c r="AR86" i="32"/>
  <c r="AL86" i="32"/>
  <c r="AU86" i="32"/>
  <c r="BC86" i="32"/>
  <c r="AJ86" i="32"/>
  <c r="BA86" i="32"/>
  <c r="BB86" i="32"/>
  <c r="AT86" i="32"/>
  <c r="AW86" i="32"/>
  <c r="AS86" i="32"/>
  <c r="AI86" i="32"/>
  <c r="AO86" i="32"/>
  <c r="AK86" i="32"/>
  <c r="AN86" i="32"/>
  <c r="AQ86" i="32"/>
  <c r="AM86" i="32"/>
  <c r="AY86" i="32"/>
  <c r="AU98" i="32"/>
  <c r="AJ98" i="32"/>
  <c r="BD98" i="32"/>
  <c r="AI98" i="32"/>
  <c r="AM98" i="32"/>
  <c r="BA98" i="32"/>
  <c r="AO98" i="32"/>
  <c r="BB98" i="32"/>
  <c r="AP98" i="32"/>
  <c r="AV98" i="32"/>
  <c r="AR98" i="32"/>
  <c r="AT98" i="32"/>
  <c r="AQ98" i="32"/>
  <c r="AL98" i="32"/>
  <c r="AX98" i="32"/>
  <c r="AN98" i="32"/>
  <c r="AW98" i="32"/>
  <c r="AS98" i="32"/>
  <c r="AK98" i="32"/>
  <c r="AZ98" i="32"/>
  <c r="AY98" i="32"/>
  <c r="BC98" i="32"/>
  <c r="X74" i="33"/>
  <c r="AC74" i="33"/>
  <c r="Y74" i="33"/>
  <c r="Z74" i="33"/>
  <c r="AF74" i="33"/>
  <c r="AB74" i="33"/>
  <c r="AE74" i="33"/>
  <c r="AA74" i="33"/>
  <c r="AD74" i="33"/>
  <c r="AH74" i="33"/>
  <c r="AG74" i="33"/>
  <c r="AN61" i="32"/>
  <c r="AK61" i="32"/>
  <c r="AY61" i="32"/>
  <c r="BD61" i="32"/>
  <c r="BB61" i="32"/>
  <c r="AQ61" i="32"/>
  <c r="AW61" i="32"/>
  <c r="AT61" i="32"/>
  <c r="AI61" i="32"/>
  <c r="AO61" i="32"/>
  <c r="AL61" i="32"/>
  <c r="AZ61" i="32"/>
  <c r="AR61" i="32"/>
  <c r="AJ61" i="32"/>
  <c r="AX61" i="32"/>
  <c r="BC61" i="32"/>
  <c r="AS61" i="32"/>
  <c r="AM61" i="32"/>
  <c r="AV61" i="32"/>
  <c r="BA61" i="32"/>
  <c r="AP61" i="32"/>
  <c r="AU61" i="32"/>
  <c r="M11" i="15"/>
  <c r="M7" i="15"/>
  <c r="M14" i="15"/>
  <c r="M13" i="15"/>
  <c r="M8" i="15"/>
  <c r="M12" i="15"/>
  <c r="AV76" i="32"/>
  <c r="AJ76" i="32"/>
  <c r="AZ76" i="32"/>
  <c r="AM76" i="32"/>
  <c r="BC76" i="32"/>
  <c r="AQ76" i="32"/>
  <c r="AW76" i="32"/>
  <c r="AT76" i="32"/>
  <c r="R76" i="32"/>
  <c r="AN76" i="32"/>
  <c r="AK76" i="32"/>
  <c r="BA76" i="32"/>
  <c r="P76" i="32"/>
  <c r="BD76" i="32"/>
  <c r="AR76" i="32"/>
  <c r="AY76" i="32"/>
  <c r="AU76" i="32"/>
  <c r="AI76" i="32"/>
  <c r="AO76" i="32"/>
  <c r="AP76" i="32"/>
  <c r="AS76" i="32"/>
  <c r="BB76" i="32"/>
  <c r="AX76" i="32"/>
  <c r="AL76" i="32"/>
  <c r="AG59" i="33"/>
  <c r="AA59" i="33"/>
  <c r="Z59" i="33"/>
  <c r="AB59" i="33"/>
  <c r="AF59" i="33"/>
  <c r="Y59" i="33"/>
  <c r="AH59" i="33"/>
  <c r="AE59" i="33"/>
  <c r="AC59" i="33"/>
  <c r="AD59" i="33"/>
  <c r="X59" i="33"/>
  <c r="AN82" i="32"/>
  <c r="AY82" i="32"/>
  <c r="AT82" i="32"/>
  <c r="AW82" i="32"/>
  <c r="AI82" i="32"/>
  <c r="AJ82" i="32"/>
  <c r="AS82" i="32"/>
  <c r="AM82" i="32"/>
  <c r="AK82" i="32"/>
  <c r="BB82" i="32"/>
  <c r="AQ82" i="32"/>
  <c r="AX82" i="32"/>
  <c r="AZ82" i="32"/>
  <c r="AL82" i="32"/>
  <c r="AP82" i="32"/>
  <c r="AR82" i="32"/>
  <c r="AO82" i="32"/>
  <c r="AV82" i="32"/>
  <c r="BA82" i="32"/>
  <c r="BC82" i="32"/>
  <c r="AU82" i="32"/>
  <c r="BD82" i="32"/>
  <c r="AE50" i="33"/>
  <c r="AG50" i="33"/>
  <c r="Y50" i="33"/>
  <c r="X50" i="33"/>
  <c r="AC50" i="33"/>
  <c r="AD50" i="33"/>
  <c r="AF50" i="33"/>
  <c r="Z50" i="33"/>
  <c r="AH50" i="33"/>
  <c r="AA50" i="33"/>
  <c r="AB50" i="33"/>
  <c r="Y43" i="20"/>
  <c r="X43" i="20"/>
  <c r="M42" i="15"/>
  <c r="M31" i="15"/>
  <c r="M18" i="15"/>
  <c r="M20" i="15"/>
  <c r="M46" i="15"/>
  <c r="M19" i="15"/>
  <c r="M28" i="15"/>
  <c r="M50" i="15"/>
  <c r="M39" i="15"/>
  <c r="M32" i="15"/>
  <c r="M24" i="15"/>
  <c r="M33" i="15"/>
  <c r="M30" i="15"/>
  <c r="M45" i="15"/>
  <c r="M29" i="15"/>
  <c r="M43" i="15"/>
  <c r="M17" i="15"/>
  <c r="M36" i="15"/>
  <c r="M37" i="15"/>
  <c r="M23" i="15"/>
  <c r="M26" i="15"/>
  <c r="M47" i="15"/>
  <c r="M40" i="15"/>
  <c r="M41" i="15"/>
  <c r="M51" i="15"/>
  <c r="M22" i="15"/>
  <c r="M44" i="15"/>
  <c r="M25" i="15"/>
  <c r="M34" i="15"/>
  <c r="M48" i="15"/>
  <c r="M49" i="15"/>
  <c r="M35" i="15"/>
  <c r="M21" i="15"/>
  <c r="M38" i="15"/>
  <c r="M27" i="15"/>
  <c r="X80" i="33"/>
  <c r="AA80" i="33"/>
  <c r="AH80" i="33"/>
  <c r="Z80" i="33"/>
  <c r="AE80" i="33"/>
  <c r="AD80" i="33"/>
  <c r="AG80" i="33"/>
  <c r="Y80" i="33"/>
  <c r="AC80" i="33"/>
  <c r="AB80" i="33"/>
  <c r="AF80" i="33"/>
  <c r="AC52" i="33"/>
  <c r="Z52" i="33"/>
  <c r="AE52" i="33"/>
  <c r="AG52" i="33"/>
  <c r="Y52" i="33"/>
  <c r="AD52" i="33"/>
  <c r="AA52" i="33"/>
  <c r="AF52" i="33"/>
  <c r="AB52" i="33"/>
  <c r="X52" i="33"/>
  <c r="AH52" i="33"/>
  <c r="AS73" i="32"/>
  <c r="BC73" i="32"/>
  <c r="AQ73" i="32"/>
  <c r="AW73" i="32"/>
  <c r="AU73" i="32"/>
  <c r="AI73" i="32"/>
  <c r="P73" i="32"/>
  <c r="BD73" i="32"/>
  <c r="AM73" i="32"/>
  <c r="AZ73" i="32"/>
  <c r="AO73" i="32"/>
  <c r="AV73" i="32"/>
  <c r="AR73" i="32"/>
  <c r="R73" i="32"/>
  <c r="AN73" i="32"/>
  <c r="AJ73" i="32"/>
  <c r="AK73" i="32"/>
  <c r="BB73" i="32"/>
  <c r="AX73" i="32"/>
  <c r="AT73" i="32"/>
  <c r="BA73" i="32"/>
  <c r="AP73" i="32"/>
  <c r="AL73" i="32"/>
  <c r="AY73" i="32"/>
  <c r="AG51" i="33"/>
  <c r="AA51" i="33"/>
  <c r="AD51" i="33"/>
  <c r="X51" i="33"/>
  <c r="Z51" i="33"/>
  <c r="AE51" i="33"/>
  <c r="AF51" i="33"/>
  <c r="AH51" i="33"/>
  <c r="AB51" i="33"/>
  <c r="AC51" i="33"/>
  <c r="Y51" i="33"/>
  <c r="AG57" i="33"/>
  <c r="AB57" i="33"/>
  <c r="Y57" i="33"/>
  <c r="AE57" i="33"/>
  <c r="AA57" i="33"/>
  <c r="AF57" i="33"/>
  <c r="X57" i="33"/>
  <c r="AH57" i="33"/>
  <c r="AC57" i="33"/>
  <c r="Z57" i="33"/>
  <c r="AD57" i="33"/>
  <c r="AC60" i="33"/>
  <c r="X60" i="33"/>
  <c r="AH60" i="33"/>
  <c r="Z60" i="33"/>
  <c r="AE60" i="33"/>
  <c r="AG60" i="33"/>
  <c r="Y60" i="33"/>
  <c r="AD60" i="33"/>
  <c r="AA60" i="33"/>
  <c r="AF60" i="33"/>
  <c r="AB60" i="33"/>
  <c r="AU100" i="32"/>
  <c r="AJ100" i="32"/>
  <c r="AQ100" i="32"/>
  <c r="AM100" i="32"/>
  <c r="BA100" i="32"/>
  <c r="AN100" i="32"/>
  <c r="AS100" i="32"/>
  <c r="BD100" i="32"/>
  <c r="AW100" i="32"/>
  <c r="AK100" i="32"/>
  <c r="AX100" i="32"/>
  <c r="AO100" i="32"/>
  <c r="BB100" i="32"/>
  <c r="AP100" i="32"/>
  <c r="AY100" i="32"/>
  <c r="AT100" i="32"/>
  <c r="BC100" i="32"/>
  <c r="AR100" i="32"/>
  <c r="AI100" i="32"/>
  <c r="AV100" i="32"/>
  <c r="AL100" i="32"/>
  <c r="AZ100" i="32"/>
  <c r="AT77" i="32"/>
  <c r="BD77" i="32"/>
  <c r="AQ77" i="32"/>
  <c r="AL77" i="32"/>
  <c r="AW77" i="32"/>
  <c r="AU77" i="32"/>
  <c r="AN77" i="32"/>
  <c r="AK77" i="32"/>
  <c r="BA77" i="32"/>
  <c r="AR77" i="32"/>
  <c r="AY77" i="32"/>
  <c r="AX77" i="32"/>
  <c r="AI77" i="32"/>
  <c r="AP77" i="32"/>
  <c r="AO77" i="32"/>
  <c r="AV77" i="32"/>
  <c r="BC77" i="32"/>
  <c r="BB77" i="32"/>
  <c r="AJ77" i="32"/>
  <c r="AZ77" i="32"/>
  <c r="AM77" i="32"/>
  <c r="AS77" i="32"/>
  <c r="AD70" i="33"/>
  <c r="X70" i="33"/>
  <c r="Z70" i="33"/>
  <c r="AB70" i="33"/>
  <c r="AH70" i="33"/>
  <c r="AA70" i="33"/>
  <c r="AF70" i="33"/>
  <c r="AG70" i="33"/>
  <c r="AC70" i="33"/>
  <c r="Y70" i="33"/>
  <c r="AE70" i="33"/>
  <c r="AN101" i="32"/>
  <c r="AJ101" i="32"/>
  <c r="AY101" i="32"/>
  <c r="BC101" i="32"/>
  <c r="AQ101" i="32"/>
  <c r="AW101" i="32"/>
  <c r="AI101" i="32"/>
  <c r="AO101" i="32"/>
  <c r="AZ101" i="32"/>
  <c r="BA101" i="32"/>
  <c r="BB101" i="32"/>
  <c r="AS101" i="32"/>
  <c r="AT101" i="32"/>
  <c r="AU101" i="32"/>
  <c r="AP101" i="32"/>
  <c r="AV101" i="32"/>
  <c r="AM101" i="32"/>
  <c r="AK101" i="32"/>
  <c r="AX101" i="32"/>
  <c r="BD101" i="32"/>
  <c r="AL101" i="32"/>
  <c r="AR101" i="32"/>
  <c r="AZ60" i="32"/>
  <c r="AO60" i="32"/>
  <c r="BC60" i="32"/>
  <c r="AP60" i="32"/>
  <c r="AV60" i="32"/>
  <c r="AM60" i="32"/>
  <c r="BA60" i="32"/>
  <c r="AW60" i="32"/>
  <c r="AS60" i="32"/>
  <c r="AK60" i="32"/>
  <c r="BD60" i="32"/>
  <c r="BB60" i="32"/>
  <c r="AN60" i="32"/>
  <c r="AT60" i="32"/>
  <c r="AL60" i="32"/>
  <c r="AY60" i="32"/>
  <c r="AU60" i="32"/>
  <c r="AI60" i="32"/>
  <c r="AJ60" i="32"/>
  <c r="AQ60" i="32"/>
  <c r="AR60" i="32"/>
  <c r="AX60" i="32"/>
  <c r="AO88" i="32"/>
  <c r="AK88" i="32"/>
  <c r="AQ88" i="32"/>
  <c r="AT88" i="32"/>
  <c r="BC88" i="32"/>
  <c r="AL88" i="32"/>
  <c r="AP88" i="32"/>
  <c r="AV88" i="32"/>
  <c r="AR88" i="32"/>
  <c r="BB88" i="32"/>
  <c r="AU88" i="32"/>
  <c r="AM88" i="32"/>
  <c r="AW88" i="32"/>
  <c r="AI88" i="32"/>
  <c r="BA88" i="32"/>
  <c r="BD88" i="32"/>
  <c r="AS88" i="32"/>
  <c r="AN88" i="32"/>
  <c r="AY88" i="32"/>
  <c r="AX88" i="32"/>
  <c r="AJ88" i="32"/>
  <c r="AZ88" i="32"/>
  <c r="AL67" i="32"/>
  <c r="AZ67" i="32"/>
  <c r="AR67" i="32"/>
  <c r="AS67" i="32"/>
  <c r="AM67" i="32"/>
  <c r="AP67" i="32"/>
  <c r="AJ67" i="32"/>
  <c r="AW67" i="32"/>
  <c r="AN67" i="32"/>
  <c r="BB67" i="32"/>
  <c r="AO67" i="32"/>
  <c r="AV67" i="32"/>
  <c r="AT67" i="32"/>
  <c r="AY67" i="32"/>
  <c r="BC67" i="32"/>
  <c r="AQ67" i="32"/>
  <c r="AU67" i="32"/>
  <c r="AK67" i="32"/>
  <c r="AX67" i="32"/>
  <c r="AI67" i="32"/>
  <c r="BD67" i="32"/>
  <c r="BA67" i="32"/>
  <c r="AB79" i="33"/>
  <c r="AF79" i="33"/>
  <c r="AC79" i="33"/>
  <c r="AH79" i="33"/>
  <c r="X79" i="33"/>
  <c r="AE79" i="33"/>
  <c r="AA79" i="33"/>
  <c r="Z79" i="33"/>
  <c r="AG79" i="33"/>
  <c r="AD79" i="33"/>
  <c r="Y79" i="33"/>
  <c r="AO91" i="32"/>
  <c r="BB91" i="32"/>
  <c r="AT91" i="32"/>
  <c r="AR91" i="32"/>
  <c r="BC91" i="32"/>
  <c r="AI91" i="32"/>
  <c r="AV91" i="32"/>
  <c r="BA91" i="32"/>
  <c r="AZ91" i="32"/>
  <c r="AS91" i="32"/>
  <c r="BD91" i="32"/>
  <c r="AU91" i="32"/>
  <c r="AK91" i="32"/>
  <c r="AN91" i="32"/>
  <c r="AY91" i="32"/>
  <c r="AP91" i="32"/>
  <c r="AQ91" i="32"/>
  <c r="AM91" i="32"/>
  <c r="AL91" i="32"/>
  <c r="AW91" i="32"/>
  <c r="AX91" i="32"/>
  <c r="AJ91" i="32"/>
  <c r="AC53" i="33"/>
  <c r="AE53" i="33"/>
  <c r="AG53" i="33"/>
  <c r="Z53" i="33"/>
  <c r="AH53" i="33"/>
  <c r="AA53" i="33"/>
  <c r="AB53" i="33"/>
  <c r="AD53" i="33"/>
  <c r="X53" i="33"/>
  <c r="AF53" i="33"/>
  <c r="Y53" i="33"/>
  <c r="AM96" i="32"/>
  <c r="BA96" i="32"/>
  <c r="AV96" i="32"/>
  <c r="BD96" i="32"/>
  <c r="AS96" i="32"/>
  <c r="AW96" i="32"/>
  <c r="AK96" i="32"/>
  <c r="AX96" i="32"/>
  <c r="AQ96" i="32"/>
  <c r="AO96" i="32"/>
  <c r="BB96" i="32"/>
  <c r="AP96" i="32"/>
  <c r="AN96" i="32"/>
  <c r="AT96" i="32"/>
  <c r="AI96" i="32"/>
  <c r="AL96" i="32"/>
  <c r="AZ96" i="32"/>
  <c r="AU96" i="32"/>
  <c r="AJ96" i="32"/>
  <c r="AR96" i="32"/>
  <c r="AY96" i="32"/>
  <c r="BC96" i="32"/>
  <c r="AR66" i="32"/>
  <c r="AW66" i="32"/>
  <c r="AT66" i="32"/>
  <c r="AO66" i="32"/>
  <c r="AL66" i="32"/>
  <c r="AY66" i="32"/>
  <c r="AX66" i="32"/>
  <c r="BD66" i="32"/>
  <c r="AM66" i="32"/>
  <c r="BA66" i="32"/>
  <c r="AI66" i="32"/>
  <c r="BB66" i="32"/>
  <c r="AV66" i="32"/>
  <c r="AN66" i="32"/>
  <c r="AS66" i="32"/>
  <c r="AP66" i="32"/>
  <c r="BC66" i="32"/>
  <c r="AK66" i="32"/>
  <c r="AQ66" i="32"/>
  <c r="AJ66" i="32"/>
  <c r="AU66" i="32"/>
  <c r="AZ66" i="32"/>
  <c r="AG63" i="33"/>
  <c r="AA63" i="33"/>
  <c r="AC63" i="33"/>
  <c r="AD63" i="33"/>
  <c r="X63" i="33"/>
  <c r="Y63" i="33"/>
  <c r="Z63" i="33"/>
  <c r="AB63" i="33"/>
  <c r="AF63" i="33"/>
  <c r="AH63" i="33"/>
  <c r="AE63" i="33"/>
  <c r="AA73" i="33"/>
  <c r="AE73" i="33"/>
  <c r="AC73" i="33"/>
  <c r="AH73" i="33"/>
  <c r="Z73" i="33"/>
  <c r="X73" i="33"/>
  <c r="AB73" i="33"/>
  <c r="AG73" i="33"/>
  <c r="AF73" i="33"/>
  <c r="Y73" i="33"/>
  <c r="AD73" i="33"/>
  <c r="AK103" i="32"/>
  <c r="BC103" i="32"/>
  <c r="AX103" i="32"/>
  <c r="AU103" i="32"/>
  <c r="AS103" i="32"/>
  <c r="AP103" i="32"/>
  <c r="BB103" i="32"/>
  <c r="AL103" i="32"/>
  <c r="AI103" i="32"/>
  <c r="AW103" i="32"/>
  <c r="AT103" i="32"/>
  <c r="AO103" i="32"/>
  <c r="AQ103" i="32"/>
  <c r="AM103" i="32"/>
  <c r="BD103" i="32"/>
  <c r="AY103" i="32"/>
  <c r="BA103" i="32"/>
  <c r="AJ103" i="32"/>
  <c r="AZ103" i="32"/>
  <c r="AN103" i="32"/>
  <c r="AR103" i="32"/>
  <c r="AV103" i="32"/>
  <c r="AG47" i="33"/>
  <c r="AA47" i="33"/>
  <c r="AD47" i="33"/>
  <c r="AE47" i="33"/>
  <c r="X47" i="33"/>
  <c r="Y47" i="33"/>
  <c r="Z47" i="33"/>
  <c r="AF47" i="33"/>
  <c r="AH47" i="33"/>
  <c r="AB47" i="33"/>
  <c r="AC47" i="33"/>
  <c r="M66" i="15"/>
  <c r="M64" i="15" s="1"/>
  <c r="M70" i="15" s="1"/>
  <c r="X82" i="33"/>
  <c r="AA82" i="33"/>
  <c r="AE82" i="33"/>
  <c r="AD82" i="33"/>
  <c r="AH82" i="33"/>
  <c r="AC82" i="33"/>
  <c r="Z82" i="33"/>
  <c r="AG82" i="33"/>
  <c r="AF82" i="33"/>
  <c r="AB82" i="33"/>
  <c r="Y82" i="33"/>
  <c r="BC58" i="32"/>
  <c r="AQ58" i="32"/>
  <c r="AU58" i="32"/>
  <c r="AI58" i="32"/>
  <c r="AN58" i="32"/>
  <c r="AK58" i="32"/>
  <c r="AJ58" i="32"/>
  <c r="AP58" i="32"/>
  <c r="AM58" i="32"/>
  <c r="AW58" i="32"/>
  <c r="AY58" i="32"/>
  <c r="AO58" i="32"/>
  <c r="BB58" i="32"/>
  <c r="AR58" i="32"/>
  <c r="BD58" i="32"/>
  <c r="AT58" i="32"/>
  <c r="AZ58" i="32"/>
  <c r="AV58" i="32"/>
  <c r="AL58" i="32"/>
  <c r="AX58" i="32"/>
  <c r="AS58" i="32"/>
  <c r="BA58" i="32"/>
  <c r="R78" i="32"/>
  <c r="AX78" i="32"/>
  <c r="AW78" i="32"/>
  <c r="AP78" i="32"/>
  <c r="AU78" i="32"/>
  <c r="BC78" i="32"/>
  <c r="BA78" i="32"/>
  <c r="AM78" i="32"/>
  <c r="AK78" i="32"/>
  <c r="AS78" i="32"/>
  <c r="AO78" i="32"/>
  <c r="P78" i="32"/>
  <c r="AV78" i="32"/>
  <c r="AZ78" i="32"/>
  <c r="BD78" i="32"/>
  <c r="AL78" i="32"/>
  <c r="AJ78" i="32"/>
  <c r="AI78" i="32"/>
  <c r="AQ78" i="32"/>
  <c r="AN78" i="32"/>
  <c r="AT78" i="32"/>
  <c r="BB78" i="32"/>
  <c r="AY78" i="32"/>
  <c r="AR78" i="32"/>
  <c r="AG67" i="33"/>
  <c r="AA67" i="33"/>
  <c r="AD67" i="33"/>
  <c r="AC67" i="33"/>
  <c r="Y67" i="33"/>
  <c r="AB67" i="33"/>
  <c r="X67" i="33"/>
  <c r="Z67" i="33"/>
  <c r="AF67" i="33"/>
  <c r="AH67" i="33"/>
  <c r="AE67" i="33"/>
  <c r="AA65" i="33"/>
  <c r="AF65" i="33"/>
  <c r="X65" i="33"/>
  <c r="AH65" i="33"/>
  <c r="AC65" i="33"/>
  <c r="Z65" i="33"/>
  <c r="AD65" i="33"/>
  <c r="AG65" i="33"/>
  <c r="AE65" i="33"/>
  <c r="AB65" i="33"/>
  <c r="Y65" i="33"/>
  <c r="AL85" i="32"/>
  <c r="AW85" i="32"/>
  <c r="AX85" i="32"/>
  <c r="AP85" i="32"/>
  <c r="AO85" i="32"/>
  <c r="AZ85" i="32"/>
  <c r="AU85" i="32"/>
  <c r="BC85" i="32"/>
  <c r="BA85" i="32"/>
  <c r="AJ85" i="32"/>
  <c r="AM85" i="32"/>
  <c r="AS85" i="32"/>
  <c r="BD85" i="32"/>
  <c r="AR85" i="32"/>
  <c r="AK85" i="32"/>
  <c r="AV85" i="32"/>
  <c r="AY85" i="32"/>
  <c r="AT85" i="32"/>
  <c r="BB85" i="32"/>
  <c r="AN85" i="32"/>
  <c r="AI85" i="32"/>
  <c r="AQ85" i="32"/>
  <c r="AB77" i="33"/>
  <c r="Y77" i="33"/>
  <c r="AF77" i="33"/>
  <c r="AA77" i="33"/>
  <c r="AE77" i="33"/>
  <c r="AH77" i="33"/>
  <c r="AD77" i="33"/>
  <c r="Z77" i="33"/>
  <c r="AC77" i="33"/>
  <c r="AG77" i="33"/>
  <c r="X77" i="33"/>
  <c r="AV57" i="32"/>
  <c r="O8" i="34" s="1"/>
  <c r="BD57" i="32"/>
  <c r="AN57" i="32"/>
  <c r="AJ57" i="32"/>
  <c r="AX57" i="32"/>
  <c r="BC57" i="32"/>
  <c r="BA57" i="32"/>
  <c r="AP57" i="32"/>
  <c r="AU57" i="32"/>
  <c r="AS57" i="32"/>
  <c r="AM57" i="32"/>
  <c r="AK57" i="32"/>
  <c r="AY57" i="32"/>
  <c r="BB57" i="32"/>
  <c r="AQ57" i="32"/>
  <c r="AW57" i="32"/>
  <c r="AT57" i="32"/>
  <c r="AI57" i="32"/>
  <c r="AO57" i="32"/>
  <c r="AL57" i="32"/>
  <c r="AZ57" i="32"/>
  <c r="AR57" i="32"/>
  <c r="AK69" i="32"/>
  <c r="AN69" i="32"/>
  <c r="AJ69" i="32"/>
  <c r="BB69" i="32"/>
  <c r="AQ69" i="32"/>
  <c r="AX69" i="32"/>
  <c r="AT69" i="32"/>
  <c r="AP69" i="32"/>
  <c r="AL69" i="32"/>
  <c r="BA69" i="32"/>
  <c r="AO69" i="32"/>
  <c r="BC69" i="32"/>
  <c r="AY69" i="32"/>
  <c r="AU69" i="32"/>
  <c r="AW69" i="32"/>
  <c r="AI69" i="32"/>
  <c r="AV69" i="32"/>
  <c r="AR69" i="32"/>
  <c r="AS69" i="32"/>
  <c r="BD69" i="32"/>
  <c r="AM69" i="32"/>
  <c r="AZ69" i="32"/>
  <c r="AA64" i="33"/>
  <c r="AC64" i="33"/>
  <c r="AB64" i="33"/>
  <c r="Y64" i="33"/>
  <c r="AH64" i="33"/>
  <c r="AG64" i="33"/>
  <c r="X64" i="33"/>
  <c r="AE64" i="33"/>
  <c r="AF64" i="33"/>
  <c r="AD64" i="33"/>
  <c r="Z64" i="33"/>
  <c r="AE58" i="33"/>
  <c r="AG58" i="33"/>
  <c r="Y58" i="33"/>
  <c r="AA58" i="33"/>
  <c r="AB58" i="33"/>
  <c r="X58" i="33"/>
  <c r="Z58" i="33"/>
  <c r="AD58" i="33"/>
  <c r="AF58" i="33"/>
  <c r="AH58" i="33"/>
  <c r="AC58" i="33"/>
  <c r="AR89" i="32"/>
  <c r="AP89" i="32"/>
  <c r="AL89" i="32"/>
  <c r="AN89" i="32"/>
  <c r="BA89" i="32"/>
  <c r="BB89" i="32"/>
  <c r="AS89" i="32"/>
  <c r="AT89" i="32"/>
  <c r="BD89" i="32"/>
  <c r="AY89" i="32"/>
  <c r="AJ89" i="32"/>
  <c r="AK89" i="32"/>
  <c r="AU89" i="32"/>
  <c r="AQ89" i="32"/>
  <c r="AM89" i="32"/>
  <c r="AI89" i="32"/>
  <c r="AW89" i="32"/>
  <c r="AZ89" i="32"/>
  <c r="AO89" i="32"/>
  <c r="BC89" i="32"/>
  <c r="AX89" i="32"/>
  <c r="AV89" i="32"/>
  <c r="AQ68" i="32"/>
  <c r="AX68" i="32"/>
  <c r="AS68" i="32"/>
  <c r="AP68" i="32"/>
  <c r="BB68" i="32"/>
  <c r="BD68" i="32"/>
  <c r="BA68" i="32"/>
  <c r="AW68" i="32"/>
  <c r="AT68" i="32"/>
  <c r="AV68" i="32"/>
  <c r="AK68" i="32"/>
  <c r="AO68" i="32"/>
  <c r="AL68" i="32"/>
  <c r="AN68" i="32"/>
  <c r="AU68" i="32"/>
  <c r="AZ68" i="32"/>
  <c r="AJ68" i="32"/>
  <c r="AM68" i="32"/>
  <c r="AI68" i="32"/>
  <c r="AR68" i="32"/>
  <c r="BC68" i="32"/>
  <c r="AY68" i="32"/>
  <c r="X81" i="33"/>
  <c r="AH81" i="33"/>
  <c r="AE81" i="33"/>
  <c r="Z81" i="33"/>
  <c r="AG81" i="33"/>
  <c r="AC81" i="33"/>
  <c r="AB81" i="33"/>
  <c r="Y81" i="33"/>
  <c r="AA81" i="33"/>
  <c r="AF81" i="33"/>
  <c r="AD81" i="33"/>
  <c r="BC92" i="32"/>
  <c r="AP92" i="32"/>
  <c r="BB92" i="32"/>
  <c r="AU92" i="32"/>
  <c r="AN92" i="32"/>
  <c r="AM92" i="32"/>
  <c r="AZ92" i="32"/>
  <c r="AY92" i="32"/>
  <c r="AR92" i="32"/>
  <c r="AV92" i="32"/>
  <c r="AL92" i="32"/>
  <c r="AW92" i="32"/>
  <c r="AJ92" i="32"/>
  <c r="AO92" i="32"/>
  <c r="BA92" i="32"/>
  <c r="AT92" i="32"/>
  <c r="BD92" i="32"/>
  <c r="AK92" i="32"/>
  <c r="AX92" i="32"/>
  <c r="AQ92" i="32"/>
  <c r="AS92" i="32"/>
  <c r="AI92" i="32"/>
  <c r="AZ79" i="32"/>
  <c r="AX79" i="32"/>
  <c r="AW79" i="32"/>
  <c r="AU79" i="32"/>
  <c r="BC79" i="32"/>
  <c r="AM79" i="32"/>
  <c r="AJ79" i="32"/>
  <c r="BD79" i="32"/>
  <c r="BB79" i="32"/>
  <c r="AV79" i="32"/>
  <c r="AY79" i="32"/>
  <c r="AT79" i="32"/>
  <c r="AN79" i="32"/>
  <c r="AS79" i="32"/>
  <c r="BA79" i="32"/>
  <c r="AK79" i="32"/>
  <c r="AR79" i="32"/>
  <c r="R79" i="32"/>
  <c r="P79" i="32"/>
  <c r="AL79" i="32"/>
  <c r="AO79" i="32"/>
  <c r="AI79" i="32"/>
  <c r="AQ79" i="32"/>
  <c r="AP79" i="32"/>
  <c r="AH72" i="33"/>
  <c r="AF72" i="33"/>
  <c r="X72" i="33"/>
  <c r="AA72" i="33"/>
  <c r="AE72" i="33"/>
  <c r="AD72" i="33"/>
  <c r="Z72" i="33"/>
  <c r="AG72" i="33"/>
  <c r="Y72" i="33"/>
  <c r="AC72" i="33"/>
  <c r="AB72" i="33"/>
  <c r="AI97" i="32"/>
  <c r="AO97" i="32"/>
  <c r="BA97" i="32"/>
  <c r="BB97" i="32"/>
  <c r="AS97" i="32"/>
  <c r="AT97" i="32"/>
  <c r="BC97" i="32"/>
  <c r="AK97" i="32"/>
  <c r="AX97" i="32"/>
  <c r="BD97" i="32"/>
  <c r="AL97" i="32"/>
  <c r="AP97" i="32"/>
  <c r="AV97" i="32"/>
  <c r="AZ97" i="32"/>
  <c r="AN97" i="32"/>
  <c r="AY97" i="32"/>
  <c r="AM97" i="32"/>
  <c r="AU97" i="32"/>
  <c r="AQ97" i="32"/>
  <c r="AW97" i="32"/>
  <c r="AJ97" i="32"/>
  <c r="AR97" i="32"/>
  <c r="AG54" i="33"/>
  <c r="AC54" i="33"/>
  <c r="Z54" i="33"/>
  <c r="AF54" i="33"/>
  <c r="AE54" i="33"/>
  <c r="AB54" i="33"/>
  <c r="X54" i="33"/>
  <c r="Y54" i="33"/>
  <c r="AA54" i="33"/>
  <c r="AD54" i="33"/>
  <c r="AH54" i="33"/>
  <c r="L47" i="20"/>
  <c r="Q44" i="22"/>
  <c r="Q44" i="20"/>
  <c r="Q44" i="19"/>
  <c r="Q44" i="21"/>
  <c r="S45" i="22"/>
  <c r="S45" i="21"/>
  <c r="S45" i="19"/>
  <c r="S45" i="20"/>
  <c r="U10" i="20"/>
  <c r="U8" i="20"/>
  <c r="U6" i="20"/>
  <c r="U15" i="20"/>
  <c r="U9" i="20"/>
  <c r="U7" i="20"/>
  <c r="U5" i="20"/>
  <c r="U11" i="20"/>
  <c r="U14" i="20"/>
  <c r="U40" i="20"/>
  <c r="U28" i="20"/>
  <c r="U22" i="20"/>
  <c r="U31" i="20"/>
  <c r="U19" i="20"/>
  <c r="U21" i="20"/>
  <c r="U16" i="20"/>
  <c r="U33" i="20"/>
  <c r="U35" i="20"/>
  <c r="U37" i="20"/>
  <c r="U30" i="20"/>
  <c r="U17" i="20"/>
  <c r="U23" i="20"/>
  <c r="U25" i="20"/>
  <c r="U18" i="20"/>
  <c r="U39" i="20"/>
  <c r="U26" i="20"/>
  <c r="U20" i="20"/>
  <c r="U24" i="20"/>
  <c r="U41" i="20"/>
  <c r="U36" i="20"/>
  <c r="U32" i="20"/>
  <c r="U12" i="20"/>
  <c r="U13" i="20"/>
  <c r="U34" i="20"/>
  <c r="U38" i="20"/>
  <c r="U29" i="20"/>
  <c r="U27" i="20"/>
  <c r="S46" i="21"/>
  <c r="S46" i="22"/>
  <c r="S46" i="19"/>
  <c r="S46" i="20"/>
  <c r="N54" i="17"/>
  <c r="N58" i="17" s="1"/>
  <c r="N54" i="18"/>
  <c r="N54" i="16"/>
  <c r="L48" i="19"/>
  <c r="L47" i="21"/>
  <c r="F4" i="5"/>
  <c r="E4" i="5"/>
  <c r="E30" i="5"/>
  <c r="F30" i="5"/>
  <c r="D46" i="5"/>
  <c r="D10" i="5"/>
  <c r="T56" i="15" s="1"/>
  <c r="Q8" i="34" l="1"/>
  <c r="Q10" i="34"/>
  <c r="Q6" i="34"/>
  <c r="F8" i="34"/>
  <c r="F6" i="34"/>
  <c r="F10" i="34"/>
  <c r="L8" i="35"/>
  <c r="L6" i="35"/>
  <c r="L10" i="35"/>
  <c r="W8" i="34"/>
  <c r="W10" i="34"/>
  <c r="K8" i="35"/>
  <c r="K10" i="35"/>
  <c r="P8" i="34"/>
  <c r="P10" i="34"/>
  <c r="P6" i="34"/>
  <c r="J8" i="34"/>
  <c r="J6" i="34"/>
  <c r="J10" i="34"/>
  <c r="S8" i="34"/>
  <c r="S6" i="34"/>
  <c r="S10" i="34"/>
  <c r="V8" i="34"/>
  <c r="V6" i="34"/>
  <c r="V10" i="34"/>
  <c r="B8" i="34"/>
  <c r="B6" i="34"/>
  <c r="B10" i="34"/>
  <c r="N8" i="34"/>
  <c r="N6" i="34"/>
  <c r="N10" i="34"/>
  <c r="G8" i="34"/>
  <c r="G6" i="34"/>
  <c r="G10" i="34"/>
  <c r="G8" i="35"/>
  <c r="G6" i="35"/>
  <c r="G10" i="35"/>
  <c r="C8" i="35"/>
  <c r="C10" i="35"/>
  <c r="C6" i="35"/>
  <c r="N47" i="20"/>
  <c r="N47" i="21"/>
  <c r="V47" i="20"/>
  <c r="V47" i="21"/>
  <c r="AA51" i="17"/>
  <c r="Z51" i="32" s="1"/>
  <c r="Z103" i="32" s="1"/>
  <c r="AA38" i="17"/>
  <c r="Z38" i="32" s="1"/>
  <c r="Z90" i="32" s="1"/>
  <c r="AA31" i="17"/>
  <c r="Z31" i="32" s="1"/>
  <c r="Z83" i="32" s="1"/>
  <c r="AA21" i="17"/>
  <c r="Z21" i="32" s="1"/>
  <c r="Z73" i="32" s="1"/>
  <c r="AA27" i="17"/>
  <c r="Z27" i="32" s="1"/>
  <c r="Z79" i="32" s="1"/>
  <c r="AA25" i="17"/>
  <c r="Z25" i="32" s="1"/>
  <c r="Z77" i="32" s="1"/>
  <c r="AA44" i="17"/>
  <c r="Z44" i="32" s="1"/>
  <c r="Z96" i="32" s="1"/>
  <c r="AA43" i="17"/>
  <c r="Z43" i="32" s="1"/>
  <c r="Z95" i="32" s="1"/>
  <c r="AA23" i="17"/>
  <c r="Z23" i="32" s="1"/>
  <c r="Z75" i="32" s="1"/>
  <c r="AA8" i="17"/>
  <c r="Z8" i="32" s="1"/>
  <c r="Z60" i="32" s="1"/>
  <c r="AA19" i="17"/>
  <c r="Z19" i="32" s="1"/>
  <c r="Z71" i="32" s="1"/>
  <c r="AA17" i="17"/>
  <c r="Z17" i="32" s="1"/>
  <c r="Z69" i="32" s="1"/>
  <c r="AA39" i="17"/>
  <c r="Z39" i="32" s="1"/>
  <c r="Z91" i="32" s="1"/>
  <c r="AA12" i="17"/>
  <c r="Z12" i="32" s="1"/>
  <c r="Z64" i="32" s="1"/>
  <c r="AA48" i="17"/>
  <c r="Z48" i="32" s="1"/>
  <c r="Z100" i="32" s="1"/>
  <c r="AA32" i="17"/>
  <c r="Z32" i="32" s="1"/>
  <c r="Z84" i="32" s="1"/>
  <c r="AA9" i="17"/>
  <c r="Z9" i="32" s="1"/>
  <c r="Z61" i="32" s="1"/>
  <c r="AA36" i="17"/>
  <c r="Z36" i="32" s="1"/>
  <c r="Z88" i="32" s="1"/>
  <c r="AA7" i="17"/>
  <c r="Z7" i="32" s="1"/>
  <c r="Z59" i="32" s="1"/>
  <c r="AA5" i="17"/>
  <c r="AA14" i="17"/>
  <c r="Z14" i="32" s="1"/>
  <c r="Z66" i="32" s="1"/>
  <c r="AA6" i="17"/>
  <c r="Z6" i="32" s="1"/>
  <c r="Z58" i="32" s="1"/>
  <c r="AA41" i="17"/>
  <c r="Z41" i="32" s="1"/>
  <c r="Z93" i="32" s="1"/>
  <c r="AA24" i="17"/>
  <c r="Z24" i="32" s="1"/>
  <c r="Z76" i="32" s="1"/>
  <c r="AA30" i="17"/>
  <c r="Z30" i="32" s="1"/>
  <c r="Z82" i="32" s="1"/>
  <c r="AA28" i="17"/>
  <c r="Z28" i="32" s="1"/>
  <c r="Z80" i="32" s="1"/>
  <c r="AA34" i="17"/>
  <c r="Z34" i="32" s="1"/>
  <c r="Z86" i="32" s="1"/>
  <c r="AA11" i="17"/>
  <c r="Z11" i="32" s="1"/>
  <c r="Z63" i="32" s="1"/>
  <c r="AA13" i="17"/>
  <c r="Z13" i="32" s="1"/>
  <c r="Z65" i="32" s="1"/>
  <c r="AA33" i="17"/>
  <c r="Z33" i="32" s="1"/>
  <c r="Z85" i="32" s="1"/>
  <c r="AA16" i="17"/>
  <c r="Z16" i="32" s="1"/>
  <c r="Z68" i="32" s="1"/>
  <c r="AA22" i="17"/>
  <c r="Z22" i="32" s="1"/>
  <c r="Z74" i="32" s="1"/>
  <c r="AA20" i="17"/>
  <c r="Z20" i="32" s="1"/>
  <c r="Z72" i="32" s="1"/>
  <c r="AA26" i="17"/>
  <c r="Z26" i="32" s="1"/>
  <c r="Z78" i="32" s="1"/>
  <c r="AA18" i="17"/>
  <c r="Z18" i="32" s="1"/>
  <c r="Z70" i="32" s="1"/>
  <c r="AA42" i="17"/>
  <c r="Z42" i="32" s="1"/>
  <c r="Z94" i="32" s="1"/>
  <c r="AA47" i="17"/>
  <c r="Z47" i="32" s="1"/>
  <c r="Z99" i="32" s="1"/>
  <c r="AA45" i="17"/>
  <c r="Z45" i="32" s="1"/>
  <c r="Z97" i="32" s="1"/>
  <c r="AA46" i="17"/>
  <c r="Z46" i="32" s="1"/>
  <c r="Z98" i="32" s="1"/>
  <c r="AA35" i="17"/>
  <c r="Z35" i="32" s="1"/>
  <c r="Z87" i="32" s="1"/>
  <c r="AA29" i="17"/>
  <c r="Z29" i="32" s="1"/>
  <c r="Z81" i="32" s="1"/>
  <c r="AA40" i="17"/>
  <c r="Z40" i="32" s="1"/>
  <c r="Z92" i="32" s="1"/>
  <c r="AA37" i="17"/>
  <c r="Z37" i="32" s="1"/>
  <c r="Z89" i="32" s="1"/>
  <c r="AA50" i="17"/>
  <c r="Z50" i="32" s="1"/>
  <c r="Z102" i="32" s="1"/>
  <c r="AA15" i="17"/>
  <c r="Z15" i="32" s="1"/>
  <c r="Z67" i="32" s="1"/>
  <c r="AA49" i="17"/>
  <c r="Z49" i="32" s="1"/>
  <c r="Z101" i="32" s="1"/>
  <c r="AA10" i="17"/>
  <c r="Z10" i="32" s="1"/>
  <c r="Z62" i="32" s="1"/>
  <c r="K6" i="35"/>
  <c r="V60" i="15"/>
  <c r="Y56" i="15"/>
  <c r="V56" i="15"/>
  <c r="U20" i="16"/>
  <c r="U27" i="16"/>
  <c r="U30" i="16"/>
  <c r="U33" i="16"/>
  <c r="U11" i="16"/>
  <c r="U48" i="16"/>
  <c r="U16" i="16"/>
  <c r="U23" i="16"/>
  <c r="U26" i="16"/>
  <c r="U29" i="16"/>
  <c r="U7" i="16"/>
  <c r="U44" i="16"/>
  <c r="U19" i="16"/>
  <c r="U25" i="16"/>
  <c r="U40" i="16"/>
  <c r="U47" i="16"/>
  <c r="U50" i="16"/>
  <c r="U18" i="16"/>
  <c r="U21" i="16"/>
  <c r="U10" i="16"/>
  <c r="U38" i="16"/>
  <c r="U41" i="16"/>
  <c r="U9" i="16"/>
  <c r="U36" i="16"/>
  <c r="U43" i="16"/>
  <c r="U46" i="16"/>
  <c r="U49" i="16"/>
  <c r="U17" i="16"/>
  <c r="U6" i="16"/>
  <c r="U28" i="16"/>
  <c r="U8" i="16"/>
  <c r="U32" i="16"/>
  <c r="U39" i="16"/>
  <c r="U42" i="16"/>
  <c r="U45" i="16"/>
  <c r="U12" i="16"/>
  <c r="U13" i="16"/>
  <c r="U35" i="16"/>
  <c r="U24" i="16"/>
  <c r="U31" i="16"/>
  <c r="U34" i="16"/>
  <c r="U37" i="16"/>
  <c r="U15" i="16"/>
  <c r="U5" i="16"/>
  <c r="U51" i="16"/>
  <c r="U22" i="16"/>
  <c r="U14" i="16"/>
  <c r="K8" i="34"/>
  <c r="K6" i="34"/>
  <c r="K10" i="34"/>
  <c r="I8" i="34"/>
  <c r="I10" i="34"/>
  <c r="I6" i="34"/>
  <c r="F8" i="35"/>
  <c r="F10" i="35"/>
  <c r="F6" i="35"/>
  <c r="B8" i="35"/>
  <c r="B10" i="35"/>
  <c r="B6" i="35"/>
  <c r="V48" i="19"/>
  <c r="S17" i="16"/>
  <c r="S6" i="16"/>
  <c r="S24" i="16"/>
  <c r="S49" i="16"/>
  <c r="S28" i="16"/>
  <c r="S50" i="16"/>
  <c r="S12" i="16"/>
  <c r="S22" i="16"/>
  <c r="S38" i="16"/>
  <c r="S35" i="16"/>
  <c r="S8" i="16"/>
  <c r="S44" i="16"/>
  <c r="S25" i="16"/>
  <c r="S15" i="16"/>
  <c r="S5" i="16"/>
  <c r="S33" i="16"/>
  <c r="S37" i="16"/>
  <c r="S36" i="16"/>
  <c r="S47" i="16"/>
  <c r="S20" i="16"/>
  <c r="S11" i="16"/>
  <c r="S45" i="16"/>
  <c r="S42" i="16"/>
  <c r="S46" i="16"/>
  <c r="S23" i="16"/>
  <c r="S14" i="16"/>
  <c r="S16" i="16"/>
  <c r="S7" i="16"/>
  <c r="S51" i="16"/>
  <c r="S30" i="16"/>
  <c r="S48" i="16"/>
  <c r="S29" i="16"/>
  <c r="S19" i="16"/>
  <c r="S43" i="16"/>
  <c r="S39" i="16"/>
  <c r="S40" i="16"/>
  <c r="S18" i="16"/>
  <c r="S10" i="16"/>
  <c r="S31" i="16"/>
  <c r="S32" i="16"/>
  <c r="S21" i="16"/>
  <c r="S26" i="16"/>
  <c r="S13" i="16"/>
  <c r="S27" i="16"/>
  <c r="S9" i="16"/>
  <c r="S34" i="16"/>
  <c r="S41" i="16"/>
  <c r="M8" i="34"/>
  <c r="M10" i="34"/>
  <c r="M6" i="34"/>
  <c r="R8" i="34"/>
  <c r="R10" i="34"/>
  <c r="R6" i="34"/>
  <c r="O6" i="34"/>
  <c r="I8" i="35"/>
  <c r="I10" i="35"/>
  <c r="I6" i="35"/>
  <c r="E6" i="35"/>
  <c r="Z47" i="21"/>
  <c r="Z47" i="20"/>
  <c r="X47" i="16"/>
  <c r="X50" i="16"/>
  <c r="X18" i="16"/>
  <c r="X21" i="16"/>
  <c r="X24" i="16"/>
  <c r="X9" i="16"/>
  <c r="X43" i="16"/>
  <c r="X46" i="16"/>
  <c r="X49" i="16"/>
  <c r="X17" i="16"/>
  <c r="X20" i="16"/>
  <c r="X5" i="16"/>
  <c r="X39" i="16"/>
  <c r="X42" i="16"/>
  <c r="X45" i="16"/>
  <c r="X48" i="16"/>
  <c r="X16" i="16"/>
  <c r="X12" i="16"/>
  <c r="X35" i="16"/>
  <c r="X38" i="16"/>
  <c r="X41" i="16"/>
  <c r="X44" i="16"/>
  <c r="X51" i="16"/>
  <c r="X8" i="16"/>
  <c r="X6" i="16"/>
  <c r="X31" i="16"/>
  <c r="X34" i="16"/>
  <c r="X37" i="16"/>
  <c r="X40" i="16"/>
  <c r="X14" i="16"/>
  <c r="X15" i="16"/>
  <c r="X26" i="16"/>
  <c r="X27" i="16"/>
  <c r="X30" i="16"/>
  <c r="X33" i="16"/>
  <c r="X36" i="16"/>
  <c r="X10" i="16"/>
  <c r="X11" i="16"/>
  <c r="X23" i="16"/>
  <c r="X32" i="16"/>
  <c r="X7" i="16"/>
  <c r="X29" i="16"/>
  <c r="X19" i="16"/>
  <c r="X22" i="16"/>
  <c r="X25" i="16"/>
  <c r="X28" i="16"/>
  <c r="X13" i="16"/>
  <c r="R20" i="16"/>
  <c r="R9" i="16"/>
  <c r="R10" i="16"/>
  <c r="R47" i="16"/>
  <c r="R51" i="16"/>
  <c r="R49" i="16"/>
  <c r="R5" i="16"/>
  <c r="R31" i="16"/>
  <c r="R12" i="16"/>
  <c r="R23" i="16"/>
  <c r="R23" i="18" s="1"/>
  <c r="R38" i="16"/>
  <c r="R25" i="16"/>
  <c r="R19" i="16"/>
  <c r="R8" i="16"/>
  <c r="R39" i="16"/>
  <c r="R33" i="16"/>
  <c r="R42" i="16"/>
  <c r="R18" i="16"/>
  <c r="R32" i="16"/>
  <c r="R21" i="16"/>
  <c r="R21" i="18" s="1"/>
  <c r="R26" i="16"/>
  <c r="R26" i="18" s="1"/>
  <c r="R15" i="16"/>
  <c r="R48" i="16"/>
  <c r="R50" i="16"/>
  <c r="R45" i="16"/>
  <c r="R28" i="16"/>
  <c r="R28" i="18" s="1"/>
  <c r="R44" i="16"/>
  <c r="R17" i="16"/>
  <c r="R22" i="16"/>
  <c r="R22" i="18" s="1"/>
  <c r="R11" i="16"/>
  <c r="R34" i="16"/>
  <c r="R35" i="16"/>
  <c r="R43" i="16"/>
  <c r="R37" i="16"/>
  <c r="R7" i="16"/>
  <c r="R24" i="16"/>
  <c r="R24" i="18" s="1"/>
  <c r="R13" i="16"/>
  <c r="R14" i="16"/>
  <c r="R30" i="16"/>
  <c r="R46" i="16"/>
  <c r="R41" i="16"/>
  <c r="R27" i="16"/>
  <c r="R27" i="18" s="1"/>
  <c r="R6" i="16"/>
  <c r="R36" i="16"/>
  <c r="R29" i="16"/>
  <c r="R29" i="18" s="1"/>
  <c r="R16" i="16"/>
  <c r="R40" i="16"/>
  <c r="W6" i="34"/>
  <c r="D8" i="34"/>
  <c r="D10" i="34"/>
  <c r="D6" i="34"/>
  <c r="T8" i="34"/>
  <c r="T10" i="34"/>
  <c r="T6" i="34"/>
  <c r="E8" i="35"/>
  <c r="E10" i="35"/>
  <c r="O10" i="34"/>
  <c r="R7" i="20"/>
  <c r="R29" i="20"/>
  <c r="R36" i="20"/>
  <c r="R26" i="20"/>
  <c r="R30" i="20"/>
  <c r="R21" i="20"/>
  <c r="R39" i="20"/>
  <c r="R22" i="20"/>
  <c r="R32" i="20"/>
  <c r="R14" i="20"/>
  <c r="R10" i="20"/>
  <c r="R33" i="20"/>
  <c r="R35" i="20"/>
  <c r="R23" i="20"/>
  <c r="R34" i="20"/>
  <c r="R16" i="20"/>
  <c r="R8" i="20"/>
  <c r="R20" i="20"/>
  <c r="R31" i="20"/>
  <c r="R17" i="20"/>
  <c r="R27" i="20"/>
  <c r="R15" i="20"/>
  <c r="R38" i="20"/>
  <c r="R6" i="20"/>
  <c r="R12" i="20"/>
  <c r="R25" i="20"/>
  <c r="R40" i="20"/>
  <c r="R37" i="20"/>
  <c r="R18" i="20"/>
  <c r="R41" i="20"/>
  <c r="R9" i="20"/>
  <c r="R19" i="20"/>
  <c r="R28" i="20"/>
  <c r="R13" i="20"/>
  <c r="R11" i="20"/>
  <c r="R5" i="20"/>
  <c r="R24" i="20"/>
  <c r="P47" i="21"/>
  <c r="P47" i="20"/>
  <c r="U47" i="21"/>
  <c r="U47" i="20"/>
  <c r="L24" i="16"/>
  <c r="L15" i="16"/>
  <c r="L11" i="16"/>
  <c r="L7" i="16"/>
  <c r="L45" i="16"/>
  <c r="L50" i="16"/>
  <c r="L27" i="16"/>
  <c r="L14" i="16"/>
  <c r="L51" i="16"/>
  <c r="L19" i="16"/>
  <c r="L41" i="16"/>
  <c r="L33" i="16"/>
  <c r="L23" i="16"/>
  <c r="L10" i="16"/>
  <c r="L49" i="16"/>
  <c r="L20" i="16"/>
  <c r="L35" i="16"/>
  <c r="L30" i="16"/>
  <c r="L26" i="16"/>
  <c r="L6" i="16"/>
  <c r="L12" i="16"/>
  <c r="L38" i="16"/>
  <c r="L37" i="16"/>
  <c r="L48" i="16"/>
  <c r="L39" i="16"/>
  <c r="L22" i="16"/>
  <c r="L13" i="16"/>
  <c r="L31" i="16"/>
  <c r="L17" i="16"/>
  <c r="L46" i="16"/>
  <c r="L36" i="16"/>
  <c r="L5" i="16"/>
  <c r="L29" i="16"/>
  <c r="L9" i="16"/>
  <c r="L32" i="16"/>
  <c r="L42" i="16"/>
  <c r="L25" i="16"/>
  <c r="L47" i="16"/>
  <c r="L43" i="16"/>
  <c r="L21" i="16"/>
  <c r="L18" i="16"/>
  <c r="L28" i="16"/>
  <c r="L16" i="16"/>
  <c r="L8" i="16"/>
  <c r="L40" i="16"/>
  <c r="L44" i="16"/>
  <c r="L34" i="16"/>
  <c r="Q22" i="16"/>
  <c r="Q13" i="16"/>
  <c r="Q10" i="16"/>
  <c r="Q12" i="16"/>
  <c r="Q37" i="16"/>
  <c r="Q25" i="16"/>
  <c r="Q29" i="16"/>
  <c r="Q9" i="16"/>
  <c r="Q6" i="16"/>
  <c r="Q41" i="16"/>
  <c r="Q46" i="16"/>
  <c r="Q45" i="16"/>
  <c r="Q21" i="16"/>
  <c r="Q5" i="16"/>
  <c r="Q33" i="16"/>
  <c r="Q50" i="16"/>
  <c r="Q32" i="16"/>
  <c r="Q20" i="16"/>
  <c r="Q28" i="16"/>
  <c r="Q8" i="16"/>
  <c r="Q42" i="16"/>
  <c r="Q43" i="16"/>
  <c r="Q17" i="16"/>
  <c r="Q38" i="16"/>
  <c r="Q27" i="16"/>
  <c r="Q30" i="16"/>
  <c r="Q24" i="16"/>
  <c r="Q15" i="16"/>
  <c r="Q35" i="16"/>
  <c r="Q49" i="16"/>
  <c r="Q34" i="16"/>
  <c r="Q47" i="16"/>
  <c r="Q7" i="16"/>
  <c r="Q16" i="16"/>
  <c r="Q11" i="16"/>
  <c r="Q44" i="16"/>
  <c r="Q19" i="16"/>
  <c r="Q36" i="16"/>
  <c r="Q40" i="16"/>
  <c r="Q31" i="16"/>
  <c r="Q51" i="16"/>
  <c r="Q26" i="16"/>
  <c r="Q23" i="16"/>
  <c r="Q14" i="16"/>
  <c r="Q39" i="16"/>
  <c r="Q18" i="16"/>
  <c r="Q48" i="16"/>
  <c r="O47" i="20"/>
  <c r="O47" i="21"/>
  <c r="O48" i="19"/>
  <c r="AH18" i="16"/>
  <c r="AH10" i="16"/>
  <c r="AH29" i="16"/>
  <c r="AH35" i="16"/>
  <c r="AH21" i="16"/>
  <c r="AH33" i="16"/>
  <c r="AH25" i="16"/>
  <c r="AH6" i="16"/>
  <c r="AH30" i="16"/>
  <c r="AH44" i="16"/>
  <c r="AH39" i="16"/>
  <c r="AH49" i="16"/>
  <c r="AH17" i="16"/>
  <c r="AH5" i="16"/>
  <c r="AH47" i="16"/>
  <c r="AH46" i="16"/>
  <c r="AH48" i="16"/>
  <c r="AH31" i="16"/>
  <c r="AH11" i="16"/>
  <c r="AH13" i="16"/>
  <c r="AH24" i="16"/>
  <c r="AH41" i="16"/>
  <c r="AH34" i="16"/>
  <c r="AH51" i="16"/>
  <c r="AH22" i="16"/>
  <c r="AH7" i="16"/>
  <c r="AH9" i="16"/>
  <c r="AH42" i="16"/>
  <c r="AH43" i="16"/>
  <c r="AH23" i="16"/>
  <c r="AH26" i="16"/>
  <c r="AH40" i="16"/>
  <c r="AH16" i="16"/>
  <c r="AH12" i="16"/>
  <c r="AH27" i="16"/>
  <c r="AH37" i="16"/>
  <c r="AH50" i="16"/>
  <c r="AH20" i="16"/>
  <c r="AH15" i="16"/>
  <c r="AH8" i="16"/>
  <c r="AH36" i="16"/>
  <c r="AH19" i="16"/>
  <c r="AH14" i="16"/>
  <c r="AH28" i="16"/>
  <c r="AH38" i="16"/>
  <c r="AH32" i="16"/>
  <c r="AH45" i="16"/>
  <c r="O25" i="16"/>
  <c r="O9" i="16"/>
  <c r="O32" i="16"/>
  <c r="O37" i="16"/>
  <c r="O26" i="16"/>
  <c r="O22" i="16"/>
  <c r="O17" i="16"/>
  <c r="O5" i="16"/>
  <c r="O49" i="16"/>
  <c r="O38" i="16"/>
  <c r="O47" i="16"/>
  <c r="O44" i="16"/>
  <c r="O20" i="16"/>
  <c r="O8" i="16"/>
  <c r="O39" i="16"/>
  <c r="O31" i="16"/>
  <c r="O23" i="16"/>
  <c r="O33" i="16"/>
  <c r="O16" i="16"/>
  <c r="O12" i="16"/>
  <c r="O50" i="16"/>
  <c r="O48" i="16"/>
  <c r="O41" i="16"/>
  <c r="O43" i="16"/>
  <c r="O6" i="16"/>
  <c r="O34" i="16"/>
  <c r="O14" i="16"/>
  <c r="O15" i="16"/>
  <c r="O36" i="16"/>
  <c r="O35" i="16"/>
  <c r="O42" i="16"/>
  <c r="O27" i="16"/>
  <c r="O19" i="16"/>
  <c r="O30" i="16"/>
  <c r="O10" i="16"/>
  <c r="O11" i="16"/>
  <c r="O29" i="16"/>
  <c r="O45" i="16"/>
  <c r="O28" i="16"/>
  <c r="O46" i="16"/>
  <c r="O7" i="16"/>
  <c r="O18" i="16"/>
  <c r="O13" i="16"/>
  <c r="O21" i="16"/>
  <c r="O40" i="16"/>
  <c r="O24" i="16"/>
  <c r="O51" i="16"/>
  <c r="J8" i="35"/>
  <c r="J10" i="35"/>
  <c r="J6" i="35"/>
  <c r="M55" i="15"/>
  <c r="M60" i="15" s="1"/>
  <c r="P13" i="20"/>
  <c r="P19" i="20"/>
  <c r="P31" i="20"/>
  <c r="P35" i="20"/>
  <c r="P9" i="20"/>
  <c r="P32" i="20"/>
  <c r="P20" i="20"/>
  <c r="P28" i="20"/>
  <c r="P37" i="20"/>
  <c r="P7" i="20"/>
  <c r="P33" i="20"/>
  <c r="P24" i="20"/>
  <c r="P16" i="20"/>
  <c r="P41" i="20"/>
  <c r="P5" i="20"/>
  <c r="P30" i="20"/>
  <c r="P21" i="20"/>
  <c r="P17" i="20"/>
  <c r="P22" i="20"/>
  <c r="P40" i="20"/>
  <c r="P10" i="20"/>
  <c r="P12" i="20"/>
  <c r="P23" i="20"/>
  <c r="P27" i="20"/>
  <c r="P34" i="20"/>
  <c r="P8" i="20"/>
  <c r="P14" i="20"/>
  <c r="P11" i="20"/>
  <c r="P36" i="20"/>
  <c r="P26" i="20"/>
  <c r="P39" i="20"/>
  <c r="P6" i="20"/>
  <c r="P38" i="20"/>
  <c r="P15" i="20"/>
  <c r="P18" i="20"/>
  <c r="P29" i="20"/>
  <c r="P25" i="20"/>
  <c r="M47" i="21"/>
  <c r="M47" i="20"/>
  <c r="W27" i="16"/>
  <c r="W30" i="16"/>
  <c r="W33" i="16"/>
  <c r="W36" i="16"/>
  <c r="W7" i="16"/>
  <c r="W8" i="16"/>
  <c r="W23" i="16"/>
  <c r="W26" i="16"/>
  <c r="W29" i="16"/>
  <c r="W32" i="16"/>
  <c r="W14" i="16"/>
  <c r="W51" i="16"/>
  <c r="W19" i="16"/>
  <c r="W25" i="16"/>
  <c r="W28" i="16"/>
  <c r="W10" i="16"/>
  <c r="W47" i="16"/>
  <c r="W50" i="16"/>
  <c r="W18" i="16"/>
  <c r="W21" i="16"/>
  <c r="W24" i="16"/>
  <c r="W6" i="16"/>
  <c r="W38" i="16"/>
  <c r="W5" i="16"/>
  <c r="W43" i="16"/>
  <c r="W46" i="16"/>
  <c r="W49" i="16"/>
  <c r="W17" i="16"/>
  <c r="W20" i="16"/>
  <c r="W13" i="16"/>
  <c r="W44" i="16"/>
  <c r="W39" i="16"/>
  <c r="W42" i="16"/>
  <c r="W45" i="16"/>
  <c r="W48" i="16"/>
  <c r="W16" i="16"/>
  <c r="W9" i="16"/>
  <c r="W41" i="16"/>
  <c r="W35" i="16"/>
  <c r="W15" i="16"/>
  <c r="W31" i="16"/>
  <c r="W34" i="16"/>
  <c r="W37" i="16"/>
  <c r="W40" i="16"/>
  <c r="W11" i="16"/>
  <c r="W12" i="16"/>
  <c r="W22" i="16"/>
  <c r="AI30" i="16"/>
  <c r="AI20" i="16"/>
  <c r="AI9" i="16"/>
  <c r="AI42" i="16"/>
  <c r="AI40" i="16"/>
  <c r="AI31" i="16"/>
  <c r="AI5" i="16"/>
  <c r="AI35" i="16"/>
  <c r="AI21" i="16"/>
  <c r="AI11" i="16"/>
  <c r="AI45" i="16"/>
  <c r="AI12" i="16"/>
  <c r="AI19" i="16"/>
  <c r="AI7" i="16"/>
  <c r="AI8" i="16"/>
  <c r="AI23" i="16"/>
  <c r="AI47" i="16"/>
  <c r="AI25" i="16"/>
  <c r="AI48" i="16"/>
  <c r="AI27" i="16"/>
  <c r="AI15" i="16"/>
  <c r="AI14" i="16"/>
  <c r="AI26" i="16"/>
  <c r="AI41" i="16"/>
  <c r="AI51" i="16"/>
  <c r="AI6" i="16"/>
  <c r="AI44" i="16"/>
  <c r="AI46" i="16"/>
  <c r="AI18" i="16"/>
  <c r="AI10" i="16"/>
  <c r="AI39" i="16"/>
  <c r="AI22" i="16"/>
  <c r="AI50" i="16"/>
  <c r="AI32" i="16"/>
  <c r="AI29" i="16"/>
  <c r="AI24" i="16"/>
  <c r="AI49" i="16"/>
  <c r="AI43" i="16"/>
  <c r="AI17" i="16"/>
  <c r="AI13" i="16"/>
  <c r="AI33" i="16"/>
  <c r="AI38" i="16"/>
  <c r="AI34" i="16"/>
  <c r="AI37" i="16"/>
  <c r="AI16" i="16"/>
  <c r="AI28" i="16"/>
  <c r="AI36" i="16"/>
  <c r="E8" i="34"/>
  <c r="E6" i="34"/>
  <c r="E10" i="34"/>
  <c r="C6" i="34"/>
  <c r="C10" i="34"/>
  <c r="C8" i="34"/>
  <c r="T47" i="21"/>
  <c r="T47" i="20"/>
  <c r="T48" i="19"/>
  <c r="M48" i="19"/>
  <c r="P24" i="16"/>
  <c r="P24" i="18" s="1"/>
  <c r="P6" i="16"/>
  <c r="P11" i="16"/>
  <c r="P39" i="16"/>
  <c r="P36" i="16"/>
  <c r="P26" i="16"/>
  <c r="P26" i="18" s="1"/>
  <c r="P20" i="16"/>
  <c r="P17" i="16"/>
  <c r="P7" i="16"/>
  <c r="P40" i="16"/>
  <c r="P45" i="16"/>
  <c r="P22" i="16"/>
  <c r="P22" i="18" s="1"/>
  <c r="P16" i="16"/>
  <c r="P13" i="16"/>
  <c r="P35" i="16"/>
  <c r="P50" i="16"/>
  <c r="P49" i="16"/>
  <c r="P18" i="16"/>
  <c r="P27" i="16"/>
  <c r="P27" i="18" s="1"/>
  <c r="P9" i="16"/>
  <c r="P43" i="16"/>
  <c r="P37" i="16"/>
  <c r="P47" i="16"/>
  <c r="P29" i="16"/>
  <c r="P29" i="18" s="1"/>
  <c r="P23" i="16"/>
  <c r="P23" i="18" s="1"/>
  <c r="P5" i="16"/>
  <c r="P44" i="16"/>
  <c r="P33" i="16"/>
  <c r="P38" i="16"/>
  <c r="P25" i="16"/>
  <c r="P19" i="16"/>
  <c r="P12" i="16"/>
  <c r="P30" i="16"/>
  <c r="P48" i="16"/>
  <c r="P41" i="16"/>
  <c r="P21" i="16"/>
  <c r="P21" i="18" s="1"/>
  <c r="P14" i="16"/>
  <c r="P8" i="16"/>
  <c r="P34" i="16"/>
  <c r="P31" i="16"/>
  <c r="P32" i="16"/>
  <c r="P28" i="16"/>
  <c r="P28" i="18" s="1"/>
  <c r="P10" i="16"/>
  <c r="P15" i="16"/>
  <c r="P51" i="16"/>
  <c r="P42" i="16"/>
  <c r="P46" i="16"/>
  <c r="AC40" i="16"/>
  <c r="AC8" i="16"/>
  <c r="AC9" i="16"/>
  <c r="AC46" i="16"/>
  <c r="AC50" i="16"/>
  <c r="AC42" i="16"/>
  <c r="AC25" i="16"/>
  <c r="AC11" i="16"/>
  <c r="AC5" i="16"/>
  <c r="AC24" i="16"/>
  <c r="AC35" i="16"/>
  <c r="AC45" i="16"/>
  <c r="AC20" i="16"/>
  <c r="AC7" i="16"/>
  <c r="AC49" i="16"/>
  <c r="AC34" i="16"/>
  <c r="AC47" i="16"/>
  <c r="AC28" i="16"/>
  <c r="AC16" i="16"/>
  <c r="AC17" i="16"/>
  <c r="AC21" i="16"/>
  <c r="AC51" i="16"/>
  <c r="AC22" i="16"/>
  <c r="AC32" i="16"/>
  <c r="AC23" i="16"/>
  <c r="AC19" i="16"/>
  <c r="AC14" i="16"/>
  <c r="AC29" i="16"/>
  <c r="AC36" i="16"/>
  <c r="AC27" i="16"/>
  <c r="AC30" i="16"/>
  <c r="AC18" i="16"/>
  <c r="AC48" i="16"/>
  <c r="AC15" i="16"/>
  <c r="AC10" i="16"/>
  <c r="AC38" i="16"/>
  <c r="AC31" i="16"/>
  <c r="AC43" i="16"/>
  <c r="AC44" i="16"/>
  <c r="AC6" i="16"/>
  <c r="AC33" i="16"/>
  <c r="AC39" i="16"/>
  <c r="AC12" i="16"/>
  <c r="AC13" i="16"/>
  <c r="AC37" i="16"/>
  <c r="AC41" i="16"/>
  <c r="AC26" i="16"/>
  <c r="H8" i="34"/>
  <c r="H10" i="34"/>
  <c r="H6" i="34"/>
  <c r="U8" i="34"/>
  <c r="U10" i="34"/>
  <c r="U6" i="34"/>
  <c r="L8" i="34"/>
  <c r="L10" i="34"/>
  <c r="L6" i="34"/>
  <c r="D8" i="35"/>
  <c r="D6" i="35"/>
  <c r="D10" i="35"/>
  <c r="H8" i="35"/>
  <c r="H6" i="35"/>
  <c r="H10" i="35"/>
  <c r="N48" i="19"/>
  <c r="Z48" i="19"/>
  <c r="Z51" i="17"/>
  <c r="Y51" i="32" s="1"/>
  <c r="Y103" i="32" s="1"/>
  <c r="Z44" i="17"/>
  <c r="Y44" i="32" s="1"/>
  <c r="Y96" i="32" s="1"/>
  <c r="Z32" i="17"/>
  <c r="Y32" i="32" s="1"/>
  <c r="Y84" i="32" s="1"/>
  <c r="Z41" i="17"/>
  <c r="Y41" i="32" s="1"/>
  <c r="Y93" i="32" s="1"/>
  <c r="Z8" i="17"/>
  <c r="Y8" i="32" s="1"/>
  <c r="Y60" i="32" s="1"/>
  <c r="Z26" i="17"/>
  <c r="Y26" i="32" s="1"/>
  <c r="Y78" i="32" s="1"/>
  <c r="Z45" i="17"/>
  <c r="Y45" i="32" s="1"/>
  <c r="Y97" i="32" s="1"/>
  <c r="Z37" i="17"/>
  <c r="Y37" i="32" s="1"/>
  <c r="Y89" i="32" s="1"/>
  <c r="Z24" i="17"/>
  <c r="Y24" i="32" s="1"/>
  <c r="Y76" i="32" s="1"/>
  <c r="Z38" i="17"/>
  <c r="Y38" i="32" s="1"/>
  <c r="Y90" i="32" s="1"/>
  <c r="Z36" i="17"/>
  <c r="Y36" i="32" s="1"/>
  <c r="Y88" i="32" s="1"/>
  <c r="Z18" i="17"/>
  <c r="Y18" i="32" s="1"/>
  <c r="Y70" i="32" s="1"/>
  <c r="Z49" i="17"/>
  <c r="Y49" i="32" s="1"/>
  <c r="Y101" i="32" s="1"/>
  <c r="Z25" i="17"/>
  <c r="Y25" i="32" s="1"/>
  <c r="Y77" i="32" s="1"/>
  <c r="Z16" i="17"/>
  <c r="Y16" i="32" s="1"/>
  <c r="Y68" i="32" s="1"/>
  <c r="Z33" i="17"/>
  <c r="Y33" i="32" s="1"/>
  <c r="Y85" i="32" s="1"/>
  <c r="Z28" i="17"/>
  <c r="Y28" i="32" s="1"/>
  <c r="Y80" i="32" s="1"/>
  <c r="Z11" i="17"/>
  <c r="Y11" i="32" s="1"/>
  <c r="Y63" i="32" s="1"/>
  <c r="Z42" i="17"/>
  <c r="Y42" i="32" s="1"/>
  <c r="Y94" i="32" s="1"/>
  <c r="Z17" i="17"/>
  <c r="Y17" i="32" s="1"/>
  <c r="Y69" i="32" s="1"/>
  <c r="Z35" i="17"/>
  <c r="Y35" i="32" s="1"/>
  <c r="Y87" i="32" s="1"/>
  <c r="Z30" i="17"/>
  <c r="Y30" i="32" s="1"/>
  <c r="Y82" i="32" s="1"/>
  <c r="Z20" i="17"/>
  <c r="Y20" i="32" s="1"/>
  <c r="Y72" i="32" s="1"/>
  <c r="Z7" i="17"/>
  <c r="Y7" i="32" s="1"/>
  <c r="Y59" i="32" s="1"/>
  <c r="Z34" i="17"/>
  <c r="Y34" i="32" s="1"/>
  <c r="Y86" i="32" s="1"/>
  <c r="Z10" i="17"/>
  <c r="Y10" i="32" s="1"/>
  <c r="Y62" i="32" s="1"/>
  <c r="Z31" i="17"/>
  <c r="Y31" i="32" s="1"/>
  <c r="Y83" i="32" s="1"/>
  <c r="Z22" i="17"/>
  <c r="Y22" i="32" s="1"/>
  <c r="Y74" i="32" s="1"/>
  <c r="Z13" i="17"/>
  <c r="Y13" i="32" s="1"/>
  <c r="Y65" i="32" s="1"/>
  <c r="Z12" i="17"/>
  <c r="Y12" i="32" s="1"/>
  <c r="Y64" i="32" s="1"/>
  <c r="Z48" i="17"/>
  <c r="Y48" i="32" s="1"/>
  <c r="Y100" i="32" s="1"/>
  <c r="Z5" i="17"/>
  <c r="Z23" i="17"/>
  <c r="Y23" i="32" s="1"/>
  <c r="Y75" i="32" s="1"/>
  <c r="Z14" i="17"/>
  <c r="Y14" i="32" s="1"/>
  <c r="Y66" i="32" s="1"/>
  <c r="Z50" i="17"/>
  <c r="Y50" i="32" s="1"/>
  <c r="Y102" i="32" s="1"/>
  <c r="Z19" i="17"/>
  <c r="Y19" i="32" s="1"/>
  <c r="Y71" i="32" s="1"/>
  <c r="Z39" i="17"/>
  <c r="Y39" i="32" s="1"/>
  <c r="Y91" i="32" s="1"/>
  <c r="Z47" i="17"/>
  <c r="Y47" i="32" s="1"/>
  <c r="Y99" i="32" s="1"/>
  <c r="Z15" i="17"/>
  <c r="Y15" i="32" s="1"/>
  <c r="Y67" i="32" s="1"/>
  <c r="Z29" i="17"/>
  <c r="Y29" i="32" s="1"/>
  <c r="Y81" i="32" s="1"/>
  <c r="Z40" i="17"/>
  <c r="Y40" i="32" s="1"/>
  <c r="Y92" i="32" s="1"/>
  <c r="Z6" i="17"/>
  <c r="Y6" i="32" s="1"/>
  <c r="Y58" i="32" s="1"/>
  <c r="Z46" i="17"/>
  <c r="Y46" i="32" s="1"/>
  <c r="Y98" i="32" s="1"/>
  <c r="Z43" i="17"/>
  <c r="Y43" i="32" s="1"/>
  <c r="Y95" i="32" s="1"/>
  <c r="Z9" i="17"/>
  <c r="Y9" i="32" s="1"/>
  <c r="Y61" i="32" s="1"/>
  <c r="Z21" i="17"/>
  <c r="Y21" i="32" s="1"/>
  <c r="Y73" i="32" s="1"/>
  <c r="Z27" i="17"/>
  <c r="Y27" i="32" s="1"/>
  <c r="Y79" i="32" s="1"/>
  <c r="U13" i="21"/>
  <c r="S13" i="33" s="1"/>
  <c r="S55" i="33" s="1"/>
  <c r="U13" i="22"/>
  <c r="U39" i="21"/>
  <c r="S39" i="33" s="1"/>
  <c r="S81" i="33" s="1"/>
  <c r="U39" i="22"/>
  <c r="U33" i="21"/>
  <c r="S33" i="33" s="1"/>
  <c r="S75" i="33" s="1"/>
  <c r="U33" i="22"/>
  <c r="U14" i="21"/>
  <c r="S14" i="33" s="1"/>
  <c r="S56" i="33" s="1"/>
  <c r="U14" i="22"/>
  <c r="U10" i="21"/>
  <c r="S10" i="33" s="1"/>
  <c r="S52" i="33" s="1"/>
  <c r="U10" i="22"/>
  <c r="L10" i="20"/>
  <c r="L8" i="20"/>
  <c r="L6" i="20"/>
  <c r="L15" i="20"/>
  <c r="L9" i="20"/>
  <c r="L7" i="20"/>
  <c r="L5" i="20"/>
  <c r="L39" i="20"/>
  <c r="L16" i="20"/>
  <c r="L18" i="20"/>
  <c r="L19" i="20"/>
  <c r="L13" i="20"/>
  <c r="L32" i="20"/>
  <c r="L17" i="20"/>
  <c r="L35" i="20"/>
  <c r="L28" i="20"/>
  <c r="L33" i="20"/>
  <c r="L21" i="20"/>
  <c r="L14" i="20"/>
  <c r="L37" i="20"/>
  <c r="L31" i="20"/>
  <c r="L22" i="20"/>
  <c r="L20" i="20"/>
  <c r="L30" i="20"/>
  <c r="L12" i="20"/>
  <c r="L36" i="20"/>
  <c r="L41" i="20"/>
  <c r="L29" i="20"/>
  <c r="L23" i="20"/>
  <c r="L27" i="20"/>
  <c r="L24" i="20"/>
  <c r="L40" i="20"/>
  <c r="L25" i="20"/>
  <c r="L11" i="20"/>
  <c r="L38" i="20"/>
  <c r="L34" i="20"/>
  <c r="L26" i="20"/>
  <c r="U8" i="21"/>
  <c r="S8" i="33" s="1"/>
  <c r="S50" i="33" s="1"/>
  <c r="U8" i="22"/>
  <c r="U12" i="21"/>
  <c r="S12" i="33" s="1"/>
  <c r="S54" i="33" s="1"/>
  <c r="U12" i="22"/>
  <c r="U18" i="21"/>
  <c r="S18" i="33" s="1"/>
  <c r="S60" i="33" s="1"/>
  <c r="U18" i="22"/>
  <c r="U16" i="21"/>
  <c r="S16" i="33" s="1"/>
  <c r="S58" i="33" s="1"/>
  <c r="U16" i="22"/>
  <c r="U11" i="21"/>
  <c r="S11" i="33" s="1"/>
  <c r="S53" i="33" s="1"/>
  <c r="U11" i="22"/>
  <c r="N58" i="15"/>
  <c r="N56" i="18"/>
  <c r="N56" i="17"/>
  <c r="N56" i="16"/>
  <c r="U35" i="21"/>
  <c r="S35" i="33" s="1"/>
  <c r="S77" i="33" s="1"/>
  <c r="U35" i="22"/>
  <c r="T54" i="18"/>
  <c r="T54" i="17"/>
  <c r="T54" i="16"/>
  <c r="U32" i="21"/>
  <c r="S32" i="33" s="1"/>
  <c r="S74" i="33" s="1"/>
  <c r="U32" i="22"/>
  <c r="U25" i="21"/>
  <c r="S25" i="33" s="1"/>
  <c r="S67" i="33" s="1"/>
  <c r="U25" i="22"/>
  <c r="U21" i="21"/>
  <c r="S21" i="33" s="1"/>
  <c r="S63" i="33" s="1"/>
  <c r="U21" i="22"/>
  <c r="U5" i="21"/>
  <c r="S5" i="33" s="1"/>
  <c r="S47" i="33" s="1"/>
  <c r="U5" i="22"/>
  <c r="U43" i="20"/>
  <c r="U34" i="21"/>
  <c r="S34" i="33" s="1"/>
  <c r="S76" i="33" s="1"/>
  <c r="U34" i="22"/>
  <c r="AB44" i="22"/>
  <c r="AB44" i="21"/>
  <c r="X48" i="21" s="1"/>
  <c r="AB44" i="19"/>
  <c r="AB44" i="20"/>
  <c r="U36" i="21"/>
  <c r="S36" i="33" s="1"/>
  <c r="S78" i="33" s="1"/>
  <c r="U36" i="22"/>
  <c r="U23" i="21"/>
  <c r="S23" i="33" s="1"/>
  <c r="S65" i="33" s="1"/>
  <c r="U23" i="22"/>
  <c r="U19" i="21"/>
  <c r="S19" i="33" s="1"/>
  <c r="S61" i="33" s="1"/>
  <c r="U19" i="22"/>
  <c r="U7" i="21"/>
  <c r="S7" i="33" s="1"/>
  <c r="S49" i="33" s="1"/>
  <c r="U7" i="22"/>
  <c r="U40" i="21"/>
  <c r="S40" i="33" s="1"/>
  <c r="S82" i="33" s="1"/>
  <c r="U40" i="22"/>
  <c r="L46" i="21"/>
  <c r="L46" i="22"/>
  <c r="L46" i="19"/>
  <c r="L46" i="20"/>
  <c r="U27" i="21"/>
  <c r="S27" i="33" s="1"/>
  <c r="S69" i="33" s="1"/>
  <c r="U27" i="22"/>
  <c r="U41" i="21"/>
  <c r="S41" i="33" s="1"/>
  <c r="S83" i="33" s="1"/>
  <c r="U41" i="22"/>
  <c r="U17" i="21"/>
  <c r="S17" i="33" s="1"/>
  <c r="S59" i="33" s="1"/>
  <c r="U17" i="22"/>
  <c r="U31" i="21"/>
  <c r="S31" i="33" s="1"/>
  <c r="S73" i="33" s="1"/>
  <c r="U31" i="22"/>
  <c r="U9" i="21"/>
  <c r="S9" i="33" s="1"/>
  <c r="S51" i="33" s="1"/>
  <c r="U9" i="22"/>
  <c r="U26" i="21"/>
  <c r="S26" i="33" s="1"/>
  <c r="S68" i="33" s="1"/>
  <c r="U26" i="22"/>
  <c r="L45" i="21"/>
  <c r="L45" i="22"/>
  <c r="L45" i="19"/>
  <c r="L45" i="20"/>
  <c r="U29" i="21"/>
  <c r="S29" i="33" s="1"/>
  <c r="S71" i="33" s="1"/>
  <c r="U29" i="22"/>
  <c r="U24" i="21"/>
  <c r="U24" i="22"/>
  <c r="U30" i="21"/>
  <c r="S30" i="33" s="1"/>
  <c r="S72" i="33" s="1"/>
  <c r="U30" i="22"/>
  <c r="U22" i="21"/>
  <c r="S22" i="33" s="1"/>
  <c r="S64" i="33" s="1"/>
  <c r="U22" i="22"/>
  <c r="U15" i="21"/>
  <c r="S15" i="33" s="1"/>
  <c r="S57" i="33" s="1"/>
  <c r="U15" i="22"/>
  <c r="N57" i="15"/>
  <c r="N55" i="18"/>
  <c r="N55" i="17"/>
  <c r="N55" i="16"/>
  <c r="U38" i="21"/>
  <c r="S38" i="33" s="1"/>
  <c r="S80" i="33" s="1"/>
  <c r="U38" i="22"/>
  <c r="U20" i="21"/>
  <c r="U20" i="22"/>
  <c r="U37" i="21"/>
  <c r="U37" i="22"/>
  <c r="U28" i="21"/>
  <c r="U28" i="22"/>
  <c r="U6" i="21"/>
  <c r="S6" i="33" s="1"/>
  <c r="S48" i="33" s="1"/>
  <c r="U6" i="22"/>
  <c r="F35" i="5"/>
  <c r="E35" i="5"/>
  <c r="E10" i="5"/>
  <c r="F10" i="5"/>
  <c r="D47" i="5"/>
  <c r="D29" i="5"/>
  <c r="S37" i="33" l="1"/>
  <c r="S79" i="33" s="1"/>
  <c r="S20" i="33"/>
  <c r="S62" i="33" s="1"/>
  <c r="S28" i="33"/>
  <c r="S70" i="33" s="1"/>
  <c r="S24" i="33"/>
  <c r="S66" i="33" s="1"/>
  <c r="I9" i="35"/>
  <c r="I11" i="35"/>
  <c r="I7" i="35"/>
  <c r="AD39" i="16"/>
  <c r="AC39" i="18"/>
  <c r="AD39" i="18" s="1"/>
  <c r="AD15" i="16"/>
  <c r="AC15" i="18"/>
  <c r="AD15" i="18" s="1"/>
  <c r="AD19" i="16"/>
  <c r="AC19" i="18"/>
  <c r="AD19" i="18" s="1"/>
  <c r="AD28" i="16"/>
  <c r="AC28" i="18"/>
  <c r="AD28" i="18" s="1"/>
  <c r="AD24" i="16"/>
  <c r="AC24" i="18"/>
  <c r="AD24" i="18" s="1"/>
  <c r="AD8" i="16"/>
  <c r="AC8" i="18"/>
  <c r="AD8" i="18" s="1"/>
  <c r="P32" i="18"/>
  <c r="P30" i="18"/>
  <c r="P49" i="18"/>
  <c r="P7" i="18"/>
  <c r="AI38" i="18"/>
  <c r="AI32" i="18"/>
  <c r="AI6" i="18"/>
  <c r="AI25" i="18"/>
  <c r="AI11" i="18"/>
  <c r="AI20" i="18"/>
  <c r="W31" i="18"/>
  <c r="W42" i="18"/>
  <c r="W43" i="18"/>
  <c r="W47" i="18"/>
  <c r="W29" i="18"/>
  <c r="W27" i="18"/>
  <c r="P6" i="21"/>
  <c r="P6" i="33" s="1"/>
  <c r="P48" i="33" s="1"/>
  <c r="P6" i="22"/>
  <c r="P27" i="21"/>
  <c r="P27" i="33" s="1"/>
  <c r="P69" i="33" s="1"/>
  <c r="P27" i="22"/>
  <c r="P30" i="33"/>
  <c r="P72" i="33" s="1"/>
  <c r="P30" i="21"/>
  <c r="P30" i="22"/>
  <c r="P28" i="33"/>
  <c r="P70" i="33" s="1"/>
  <c r="P28" i="21"/>
  <c r="P28" i="22"/>
  <c r="M32" i="16"/>
  <c r="M39" i="16"/>
  <c r="M26" i="16"/>
  <c r="M20" i="16"/>
  <c r="M40" i="16"/>
  <c r="M8" i="16"/>
  <c r="M10" i="16"/>
  <c r="M51" i="16"/>
  <c r="M29" i="16"/>
  <c r="M49" i="16"/>
  <c r="M38" i="16"/>
  <c r="M43" i="16"/>
  <c r="M46" i="16"/>
  <c r="M6" i="16"/>
  <c r="M19" i="16"/>
  <c r="M7" i="16"/>
  <c r="M14" i="16"/>
  <c r="M23" i="16"/>
  <c r="M27" i="16"/>
  <c r="M9" i="16"/>
  <c r="M36" i="16"/>
  <c r="M18" i="16"/>
  <c r="M22" i="16"/>
  <c r="M5" i="16"/>
  <c r="M48" i="16"/>
  <c r="M37" i="16"/>
  <c r="M44" i="16"/>
  <c r="M47" i="16"/>
  <c r="M25" i="16"/>
  <c r="M12" i="16"/>
  <c r="M24" i="16"/>
  <c r="M30" i="16"/>
  <c r="M28" i="16"/>
  <c r="M11" i="16"/>
  <c r="M42" i="16"/>
  <c r="M17" i="16"/>
  <c r="M41" i="16"/>
  <c r="M16" i="16"/>
  <c r="M13" i="16"/>
  <c r="M31" i="16"/>
  <c r="M45" i="16"/>
  <c r="M33" i="16"/>
  <c r="M34" i="16"/>
  <c r="M35" i="16"/>
  <c r="M15" i="16"/>
  <c r="M50" i="16"/>
  <c r="M21" i="16"/>
  <c r="O13" i="18"/>
  <c r="O10" i="18"/>
  <c r="O14" i="18"/>
  <c r="O16" i="18"/>
  <c r="O47" i="18"/>
  <c r="O32" i="18"/>
  <c r="AH19" i="18"/>
  <c r="AH12" i="18"/>
  <c r="AH7" i="18"/>
  <c r="AH31" i="18"/>
  <c r="AH44" i="18"/>
  <c r="AH10" i="18"/>
  <c r="Q14" i="18"/>
  <c r="Q44" i="18"/>
  <c r="Q15" i="18"/>
  <c r="Q8" i="18"/>
  <c r="Q45" i="18"/>
  <c r="Q12" i="18"/>
  <c r="L16" i="18"/>
  <c r="L32" i="18"/>
  <c r="L13" i="18"/>
  <c r="L26" i="18"/>
  <c r="L41" i="18"/>
  <c r="L11" i="18"/>
  <c r="S5" i="20"/>
  <c r="R5" i="21"/>
  <c r="R5" i="22"/>
  <c r="R43" i="20"/>
  <c r="Q37" i="33"/>
  <c r="Q79" i="33" s="1"/>
  <c r="S37" i="20"/>
  <c r="R37" i="21"/>
  <c r="S37" i="21" s="1"/>
  <c r="R37" i="22"/>
  <c r="S37" i="22" s="1"/>
  <c r="S17" i="20"/>
  <c r="R17" i="21"/>
  <c r="S17" i="21" s="1"/>
  <c r="R17" i="22"/>
  <c r="S17" i="22" s="1"/>
  <c r="Q33" i="33"/>
  <c r="Q75" i="33" s="1"/>
  <c r="S33" i="20"/>
  <c r="R33" i="21"/>
  <c r="S33" i="21" s="1"/>
  <c r="R33" i="22"/>
  <c r="S33" i="22" s="1"/>
  <c r="S26" i="20"/>
  <c r="R26" i="21"/>
  <c r="S26" i="21" s="1"/>
  <c r="R26" i="22"/>
  <c r="S26" i="22" s="1"/>
  <c r="R13" i="18"/>
  <c r="R19" i="18"/>
  <c r="R51" i="18"/>
  <c r="X22" i="18"/>
  <c r="X36" i="18"/>
  <c r="X37" i="18"/>
  <c r="X38" i="18"/>
  <c r="X5" i="18"/>
  <c r="X53" i="16"/>
  <c r="X58" i="16" s="1"/>
  <c r="X21" i="18"/>
  <c r="V6" i="20"/>
  <c r="V31" i="20"/>
  <c r="V40" i="20"/>
  <c r="V20" i="20"/>
  <c r="V23" i="20"/>
  <c r="V15" i="20"/>
  <c r="V26" i="20"/>
  <c r="V39" i="20"/>
  <c r="V33" i="20"/>
  <c r="V34" i="20"/>
  <c r="V9" i="20"/>
  <c r="V27" i="20"/>
  <c r="V36" i="20"/>
  <c r="V28" i="20"/>
  <c r="V30" i="20"/>
  <c r="V7" i="20"/>
  <c r="V11" i="20"/>
  <c r="V16" i="20"/>
  <c r="V37" i="20"/>
  <c r="V5" i="20"/>
  <c r="V22" i="20"/>
  <c r="V32" i="20"/>
  <c r="V41" i="20"/>
  <c r="V12" i="20"/>
  <c r="V24" i="20"/>
  <c r="V19" i="20"/>
  <c r="V13" i="20"/>
  <c r="V10" i="20"/>
  <c r="V14" i="20"/>
  <c r="V25" i="20"/>
  <c r="V17" i="20"/>
  <c r="V18" i="20"/>
  <c r="V8" i="20"/>
  <c r="V29" i="20"/>
  <c r="V38" i="20"/>
  <c r="V35" i="20"/>
  <c r="V21" i="20"/>
  <c r="U5" i="18"/>
  <c r="U53" i="16"/>
  <c r="U58" i="16" s="1"/>
  <c r="U12" i="18"/>
  <c r="U17" i="18"/>
  <c r="U10" i="18"/>
  <c r="U44" i="18"/>
  <c r="U33" i="18"/>
  <c r="X6" i="34"/>
  <c r="AD33" i="16"/>
  <c r="AC33" i="18"/>
  <c r="AD33" i="18" s="1"/>
  <c r="AD48" i="16"/>
  <c r="AC48" i="17"/>
  <c r="AD48" i="17" s="1"/>
  <c r="AC48" i="18"/>
  <c r="AD48" i="18" s="1"/>
  <c r="AD23" i="16"/>
  <c r="AC23" i="18"/>
  <c r="AD23" i="18" s="1"/>
  <c r="AD47" i="16"/>
  <c r="AC47" i="18"/>
  <c r="AD47" i="18" s="1"/>
  <c r="AD5" i="16"/>
  <c r="AC5" i="18"/>
  <c r="AC53" i="16"/>
  <c r="AC58" i="16" s="1"/>
  <c r="AC33" i="17" s="1"/>
  <c r="AD40" i="16"/>
  <c r="AC40" i="18"/>
  <c r="AD40" i="18" s="1"/>
  <c r="P31" i="18"/>
  <c r="P12" i="18"/>
  <c r="P50" i="18"/>
  <c r="P17" i="18"/>
  <c r="M34" i="20"/>
  <c r="M15" i="20"/>
  <c r="M14" i="20"/>
  <c r="M27" i="20"/>
  <c r="M17" i="20"/>
  <c r="M18" i="20"/>
  <c r="M35" i="20"/>
  <c r="M31" i="20"/>
  <c r="M29" i="20"/>
  <c r="M22" i="20"/>
  <c r="M25" i="20"/>
  <c r="M30" i="20"/>
  <c r="M7" i="20"/>
  <c r="M20" i="20"/>
  <c r="M5" i="20"/>
  <c r="M11" i="20"/>
  <c r="M32" i="20"/>
  <c r="M33" i="20"/>
  <c r="M16" i="20"/>
  <c r="M10" i="20"/>
  <c r="M37" i="20"/>
  <c r="M28" i="20"/>
  <c r="M39" i="20"/>
  <c r="M38" i="20"/>
  <c r="M8" i="20"/>
  <c r="M36" i="20"/>
  <c r="M24" i="20"/>
  <c r="M21" i="20"/>
  <c r="M6" i="20"/>
  <c r="M13" i="20"/>
  <c r="M40" i="20"/>
  <c r="M26" i="20"/>
  <c r="M23" i="20"/>
  <c r="M41" i="20"/>
  <c r="M9" i="20"/>
  <c r="M12" i="20"/>
  <c r="M19" i="20"/>
  <c r="AI33" i="18"/>
  <c r="AI50" i="18"/>
  <c r="AI51" i="18"/>
  <c r="AI47" i="18"/>
  <c r="AI21" i="18"/>
  <c r="AI30" i="18"/>
  <c r="W15" i="18"/>
  <c r="W39" i="18"/>
  <c r="W5" i="18"/>
  <c r="W53" i="16"/>
  <c r="W58" i="16" s="1"/>
  <c r="W43" i="17" s="1"/>
  <c r="V43" i="32" s="1"/>
  <c r="V95" i="32" s="1"/>
  <c r="V10" i="32"/>
  <c r="V62" i="32" s="1"/>
  <c r="W10" i="17"/>
  <c r="W10" i="18"/>
  <c r="W26" i="18"/>
  <c r="P39" i="21"/>
  <c r="P39" i="33" s="1"/>
  <c r="P81" i="33" s="1"/>
  <c r="P39" i="22"/>
  <c r="P23" i="33"/>
  <c r="P65" i="33" s="1"/>
  <c r="P23" i="21"/>
  <c r="P23" i="22"/>
  <c r="P5" i="21"/>
  <c r="P5" i="22"/>
  <c r="P43" i="20"/>
  <c r="P20" i="33"/>
  <c r="P62" i="33" s="1"/>
  <c r="P20" i="21"/>
  <c r="P20" i="22"/>
  <c r="O18" i="18"/>
  <c r="O30" i="18"/>
  <c r="O34" i="18"/>
  <c r="O33" i="18"/>
  <c r="O38" i="18"/>
  <c r="O9" i="18"/>
  <c r="AH36" i="18"/>
  <c r="AH16" i="18"/>
  <c r="AH22" i="18"/>
  <c r="AH48" i="18"/>
  <c r="AH30" i="18"/>
  <c r="AH18" i="18"/>
  <c r="Q23" i="18"/>
  <c r="Q11" i="18"/>
  <c r="Q24" i="18"/>
  <c r="Q28" i="18"/>
  <c r="Q46" i="18"/>
  <c r="Q10" i="18"/>
  <c r="L28" i="18"/>
  <c r="L9" i="18"/>
  <c r="L22" i="18"/>
  <c r="L30" i="18"/>
  <c r="L19" i="18"/>
  <c r="L15" i="18"/>
  <c r="S11" i="20"/>
  <c r="R11" i="21"/>
  <c r="S11" i="21" s="1"/>
  <c r="R11" i="22"/>
  <c r="S11" i="22" s="1"/>
  <c r="S40" i="20"/>
  <c r="R40" i="21"/>
  <c r="S40" i="21" s="1"/>
  <c r="R40" i="22"/>
  <c r="S40" i="22" s="1"/>
  <c r="R31" i="22"/>
  <c r="S31" i="22" s="1"/>
  <c r="S31" i="20"/>
  <c r="R31" i="21"/>
  <c r="S31" i="21" s="1"/>
  <c r="R10" i="21"/>
  <c r="S10" i="21" s="1"/>
  <c r="R10" i="22"/>
  <c r="S10" i="22" s="1"/>
  <c r="S10" i="20"/>
  <c r="R36" i="21"/>
  <c r="S36" i="21" s="1"/>
  <c r="R36" i="22"/>
  <c r="S36" i="22" s="1"/>
  <c r="S36" i="20"/>
  <c r="R36" i="18"/>
  <c r="R17" i="18"/>
  <c r="R25" i="18"/>
  <c r="R47" i="18"/>
  <c r="X19" i="18"/>
  <c r="X33" i="18"/>
  <c r="X34" i="18"/>
  <c r="X35" i="18"/>
  <c r="X20" i="18"/>
  <c r="W18" i="32"/>
  <c r="W70" i="32" s="1"/>
  <c r="X18" i="17"/>
  <c r="X18" i="18"/>
  <c r="S53" i="16"/>
  <c r="M6" i="35"/>
  <c r="U15" i="18"/>
  <c r="U45" i="18"/>
  <c r="U49" i="18"/>
  <c r="U21" i="18"/>
  <c r="U7" i="18"/>
  <c r="U30" i="18"/>
  <c r="X8" i="34"/>
  <c r="Y5" i="32"/>
  <c r="Y57" i="32" s="1"/>
  <c r="Z53" i="17"/>
  <c r="Z7" i="20"/>
  <c r="Z32" i="20"/>
  <c r="Z14" i="20"/>
  <c r="Z19" i="20"/>
  <c r="Z11" i="20"/>
  <c r="Z5" i="20"/>
  <c r="Z31" i="20"/>
  <c r="Z28" i="20"/>
  <c r="Z12" i="20"/>
  <c r="Z38" i="20"/>
  <c r="Z10" i="20"/>
  <c r="Z25" i="20"/>
  <c r="Z34" i="20"/>
  <c r="Z27" i="20"/>
  <c r="Z37" i="20"/>
  <c r="Z8" i="20"/>
  <c r="Z20" i="20"/>
  <c r="Z23" i="20"/>
  <c r="Z29" i="20"/>
  <c r="Z30" i="20"/>
  <c r="Z6" i="20"/>
  <c r="Z21" i="20"/>
  <c r="Z17" i="20"/>
  <c r="Z22" i="20"/>
  <c r="Z15" i="20"/>
  <c r="Z13" i="20"/>
  <c r="Z36" i="20"/>
  <c r="Z39" i="20"/>
  <c r="Z16" i="20"/>
  <c r="Z41" i="20"/>
  <c r="Z33" i="20"/>
  <c r="Z35" i="20"/>
  <c r="Z9" i="20"/>
  <c r="Z18" i="20"/>
  <c r="Z40" i="20"/>
  <c r="Z26" i="20"/>
  <c r="Z24" i="20"/>
  <c r="AD6" i="16"/>
  <c r="AC6" i="18"/>
  <c r="AD6" i="18" s="1"/>
  <c r="AD18" i="16"/>
  <c r="AC18" i="17"/>
  <c r="AD18" i="17" s="1"/>
  <c r="AC18" i="18"/>
  <c r="AD18" i="18" s="1"/>
  <c r="AC32" i="18"/>
  <c r="AD32" i="18" s="1"/>
  <c r="AD32" i="16"/>
  <c r="AC34" i="18"/>
  <c r="AD34" i="18" s="1"/>
  <c r="AD34" i="16"/>
  <c r="AD11" i="16"/>
  <c r="AC11" i="18"/>
  <c r="AD11" i="18" s="1"/>
  <c r="P46" i="18"/>
  <c r="P34" i="18"/>
  <c r="P19" i="18"/>
  <c r="P47" i="18"/>
  <c r="P35" i="18"/>
  <c r="P20" i="18"/>
  <c r="T36" i="20"/>
  <c r="T24" i="20"/>
  <c r="T26" i="20"/>
  <c r="T31" i="20"/>
  <c r="T10" i="20"/>
  <c r="T25" i="20"/>
  <c r="T35" i="20"/>
  <c r="T30" i="20"/>
  <c r="T32" i="20"/>
  <c r="T8" i="20"/>
  <c r="T19" i="20"/>
  <c r="T38" i="20"/>
  <c r="T39" i="20"/>
  <c r="T14" i="20"/>
  <c r="T6" i="20"/>
  <c r="T13" i="20"/>
  <c r="T34" i="20"/>
  <c r="T17" i="20"/>
  <c r="T20" i="20"/>
  <c r="T15" i="20"/>
  <c r="T18" i="20"/>
  <c r="T28" i="20"/>
  <c r="T33" i="20"/>
  <c r="T12" i="20"/>
  <c r="T9" i="20"/>
  <c r="T11" i="20"/>
  <c r="T37" i="20"/>
  <c r="T27" i="20"/>
  <c r="T16" i="20"/>
  <c r="T7" i="20"/>
  <c r="T21" i="20"/>
  <c r="T40" i="20"/>
  <c r="T41" i="20"/>
  <c r="T5" i="20"/>
  <c r="T23" i="20"/>
  <c r="T22" i="20"/>
  <c r="T29" i="20"/>
  <c r="AI13" i="18"/>
  <c r="AI22" i="18"/>
  <c r="AI41" i="18"/>
  <c r="AI23" i="18"/>
  <c r="AI35" i="18"/>
  <c r="V22" i="32"/>
  <c r="V74" i="32" s="1"/>
  <c r="W22" i="17"/>
  <c r="W22" i="18"/>
  <c r="W35" i="18"/>
  <c r="W44" i="18"/>
  <c r="W38" i="18"/>
  <c r="W28" i="18"/>
  <c r="W23" i="18"/>
  <c r="W23" i="17"/>
  <c r="V23" i="32" s="1"/>
  <c r="V75" i="32" s="1"/>
  <c r="P26" i="21"/>
  <c r="P26" i="33" s="1"/>
  <c r="P68" i="33" s="1"/>
  <c r="P26" i="22"/>
  <c r="P12" i="21"/>
  <c r="P12" i="33" s="1"/>
  <c r="P54" i="33" s="1"/>
  <c r="P12" i="22"/>
  <c r="P41" i="33"/>
  <c r="P83" i="33" s="1"/>
  <c r="P41" i="21"/>
  <c r="P41" i="22"/>
  <c r="P32" i="33"/>
  <c r="P74" i="33" s="1"/>
  <c r="P32" i="22"/>
  <c r="P32" i="21"/>
  <c r="O7" i="18"/>
  <c r="O19" i="18"/>
  <c r="O6" i="18"/>
  <c r="O23" i="18"/>
  <c r="O49" i="18"/>
  <c r="O25" i="18"/>
  <c r="AH8" i="18"/>
  <c r="AH40" i="18"/>
  <c r="AH51" i="18"/>
  <c r="AH46" i="18"/>
  <c r="AH6" i="18"/>
  <c r="O10" i="20"/>
  <c r="O25" i="20"/>
  <c r="O22" i="20"/>
  <c r="O16" i="20"/>
  <c r="O12" i="20"/>
  <c r="O8" i="20"/>
  <c r="O18" i="20"/>
  <c r="O14" i="20"/>
  <c r="O32" i="20"/>
  <c r="O28" i="20"/>
  <c r="O6" i="20"/>
  <c r="O34" i="20"/>
  <c r="O33" i="20"/>
  <c r="O11" i="20"/>
  <c r="O15" i="20"/>
  <c r="O20" i="20"/>
  <c r="O30" i="20"/>
  <c r="O40" i="20"/>
  <c r="O19" i="20"/>
  <c r="O38" i="20"/>
  <c r="O23" i="20"/>
  <c r="O27" i="20"/>
  <c r="O9" i="20"/>
  <c r="O29" i="20"/>
  <c r="O31" i="20"/>
  <c r="O41" i="20"/>
  <c r="O37" i="20"/>
  <c r="O7" i="20"/>
  <c r="O13" i="20"/>
  <c r="O36" i="20"/>
  <c r="O35" i="20"/>
  <c r="O17" i="20"/>
  <c r="O5" i="20"/>
  <c r="O24" i="20"/>
  <c r="O21" i="20"/>
  <c r="O39" i="20"/>
  <c r="O26" i="20"/>
  <c r="Q26" i="18"/>
  <c r="Q16" i="18"/>
  <c r="Q30" i="18"/>
  <c r="Q20" i="18"/>
  <c r="Q41" i="18"/>
  <c r="Q13" i="18"/>
  <c r="L18" i="18"/>
  <c r="L29" i="18"/>
  <c r="L39" i="18"/>
  <c r="L35" i="18"/>
  <c r="L51" i="18"/>
  <c r="L24" i="18"/>
  <c r="S13" i="20"/>
  <c r="R13" i="21"/>
  <c r="S13" i="21" s="1"/>
  <c r="R13" i="22"/>
  <c r="S13" i="22" s="1"/>
  <c r="Q25" i="33"/>
  <c r="Q67" i="33" s="1"/>
  <c r="R25" i="22"/>
  <c r="S25" i="22" s="1"/>
  <c r="S25" i="20"/>
  <c r="R25" i="21"/>
  <c r="S25" i="21" s="1"/>
  <c r="S20" i="20"/>
  <c r="R20" i="21"/>
  <c r="S20" i="21" s="1"/>
  <c r="R20" i="22"/>
  <c r="S20" i="22" s="1"/>
  <c r="Q14" i="33"/>
  <c r="Q56" i="33" s="1"/>
  <c r="R14" i="21"/>
  <c r="S14" i="21" s="1"/>
  <c r="R14" i="22"/>
  <c r="S14" i="22" s="1"/>
  <c r="S14" i="20"/>
  <c r="S29" i="20"/>
  <c r="R29" i="21"/>
  <c r="S29" i="21" s="1"/>
  <c r="R29" i="22"/>
  <c r="S29" i="22" s="1"/>
  <c r="R6" i="18"/>
  <c r="R7" i="18"/>
  <c r="R44" i="18"/>
  <c r="R32" i="18"/>
  <c r="R38" i="18"/>
  <c r="R10" i="18"/>
  <c r="X29" i="18"/>
  <c r="X30" i="18"/>
  <c r="X31" i="18"/>
  <c r="X12" i="18"/>
  <c r="X17" i="18"/>
  <c r="X50" i="17"/>
  <c r="W50" i="32" s="1"/>
  <c r="W102" i="32" s="1"/>
  <c r="X50" i="18"/>
  <c r="M10" i="35"/>
  <c r="U37" i="18"/>
  <c r="U42" i="18"/>
  <c r="U46" i="18"/>
  <c r="U18" i="18"/>
  <c r="U29" i="18"/>
  <c r="U27" i="18"/>
  <c r="Q22" i="20"/>
  <c r="N15" i="20"/>
  <c r="N35" i="20"/>
  <c r="N18" i="20"/>
  <c r="N28" i="20"/>
  <c r="N20" i="20"/>
  <c r="N13" i="20"/>
  <c r="N34" i="20"/>
  <c r="N29" i="20"/>
  <c r="N9" i="20"/>
  <c r="N21" i="20"/>
  <c r="N41" i="20"/>
  <c r="N19" i="20"/>
  <c r="N40" i="20"/>
  <c r="N7" i="20"/>
  <c r="N38" i="20"/>
  <c r="N11" i="20"/>
  <c r="N17" i="20"/>
  <c r="N23" i="20"/>
  <c r="N5" i="20"/>
  <c r="N31" i="20"/>
  <c r="N12" i="20"/>
  <c r="N27" i="20"/>
  <c r="N36" i="20"/>
  <c r="N10" i="20"/>
  <c r="N26" i="20"/>
  <c r="N22" i="20"/>
  <c r="N14" i="20"/>
  <c r="N24" i="20"/>
  <c r="N8" i="20"/>
  <c r="N37" i="20"/>
  <c r="N39" i="20"/>
  <c r="N16" i="20"/>
  <c r="N33" i="20"/>
  <c r="N6" i="20"/>
  <c r="N25" i="20"/>
  <c r="N30" i="20"/>
  <c r="N32" i="20"/>
  <c r="AA26" i="32"/>
  <c r="AA78" i="32" s="1"/>
  <c r="AD26" i="16"/>
  <c r="AC26" i="17"/>
  <c r="AD26" i="17" s="1"/>
  <c r="AC26" i="18"/>
  <c r="AD26" i="18" s="1"/>
  <c r="AD44" i="16"/>
  <c r="AC44" i="17"/>
  <c r="AD44" i="17" s="1"/>
  <c r="AC44" i="18"/>
  <c r="AD44" i="18" s="1"/>
  <c r="AA30" i="32"/>
  <c r="AA82" i="32" s="1"/>
  <c r="AD30" i="16"/>
  <c r="AC30" i="17"/>
  <c r="AD30" i="17" s="1"/>
  <c r="AC30" i="18"/>
  <c r="AD30" i="18" s="1"/>
  <c r="AD22" i="16"/>
  <c r="AC22" i="18"/>
  <c r="AD22" i="18" s="1"/>
  <c r="AD49" i="16"/>
  <c r="AC49" i="18"/>
  <c r="AD49" i="18" s="1"/>
  <c r="AD25" i="16"/>
  <c r="AC25" i="18"/>
  <c r="AD25" i="18" s="1"/>
  <c r="P42" i="18"/>
  <c r="P8" i="18"/>
  <c r="P25" i="18"/>
  <c r="P37" i="18"/>
  <c r="P13" i="18"/>
  <c r="AI36" i="18"/>
  <c r="AI17" i="18"/>
  <c r="AI39" i="18"/>
  <c r="AE26" i="32"/>
  <c r="AE78" i="32" s="1"/>
  <c r="AI26" i="17"/>
  <c r="AI26" i="18"/>
  <c r="AI8" i="18"/>
  <c r="AI5" i="18"/>
  <c r="AI53" i="16"/>
  <c r="AI58" i="16" s="1"/>
  <c r="AI6" i="17" s="1"/>
  <c r="AE6" i="32" s="1"/>
  <c r="AE58" i="32" s="1"/>
  <c r="W12" i="18"/>
  <c r="W41" i="18"/>
  <c r="V13" i="32"/>
  <c r="V65" i="32" s="1"/>
  <c r="W13" i="17"/>
  <c r="W13" i="18"/>
  <c r="W6" i="18"/>
  <c r="W6" i="17"/>
  <c r="V6" i="32" s="1"/>
  <c r="V58" i="32" s="1"/>
  <c r="W25" i="17"/>
  <c r="V25" i="32" s="1"/>
  <c r="V77" i="32" s="1"/>
  <c r="W25" i="18"/>
  <c r="W8" i="17"/>
  <c r="V8" i="32" s="1"/>
  <c r="V60" i="32" s="1"/>
  <c r="W8" i="18"/>
  <c r="P25" i="33"/>
  <c r="P67" i="33" s="1"/>
  <c r="P25" i="21"/>
  <c r="P25" i="22"/>
  <c r="P36" i="33"/>
  <c r="P78" i="33" s="1"/>
  <c r="P36" i="22"/>
  <c r="P36" i="21"/>
  <c r="P10" i="21"/>
  <c r="P10" i="22"/>
  <c r="P10" i="33" s="1"/>
  <c r="P52" i="33" s="1"/>
  <c r="P16" i="21"/>
  <c r="P16" i="33" s="1"/>
  <c r="P58" i="33" s="1"/>
  <c r="P16" i="22"/>
  <c r="P9" i="33"/>
  <c r="P51" i="33" s="1"/>
  <c r="P9" i="22"/>
  <c r="P9" i="21"/>
  <c r="O46" i="18"/>
  <c r="O27" i="18"/>
  <c r="O43" i="18"/>
  <c r="O31" i="18"/>
  <c r="O5" i="18"/>
  <c r="O53" i="16"/>
  <c r="O58" i="16" s="1"/>
  <c r="O25" i="17" s="1"/>
  <c r="O25" i="32" s="1"/>
  <c r="O77" i="32" s="1"/>
  <c r="AH45" i="18"/>
  <c r="AH15" i="18"/>
  <c r="AH26" i="18"/>
  <c r="AH34" i="18"/>
  <c r="AH47" i="18"/>
  <c r="AH25" i="18"/>
  <c r="Q51" i="18"/>
  <c r="Q7" i="18"/>
  <c r="Q27" i="18"/>
  <c r="Q32" i="18"/>
  <c r="Q6" i="18"/>
  <c r="Q22" i="18"/>
  <c r="L21" i="18"/>
  <c r="L5" i="18"/>
  <c r="L53" i="16"/>
  <c r="L58" i="16" s="1"/>
  <c r="L48" i="18"/>
  <c r="L20" i="18"/>
  <c r="L14" i="18"/>
  <c r="S28" i="20"/>
  <c r="R28" i="21"/>
  <c r="S28" i="21" s="1"/>
  <c r="R28" i="22"/>
  <c r="S28" i="22" s="1"/>
  <c r="S12" i="20"/>
  <c r="R12" i="21"/>
  <c r="S12" i="21" s="1"/>
  <c r="R12" i="22"/>
  <c r="S12" i="22" s="1"/>
  <c r="R8" i="21"/>
  <c r="S8" i="21" s="1"/>
  <c r="R8" i="22"/>
  <c r="S8" i="22" s="1"/>
  <c r="S8" i="20"/>
  <c r="S32" i="20"/>
  <c r="R32" i="21"/>
  <c r="S32" i="21" s="1"/>
  <c r="R32" i="22"/>
  <c r="S32" i="22" s="1"/>
  <c r="S7" i="20"/>
  <c r="R7" i="21"/>
  <c r="S7" i="21" s="1"/>
  <c r="R7" i="22"/>
  <c r="S7" i="22" s="1"/>
  <c r="R37" i="18"/>
  <c r="R18" i="18"/>
  <c r="R9" i="18"/>
  <c r="X7" i="18"/>
  <c r="X27" i="18"/>
  <c r="X6" i="18"/>
  <c r="X16" i="18"/>
  <c r="X49" i="18"/>
  <c r="X47" i="18"/>
  <c r="X47" i="17"/>
  <c r="W47" i="32" s="1"/>
  <c r="W99" i="32" s="1"/>
  <c r="M8" i="35"/>
  <c r="U34" i="18"/>
  <c r="U39" i="18"/>
  <c r="U43" i="18"/>
  <c r="U50" i="18"/>
  <c r="U26" i="18"/>
  <c r="U20" i="18"/>
  <c r="Z5" i="32"/>
  <c r="Z57" i="32" s="1"/>
  <c r="AA53" i="17"/>
  <c r="AC41" i="18"/>
  <c r="AD41" i="18" s="1"/>
  <c r="AD41" i="16"/>
  <c r="AD43" i="16"/>
  <c r="AC43" i="17"/>
  <c r="AD43" i="17" s="1"/>
  <c r="AC43" i="18"/>
  <c r="AD43" i="18" s="1"/>
  <c r="AD27" i="16"/>
  <c r="AC27" i="17"/>
  <c r="AD27" i="17" s="1"/>
  <c r="AC27" i="18"/>
  <c r="AD27" i="18" s="1"/>
  <c r="AD51" i="16"/>
  <c r="AC51" i="18"/>
  <c r="AD51" i="18" s="1"/>
  <c r="AD7" i="16"/>
  <c r="AC7" i="18"/>
  <c r="AD7" i="18" s="1"/>
  <c r="AD42" i="16"/>
  <c r="AC42" i="18"/>
  <c r="AD42" i="18" s="1"/>
  <c r="P51" i="18"/>
  <c r="P14" i="18"/>
  <c r="P38" i="18"/>
  <c r="P43" i="18"/>
  <c r="P16" i="18"/>
  <c r="P36" i="18"/>
  <c r="AI28" i="18"/>
  <c r="AI43" i="18"/>
  <c r="AI10" i="18"/>
  <c r="AI14" i="18"/>
  <c r="AI7" i="18"/>
  <c r="AI31" i="18"/>
  <c r="W11" i="18"/>
  <c r="W9" i="17"/>
  <c r="V9" i="32" s="1"/>
  <c r="V61" i="32" s="1"/>
  <c r="W9" i="18"/>
  <c r="V20" i="32"/>
  <c r="V72" i="32" s="1"/>
  <c r="W20" i="17"/>
  <c r="W20" i="18"/>
  <c r="W24" i="17"/>
  <c r="V24" i="32" s="1"/>
  <c r="V76" i="32" s="1"/>
  <c r="W24" i="18"/>
  <c r="W19" i="17"/>
  <c r="V19" i="32" s="1"/>
  <c r="V71" i="32" s="1"/>
  <c r="W19" i="18"/>
  <c r="W7" i="17"/>
  <c r="V7" i="32" s="1"/>
  <c r="V59" i="32" s="1"/>
  <c r="W7" i="18"/>
  <c r="P29" i="33"/>
  <c r="P71" i="33" s="1"/>
  <c r="P29" i="21"/>
  <c r="P29" i="22"/>
  <c r="P11" i="33"/>
  <c r="P53" i="33" s="1"/>
  <c r="P11" i="21"/>
  <c r="P11" i="22"/>
  <c r="P40" i="21"/>
  <c r="P40" i="22"/>
  <c r="P40" i="33" s="1"/>
  <c r="P82" i="33" s="1"/>
  <c r="P24" i="21"/>
  <c r="P24" i="33" s="1"/>
  <c r="P66" i="33" s="1"/>
  <c r="P24" i="22"/>
  <c r="P35" i="33"/>
  <c r="P77" i="33" s="1"/>
  <c r="P35" i="22"/>
  <c r="P35" i="21"/>
  <c r="O51" i="18"/>
  <c r="O28" i="18"/>
  <c r="O42" i="18"/>
  <c r="O41" i="18"/>
  <c r="O39" i="18"/>
  <c r="O17" i="18"/>
  <c r="AH32" i="18"/>
  <c r="AH20" i="18"/>
  <c r="AH23" i="18"/>
  <c r="AH41" i="18"/>
  <c r="AH5" i="18"/>
  <c r="AH53" i="16"/>
  <c r="AH58" i="16" s="1"/>
  <c r="AH33" i="18"/>
  <c r="Q31" i="18"/>
  <c r="Q47" i="18"/>
  <c r="Q38" i="18"/>
  <c r="Q50" i="18"/>
  <c r="Q9" i="18"/>
  <c r="L34" i="18"/>
  <c r="L43" i="18"/>
  <c r="L36" i="18"/>
  <c r="L37" i="18"/>
  <c r="L49" i="18"/>
  <c r="L27" i="18"/>
  <c r="R19" i="22"/>
  <c r="S19" i="22" s="1"/>
  <c r="S19" i="20"/>
  <c r="R19" i="21"/>
  <c r="S19" i="21" s="1"/>
  <c r="S6" i="20"/>
  <c r="R6" i="21"/>
  <c r="S6" i="21" s="1"/>
  <c r="R6" i="22"/>
  <c r="S6" i="22" s="1"/>
  <c r="S16" i="20"/>
  <c r="R16" i="21"/>
  <c r="S16" i="21" s="1"/>
  <c r="R16" i="22"/>
  <c r="S16" i="22" s="1"/>
  <c r="S22" i="20"/>
  <c r="R22" i="21"/>
  <c r="S22" i="21" s="1"/>
  <c r="R22" i="22"/>
  <c r="S22" i="22" s="1"/>
  <c r="R41" i="18"/>
  <c r="R43" i="18"/>
  <c r="R45" i="18"/>
  <c r="R42" i="18"/>
  <c r="R12" i="18"/>
  <c r="R20" i="18"/>
  <c r="X32" i="18"/>
  <c r="X26" i="18"/>
  <c r="X8" i="18"/>
  <c r="X48" i="18"/>
  <c r="X46" i="18"/>
  <c r="U31" i="18"/>
  <c r="U32" i="18"/>
  <c r="U36" i="18"/>
  <c r="U47" i="18"/>
  <c r="U23" i="18"/>
  <c r="V54" i="17"/>
  <c r="V58" i="17" s="1"/>
  <c r="V54" i="18"/>
  <c r="V54" i="16"/>
  <c r="AD37" i="16"/>
  <c r="AC37" i="17"/>
  <c r="AD37" i="17" s="1"/>
  <c r="AC37" i="18"/>
  <c r="AD37" i="18" s="1"/>
  <c r="AA31" i="32"/>
  <c r="AA83" i="32" s="1"/>
  <c r="AD31" i="16"/>
  <c r="AC31" i="17"/>
  <c r="AD31" i="17" s="1"/>
  <c r="AC31" i="18"/>
  <c r="AD31" i="18" s="1"/>
  <c r="AD36" i="16"/>
  <c r="AC36" i="18"/>
  <c r="AD36" i="18" s="1"/>
  <c r="AD21" i="16"/>
  <c r="AC21" i="18"/>
  <c r="AD21" i="18" s="1"/>
  <c r="AD20" i="16"/>
  <c r="AC20" i="18"/>
  <c r="AD20" i="18" s="1"/>
  <c r="AD50" i="16"/>
  <c r="AC50" i="18"/>
  <c r="AD50" i="18" s="1"/>
  <c r="P15" i="18"/>
  <c r="P33" i="18"/>
  <c r="P9" i="18"/>
  <c r="P39" i="18"/>
  <c r="AI16" i="18"/>
  <c r="AI49" i="18"/>
  <c r="AI18" i="17"/>
  <c r="AE18" i="32" s="1"/>
  <c r="AE70" i="32" s="1"/>
  <c r="AI18" i="18"/>
  <c r="AI15" i="18"/>
  <c r="AI19" i="18"/>
  <c r="AI40" i="18"/>
  <c r="W40" i="17"/>
  <c r="V40" i="32" s="1"/>
  <c r="V92" i="32" s="1"/>
  <c r="W40" i="18"/>
  <c r="W16" i="17"/>
  <c r="V16" i="32" s="1"/>
  <c r="V68" i="32" s="1"/>
  <c r="W16" i="18"/>
  <c r="V17" i="32"/>
  <c r="V69" i="32" s="1"/>
  <c r="W17" i="17"/>
  <c r="W17" i="18"/>
  <c r="V21" i="32"/>
  <c r="V73" i="32" s="1"/>
  <c r="W21" i="17"/>
  <c r="W21" i="18"/>
  <c r="W51" i="17"/>
  <c r="W51" i="18"/>
  <c r="V51" i="32" s="1"/>
  <c r="V103" i="32" s="1"/>
  <c r="W36" i="17"/>
  <c r="V36" i="32" s="1"/>
  <c r="V88" i="32" s="1"/>
  <c r="W36" i="18"/>
  <c r="P18" i="33"/>
  <c r="P60" i="33" s="1"/>
  <c r="P18" i="21"/>
  <c r="P18" i="22"/>
  <c r="P14" i="21"/>
  <c r="P14" i="33" s="1"/>
  <c r="P56" i="33" s="1"/>
  <c r="P14" i="22"/>
  <c r="P22" i="21"/>
  <c r="P22" i="33" s="1"/>
  <c r="P64" i="33" s="1"/>
  <c r="P22" i="22"/>
  <c r="P33" i="22"/>
  <c r="P33" i="21"/>
  <c r="P33" i="33" s="1"/>
  <c r="P75" i="33" s="1"/>
  <c r="P31" i="33"/>
  <c r="P73" i="33" s="1"/>
  <c r="P31" i="21"/>
  <c r="P31" i="22"/>
  <c r="O24" i="18"/>
  <c r="O45" i="18"/>
  <c r="O35" i="18"/>
  <c r="O48" i="18"/>
  <c r="O8" i="18"/>
  <c r="O22" i="17"/>
  <c r="O22" i="32" s="1"/>
  <c r="O74" i="32" s="1"/>
  <c r="O22" i="18"/>
  <c r="AH38" i="18"/>
  <c r="AH50" i="18"/>
  <c r="AH43" i="18"/>
  <c r="AH24" i="18"/>
  <c r="AH17" i="18"/>
  <c r="AH21" i="18"/>
  <c r="Q48" i="18"/>
  <c r="Q40" i="18"/>
  <c r="Q34" i="17"/>
  <c r="Q34" i="32" s="1"/>
  <c r="Q86" i="32" s="1"/>
  <c r="Q34" i="18"/>
  <c r="Q17" i="18"/>
  <c r="Q33" i="18"/>
  <c r="Q29" i="17"/>
  <c r="Q29" i="32" s="1"/>
  <c r="Q81" i="32" s="1"/>
  <c r="Q29" i="18"/>
  <c r="L44" i="18"/>
  <c r="L47" i="18"/>
  <c r="L46" i="18"/>
  <c r="L38" i="18"/>
  <c r="L10" i="18"/>
  <c r="L50" i="18"/>
  <c r="S9" i="20"/>
  <c r="R9" i="21"/>
  <c r="S9" i="21" s="1"/>
  <c r="R9" i="22"/>
  <c r="S9" i="22" s="1"/>
  <c r="S38" i="20"/>
  <c r="R38" i="21"/>
  <c r="S38" i="21" s="1"/>
  <c r="R38" i="22"/>
  <c r="S38" i="22" s="1"/>
  <c r="R34" i="21"/>
  <c r="S34" i="21" s="1"/>
  <c r="S34" i="20"/>
  <c r="R34" i="22"/>
  <c r="S34" i="22" s="1"/>
  <c r="S39" i="20"/>
  <c r="R39" i="21"/>
  <c r="S39" i="21" s="1"/>
  <c r="R39" i="22"/>
  <c r="S39" i="22" s="1"/>
  <c r="R46" i="18"/>
  <c r="R35" i="18"/>
  <c r="R50" i="18"/>
  <c r="R33" i="18"/>
  <c r="R31" i="18"/>
  <c r="X13" i="18"/>
  <c r="X23" i="18"/>
  <c r="X15" i="18"/>
  <c r="X51" i="18"/>
  <c r="X45" i="18"/>
  <c r="X43" i="18"/>
  <c r="U14" i="18"/>
  <c r="U24" i="18"/>
  <c r="U8" i="18"/>
  <c r="U9" i="18"/>
  <c r="U40" i="18"/>
  <c r="U16" i="18"/>
  <c r="Y60" i="15"/>
  <c r="Y54" i="17"/>
  <c r="Y58" i="17" s="1"/>
  <c r="Y54" i="18"/>
  <c r="Y54" i="16"/>
  <c r="AD13" i="16"/>
  <c r="AC13" i="18"/>
  <c r="AD13" i="18" s="1"/>
  <c r="AD38" i="16"/>
  <c r="AC38" i="17"/>
  <c r="AD38" i="17" s="1"/>
  <c r="AC38" i="18"/>
  <c r="AD38" i="18" s="1"/>
  <c r="AD29" i="16"/>
  <c r="AC29" i="18"/>
  <c r="AD29" i="18" s="1"/>
  <c r="AC17" i="18"/>
  <c r="AD17" i="18" s="1"/>
  <c r="AD17" i="16"/>
  <c r="AD45" i="16"/>
  <c r="AC45" i="18"/>
  <c r="AD45" i="18" s="1"/>
  <c r="AD46" i="16"/>
  <c r="AC46" i="18"/>
  <c r="AD46" i="18" s="1"/>
  <c r="P10" i="18"/>
  <c r="P41" i="18"/>
  <c r="P44" i="18"/>
  <c r="P45" i="18"/>
  <c r="P11" i="18"/>
  <c r="AI37" i="18"/>
  <c r="AI37" i="17"/>
  <c r="AE37" i="32" s="1"/>
  <c r="AE89" i="32" s="1"/>
  <c r="AI24" i="18"/>
  <c r="AI46" i="18"/>
  <c r="AI27" i="18"/>
  <c r="AI12" i="18"/>
  <c r="AI42" i="18"/>
  <c r="W37" i="18"/>
  <c r="W48" i="18"/>
  <c r="W48" i="17"/>
  <c r="V48" i="32" s="1"/>
  <c r="V100" i="32" s="1"/>
  <c r="W49" i="18"/>
  <c r="W49" i="17"/>
  <c r="V49" i="32" s="1"/>
  <c r="V101" i="32" s="1"/>
  <c r="V18" i="32"/>
  <c r="V70" i="32" s="1"/>
  <c r="W18" i="17"/>
  <c r="W18" i="18"/>
  <c r="W14" i="18"/>
  <c r="W14" i="17"/>
  <c r="V14" i="32" s="1"/>
  <c r="V66" i="32" s="1"/>
  <c r="W33" i="17"/>
  <c r="V33" i="32" s="1"/>
  <c r="V85" i="32" s="1"/>
  <c r="W33" i="18"/>
  <c r="P15" i="22"/>
  <c r="P15" i="21"/>
  <c r="P15" i="33" s="1"/>
  <c r="P57" i="33" s="1"/>
  <c r="P8" i="33"/>
  <c r="P50" i="33" s="1"/>
  <c r="P8" i="21"/>
  <c r="P8" i="22"/>
  <c r="P17" i="33"/>
  <c r="P59" i="33" s="1"/>
  <c r="P17" i="21"/>
  <c r="P17" i="22"/>
  <c r="P7" i="21"/>
  <c r="P7" i="22"/>
  <c r="P7" i="33" s="1"/>
  <c r="P49" i="33" s="1"/>
  <c r="P19" i="21"/>
  <c r="P19" i="33" s="1"/>
  <c r="P61" i="33" s="1"/>
  <c r="P19" i="22"/>
  <c r="O40" i="18"/>
  <c r="O29" i="18"/>
  <c r="O36" i="18"/>
  <c r="O50" i="18"/>
  <c r="O20" i="18"/>
  <c r="O26" i="17"/>
  <c r="O26" i="18"/>
  <c r="O26" i="32" s="1"/>
  <c r="O78" i="32" s="1"/>
  <c r="AH28" i="18"/>
  <c r="AH37" i="18"/>
  <c r="AH42" i="18"/>
  <c r="AH13" i="18"/>
  <c r="AH49" i="18"/>
  <c r="AH35" i="18"/>
  <c r="Q18" i="18"/>
  <c r="Q36" i="18"/>
  <c r="Q49" i="32"/>
  <c r="Q101" i="32" s="1"/>
  <c r="Q49" i="17"/>
  <c r="Q49" i="18"/>
  <c r="Q43" i="18"/>
  <c r="Q5" i="18"/>
  <c r="Q53" i="16"/>
  <c r="Q58" i="16" s="1"/>
  <c r="Q14" i="17" s="1"/>
  <c r="Q14" i="32" s="1"/>
  <c r="Q66" i="32" s="1"/>
  <c r="Q25" i="32"/>
  <c r="Q77" i="32" s="1"/>
  <c r="Q25" i="17"/>
  <c r="Q25" i="18"/>
  <c r="L40" i="18"/>
  <c r="L25" i="18"/>
  <c r="L17" i="18"/>
  <c r="L12" i="18"/>
  <c r="L23" i="18"/>
  <c r="L45" i="18"/>
  <c r="R41" i="22"/>
  <c r="S41" i="22" s="1"/>
  <c r="S41" i="20"/>
  <c r="R41" i="21"/>
  <c r="S41" i="21" s="1"/>
  <c r="R15" i="21"/>
  <c r="S15" i="21" s="1"/>
  <c r="R15" i="22"/>
  <c r="S15" i="22" s="1"/>
  <c r="S15" i="20"/>
  <c r="R23" i="22"/>
  <c r="S23" i="22" s="1"/>
  <c r="S23" i="20"/>
  <c r="R23" i="21"/>
  <c r="S23" i="21" s="1"/>
  <c r="S21" i="20"/>
  <c r="R21" i="21"/>
  <c r="S21" i="21" s="1"/>
  <c r="R21" i="22"/>
  <c r="S21" i="22" s="1"/>
  <c r="R40" i="18"/>
  <c r="R30" i="18"/>
  <c r="R34" i="18"/>
  <c r="R48" i="18"/>
  <c r="R39" i="18"/>
  <c r="R53" i="16"/>
  <c r="R5" i="18"/>
  <c r="X28" i="18"/>
  <c r="X11" i="18"/>
  <c r="X14" i="18"/>
  <c r="X44" i="18"/>
  <c r="X42" i="18"/>
  <c r="X9" i="17"/>
  <c r="W9" i="32" s="1"/>
  <c r="W61" i="32" s="1"/>
  <c r="X9" i="18"/>
  <c r="U22" i="18"/>
  <c r="U35" i="18"/>
  <c r="U28" i="18"/>
  <c r="U41" i="18"/>
  <c r="U25" i="18"/>
  <c r="U48" i="18"/>
  <c r="V20" i="16"/>
  <c r="V23" i="16"/>
  <c r="V26" i="16"/>
  <c r="V29" i="16"/>
  <c r="V10" i="16"/>
  <c r="V36" i="16"/>
  <c r="V39" i="16"/>
  <c r="V42" i="16"/>
  <c r="V45" i="16"/>
  <c r="V15" i="16"/>
  <c r="V5" i="16"/>
  <c r="V32" i="16"/>
  <c r="V27" i="16"/>
  <c r="V18" i="16"/>
  <c r="V11" i="16"/>
  <c r="V8" i="16"/>
  <c r="V28" i="16"/>
  <c r="V19" i="16"/>
  <c r="V49" i="16"/>
  <c r="V7" i="16"/>
  <c r="V24" i="16"/>
  <c r="V50" i="16"/>
  <c r="V41" i="16"/>
  <c r="V14" i="16"/>
  <c r="V51" i="16"/>
  <c r="V46" i="16"/>
  <c r="V37" i="16"/>
  <c r="V6" i="16"/>
  <c r="V47" i="16"/>
  <c r="V38" i="16"/>
  <c r="V33" i="16"/>
  <c r="V13" i="16"/>
  <c r="V48" i="16"/>
  <c r="V43" i="16"/>
  <c r="V34" i="16"/>
  <c r="V25" i="16"/>
  <c r="V9" i="16"/>
  <c r="V44" i="16"/>
  <c r="V35" i="16"/>
  <c r="V30" i="16"/>
  <c r="V21" i="16"/>
  <c r="V16" i="16"/>
  <c r="V40" i="16"/>
  <c r="V31" i="16"/>
  <c r="V22" i="16"/>
  <c r="V17" i="16"/>
  <c r="V12" i="16"/>
  <c r="AC28" i="17"/>
  <c r="AD28" i="17" s="1"/>
  <c r="AD12" i="16"/>
  <c r="AC12" i="18"/>
  <c r="AD12" i="18" s="1"/>
  <c r="AC10" i="18"/>
  <c r="AD10" i="18" s="1"/>
  <c r="AD10" i="16"/>
  <c r="AC10" i="17"/>
  <c r="AD10" i="17" s="1"/>
  <c r="AC14" i="18"/>
  <c r="AD14" i="18" s="1"/>
  <c r="AD14" i="16"/>
  <c r="AD16" i="16"/>
  <c r="AC16" i="18"/>
  <c r="AD16" i="18" s="1"/>
  <c r="AD35" i="16"/>
  <c r="AC35" i="18"/>
  <c r="AD35" i="18" s="1"/>
  <c r="AD9" i="16"/>
  <c r="AC9" i="18"/>
  <c r="AD9" i="18" s="1"/>
  <c r="P48" i="18"/>
  <c r="P5" i="18"/>
  <c r="P53" i="16"/>
  <c r="P58" i="16" s="1"/>
  <c r="P39" i="17" s="1"/>
  <c r="P39" i="32" s="1"/>
  <c r="P91" i="32" s="1"/>
  <c r="P18" i="18"/>
  <c r="P40" i="18"/>
  <c r="P6" i="18"/>
  <c r="AI34" i="18"/>
  <c r="AI29" i="18"/>
  <c r="AI44" i="18"/>
  <c r="AI48" i="18"/>
  <c r="AI45" i="18"/>
  <c r="AE9" i="32"/>
  <c r="AE61" i="32" s="1"/>
  <c r="AI9" i="17"/>
  <c r="AI9" i="18"/>
  <c r="W34" i="17"/>
  <c r="W34" i="18"/>
  <c r="V34" i="32" s="1"/>
  <c r="V86" i="32" s="1"/>
  <c r="W45" i="17"/>
  <c r="V45" i="32" s="1"/>
  <c r="V97" i="32" s="1"/>
  <c r="W45" i="18"/>
  <c r="V46" i="32"/>
  <c r="V98" i="32" s="1"/>
  <c r="W46" i="17"/>
  <c r="W46" i="18"/>
  <c r="W50" i="18"/>
  <c r="W50" i="17"/>
  <c r="V50" i="32" s="1"/>
  <c r="V102" i="32" s="1"/>
  <c r="W32" i="17"/>
  <c r="V32" i="32" s="1"/>
  <c r="V84" i="32" s="1"/>
  <c r="W32" i="18"/>
  <c r="W30" i="17"/>
  <c r="V30" i="32" s="1"/>
  <c r="V82" i="32" s="1"/>
  <c r="W30" i="18"/>
  <c r="P38" i="33"/>
  <c r="P80" i="33" s="1"/>
  <c r="P38" i="21"/>
  <c r="P38" i="22"/>
  <c r="P34" i="33"/>
  <c r="P76" i="33" s="1"/>
  <c r="P34" i="21"/>
  <c r="P34" i="22"/>
  <c r="P21" i="21"/>
  <c r="P21" i="22"/>
  <c r="P21" i="33" s="1"/>
  <c r="P63" i="33" s="1"/>
  <c r="P37" i="22"/>
  <c r="P37" i="21"/>
  <c r="P37" i="33" s="1"/>
  <c r="P79" i="33" s="1"/>
  <c r="P13" i="33"/>
  <c r="P55" i="33" s="1"/>
  <c r="P13" i="21"/>
  <c r="P13" i="22"/>
  <c r="O21" i="18"/>
  <c r="O11" i="18"/>
  <c r="O15" i="18"/>
  <c r="O12" i="18"/>
  <c r="O44" i="18"/>
  <c r="O37" i="17"/>
  <c r="O37" i="32" s="1"/>
  <c r="O89" i="32" s="1"/>
  <c r="O37" i="18"/>
  <c r="AH14" i="18"/>
  <c r="AH27" i="18"/>
  <c r="AH9" i="18"/>
  <c r="AH11" i="18"/>
  <c r="AH39" i="18"/>
  <c r="AH29" i="18"/>
  <c r="Q39" i="32"/>
  <c r="Q91" i="32" s="1"/>
  <c r="Q39" i="17"/>
  <c r="Q39" i="18"/>
  <c r="Q19" i="32"/>
  <c r="Q71" i="32" s="1"/>
  <c r="Q19" i="17"/>
  <c r="Q19" i="18"/>
  <c r="Q35" i="17"/>
  <c r="Q35" i="18"/>
  <c r="Q35" i="32" s="1"/>
  <c r="Q87" i="32" s="1"/>
  <c r="Q42" i="17"/>
  <c r="Q42" i="32" s="1"/>
  <c r="Q94" i="32" s="1"/>
  <c r="Q42" i="18"/>
  <c r="Q21" i="18"/>
  <c r="Q37" i="17"/>
  <c r="Q37" i="32" s="1"/>
  <c r="Q89" i="32" s="1"/>
  <c r="Q37" i="18"/>
  <c r="L8" i="18"/>
  <c r="L42" i="18"/>
  <c r="L31" i="17"/>
  <c r="L31" i="18"/>
  <c r="L31" i="32" s="1"/>
  <c r="L83" i="32" s="1"/>
  <c r="L6" i="18"/>
  <c r="L33" i="18"/>
  <c r="L7" i="18"/>
  <c r="R24" i="22"/>
  <c r="S24" i="22" s="1"/>
  <c r="S24" i="20"/>
  <c r="R24" i="21"/>
  <c r="S24" i="21" s="1"/>
  <c r="Q18" i="33"/>
  <c r="Q60" i="33" s="1"/>
  <c r="S18" i="20"/>
  <c r="R18" i="21"/>
  <c r="S18" i="21" s="1"/>
  <c r="R18" i="22"/>
  <c r="S18" i="22" s="1"/>
  <c r="R27" i="21"/>
  <c r="S27" i="21" s="1"/>
  <c r="R27" i="22"/>
  <c r="S27" i="22" s="1"/>
  <c r="S27" i="20"/>
  <c r="Q35" i="33"/>
  <c r="Q77" i="33" s="1"/>
  <c r="S35" i="20"/>
  <c r="R35" i="21"/>
  <c r="S35" i="21" s="1"/>
  <c r="R35" i="22"/>
  <c r="S35" i="22" s="1"/>
  <c r="S30" i="20"/>
  <c r="R30" i="21"/>
  <c r="S30" i="21" s="1"/>
  <c r="R30" i="22"/>
  <c r="S30" i="22" s="1"/>
  <c r="R16" i="18"/>
  <c r="R14" i="18"/>
  <c r="R11" i="18"/>
  <c r="R15" i="18"/>
  <c r="R8" i="18"/>
  <c r="R49" i="18"/>
  <c r="X25" i="18"/>
  <c r="X10" i="18"/>
  <c r="X40" i="18"/>
  <c r="X41" i="18"/>
  <c r="X39" i="18"/>
  <c r="X24" i="18"/>
  <c r="X24" i="17"/>
  <c r="W24" i="32" s="1"/>
  <c r="W76" i="32" s="1"/>
  <c r="U51" i="18"/>
  <c r="U13" i="18"/>
  <c r="U6" i="18"/>
  <c r="U38" i="18"/>
  <c r="U19" i="18"/>
  <c r="U11" i="18"/>
  <c r="X10" i="34"/>
  <c r="Q32" i="20"/>
  <c r="L32" i="21"/>
  <c r="L32" i="22"/>
  <c r="Q45" i="22"/>
  <c r="Q45" i="21"/>
  <c r="Q45" i="20"/>
  <c r="Q45" i="19"/>
  <c r="L34" i="21"/>
  <c r="Q34" i="20"/>
  <c r="L34" i="22"/>
  <c r="L29" i="21"/>
  <c r="L29" i="33" s="1"/>
  <c r="L71" i="33" s="1"/>
  <c r="Q29" i="20"/>
  <c r="L29" i="22"/>
  <c r="L37" i="21"/>
  <c r="L37" i="33" s="1"/>
  <c r="L79" i="33" s="1"/>
  <c r="Q37" i="20"/>
  <c r="L37" i="22"/>
  <c r="L13" i="21"/>
  <c r="L13" i="22"/>
  <c r="L15" i="21"/>
  <c r="L15" i="22"/>
  <c r="Q15" i="20"/>
  <c r="L23" i="21"/>
  <c r="Q23" i="20"/>
  <c r="L23" i="22"/>
  <c r="Q9" i="20"/>
  <c r="L9" i="21"/>
  <c r="L9" i="22"/>
  <c r="L38" i="21"/>
  <c r="L38" i="33" s="1"/>
  <c r="L80" i="33" s="1"/>
  <c r="Q38" i="20"/>
  <c r="L38" i="22"/>
  <c r="L41" i="21"/>
  <c r="Q41" i="20"/>
  <c r="L41" i="22"/>
  <c r="L14" i="21"/>
  <c r="L14" i="33" s="1"/>
  <c r="L56" i="33" s="1"/>
  <c r="L14" i="22"/>
  <c r="L19" i="21"/>
  <c r="L19" i="22"/>
  <c r="Q6" i="20"/>
  <c r="L6" i="21"/>
  <c r="L6" i="33" s="1"/>
  <c r="L48" i="33" s="1"/>
  <c r="L6" i="22"/>
  <c r="L31" i="21"/>
  <c r="L31" i="33" s="1"/>
  <c r="L73" i="33" s="1"/>
  <c r="Q31" i="20"/>
  <c r="L31" i="22"/>
  <c r="U43" i="22"/>
  <c r="L11" i="21"/>
  <c r="L11" i="33" s="1"/>
  <c r="L53" i="33" s="1"/>
  <c r="L11" i="22"/>
  <c r="L36" i="21"/>
  <c r="Q36" i="20"/>
  <c r="L36" i="22"/>
  <c r="L21" i="21"/>
  <c r="L21" i="22"/>
  <c r="Q18" i="20"/>
  <c r="L18" i="21"/>
  <c r="L18" i="33" s="1"/>
  <c r="L60" i="33" s="1"/>
  <c r="L18" i="22"/>
  <c r="Q8" i="20"/>
  <c r="L8" i="21"/>
  <c r="L8" i="22"/>
  <c r="L26" i="21"/>
  <c r="Q26" i="20"/>
  <c r="L26" i="22"/>
  <c r="Q46" i="22"/>
  <c r="Q46" i="21"/>
  <c r="Q46" i="20"/>
  <c r="Q46" i="19"/>
  <c r="L25" i="21"/>
  <c r="Q25" i="20"/>
  <c r="L25" i="22"/>
  <c r="L12" i="21"/>
  <c r="L12" i="22"/>
  <c r="L33" i="21"/>
  <c r="Q33" i="20"/>
  <c r="L33" i="22"/>
  <c r="Q16" i="20"/>
  <c r="L16" i="21"/>
  <c r="L16" i="33" s="1"/>
  <c r="L58" i="33" s="1"/>
  <c r="L16" i="22"/>
  <c r="Q10" i="20"/>
  <c r="L10" i="21"/>
  <c r="L10" i="22"/>
  <c r="T57" i="15"/>
  <c r="T55" i="18"/>
  <c r="T55" i="17"/>
  <c r="T55" i="16"/>
  <c r="AM56" i="15"/>
  <c r="AM54" i="18"/>
  <c r="AM54" i="16"/>
  <c r="AM54" i="17" s="1"/>
  <c r="Q40" i="20"/>
  <c r="L40" i="21"/>
  <c r="L40" i="22"/>
  <c r="L30" i="21"/>
  <c r="Q30" i="20"/>
  <c r="L30" i="22"/>
  <c r="L28" i="21"/>
  <c r="L28" i="33" s="1"/>
  <c r="L70" i="33" s="1"/>
  <c r="Q28" i="20"/>
  <c r="L28" i="22"/>
  <c r="L39" i="21"/>
  <c r="L39" i="33" s="1"/>
  <c r="L81" i="33" s="1"/>
  <c r="Q39" i="20"/>
  <c r="L39" i="22"/>
  <c r="U43" i="21"/>
  <c r="Q11" i="20"/>
  <c r="L24" i="21"/>
  <c r="Q24" i="20"/>
  <c r="L24" i="22"/>
  <c r="L20" i="21"/>
  <c r="L20" i="33" s="1"/>
  <c r="L62" i="33" s="1"/>
  <c r="L20" i="22"/>
  <c r="L35" i="21"/>
  <c r="Q35" i="20"/>
  <c r="L35" i="22"/>
  <c r="Q5" i="20"/>
  <c r="L5" i="21"/>
  <c r="L5" i="33" s="1"/>
  <c r="L47" i="33" s="1"/>
  <c r="L5" i="22"/>
  <c r="L43" i="20"/>
  <c r="T58" i="15"/>
  <c r="T56" i="18"/>
  <c r="T56" i="17"/>
  <c r="T56" i="16"/>
  <c r="Q27" i="20"/>
  <c r="L27" i="21"/>
  <c r="L27" i="33" s="1"/>
  <c r="L69" i="33" s="1"/>
  <c r="L27" i="22"/>
  <c r="L22" i="21"/>
  <c r="L22" i="33" s="1"/>
  <c r="L64" i="33" s="1"/>
  <c r="L22" i="22"/>
  <c r="Q17" i="20"/>
  <c r="L17" i="21"/>
  <c r="L17" i="22"/>
  <c r="Q7" i="20"/>
  <c r="L7" i="21"/>
  <c r="L7" i="33" s="1"/>
  <c r="L49" i="33" s="1"/>
  <c r="L7" i="22"/>
  <c r="E42" i="5"/>
  <c r="E21" i="5"/>
  <c r="F29" i="5"/>
  <c r="F47" i="5"/>
  <c r="F46" i="5"/>
  <c r="B9" i="35" l="1"/>
  <c r="B15" i="35" s="1"/>
  <c r="B11" i="35"/>
  <c r="AD33" i="17"/>
  <c r="AA33" i="32"/>
  <c r="AA85" i="32" s="1"/>
  <c r="Q21" i="17"/>
  <c r="Q21" i="32" s="1"/>
  <c r="Q73" i="32" s="1"/>
  <c r="V30" i="18"/>
  <c r="V13" i="18"/>
  <c r="V14" i="18"/>
  <c r="V8" i="18"/>
  <c r="V42" i="18"/>
  <c r="S58" i="16"/>
  <c r="R58" i="16"/>
  <c r="AA38" i="32"/>
  <c r="AA90" i="32" s="1"/>
  <c r="Q39" i="33"/>
  <c r="Q81" i="33" s="1"/>
  <c r="Q38" i="33"/>
  <c r="Q80" i="33" s="1"/>
  <c r="Q48" i="17"/>
  <c r="Q48" i="32" s="1"/>
  <c r="Q100" i="32" s="1"/>
  <c r="Q9" i="17"/>
  <c r="Q9" i="32" s="1"/>
  <c r="Q61" i="32" s="1"/>
  <c r="AH25" i="17"/>
  <c r="AD25" i="32" s="1"/>
  <c r="AD77" i="32" s="1"/>
  <c r="AH42" i="17"/>
  <c r="AD42" i="32" s="1"/>
  <c r="AD94" i="32" s="1"/>
  <c r="AH50" i="17"/>
  <c r="AD50" i="32" s="1"/>
  <c r="AD102" i="32" s="1"/>
  <c r="AH17" i="17"/>
  <c r="AD17" i="32" s="1"/>
  <c r="AD69" i="32" s="1"/>
  <c r="AH28" i="17"/>
  <c r="AD28" i="32" s="1"/>
  <c r="AD80" i="32" s="1"/>
  <c r="AH9" i="17"/>
  <c r="AD9" i="32" s="1"/>
  <c r="AD61" i="32" s="1"/>
  <c r="AH26" i="17"/>
  <c r="AD26" i="32" s="1"/>
  <c r="AD78" i="32" s="1"/>
  <c r="AH24" i="17"/>
  <c r="AD24" i="32" s="1"/>
  <c r="AD76" i="32" s="1"/>
  <c r="AH6" i="17"/>
  <c r="AD6" i="32" s="1"/>
  <c r="AD58" i="32" s="1"/>
  <c r="AH11" i="17"/>
  <c r="AD11" i="32" s="1"/>
  <c r="AD63" i="32" s="1"/>
  <c r="AH47" i="17"/>
  <c r="AD47" i="32" s="1"/>
  <c r="AD99" i="32" s="1"/>
  <c r="AH29" i="17"/>
  <c r="AD29" i="32" s="1"/>
  <c r="AD81" i="32" s="1"/>
  <c r="AH34" i="17"/>
  <c r="AD34" i="32" s="1"/>
  <c r="AD86" i="32" s="1"/>
  <c r="AH10" i="17"/>
  <c r="AD10" i="32" s="1"/>
  <c r="AD62" i="32" s="1"/>
  <c r="AH46" i="17"/>
  <c r="AD46" i="32" s="1"/>
  <c r="AD98" i="32" s="1"/>
  <c r="AH37" i="17"/>
  <c r="AD37" i="32" s="1"/>
  <c r="AD89" i="32" s="1"/>
  <c r="AH33" i="17"/>
  <c r="AD33" i="32" s="1"/>
  <c r="AD85" i="32" s="1"/>
  <c r="AH19" i="17"/>
  <c r="AD19" i="32" s="1"/>
  <c r="AD71" i="32" s="1"/>
  <c r="AH18" i="17"/>
  <c r="AD18" i="32" s="1"/>
  <c r="AD70" i="32" s="1"/>
  <c r="AH40" i="17"/>
  <c r="AD40" i="32" s="1"/>
  <c r="AD92" i="32" s="1"/>
  <c r="AH15" i="17"/>
  <c r="AD15" i="32" s="1"/>
  <c r="AD67" i="32" s="1"/>
  <c r="AH8" i="17"/>
  <c r="AD8" i="32" s="1"/>
  <c r="AD60" i="32" s="1"/>
  <c r="AH21" i="17"/>
  <c r="AD21" i="32" s="1"/>
  <c r="AD73" i="32" s="1"/>
  <c r="AH32" i="17"/>
  <c r="AD32" i="32" s="1"/>
  <c r="AD84" i="32" s="1"/>
  <c r="AH7" i="17"/>
  <c r="AD7" i="32" s="1"/>
  <c r="AD59" i="32" s="1"/>
  <c r="AH49" i="17"/>
  <c r="AD49" i="32" s="1"/>
  <c r="AD101" i="32" s="1"/>
  <c r="AH13" i="17"/>
  <c r="AD13" i="32" s="1"/>
  <c r="AD65" i="32" s="1"/>
  <c r="AH38" i="17"/>
  <c r="AD38" i="32" s="1"/>
  <c r="AD90" i="32" s="1"/>
  <c r="AH30" i="17"/>
  <c r="AD30" i="32" s="1"/>
  <c r="AD82" i="32" s="1"/>
  <c r="AH36" i="17"/>
  <c r="AD36" i="32" s="1"/>
  <c r="AD88" i="32" s="1"/>
  <c r="AH41" i="17"/>
  <c r="AD41" i="32" s="1"/>
  <c r="AD93" i="32" s="1"/>
  <c r="AH23" i="17"/>
  <c r="AD23" i="32" s="1"/>
  <c r="AD75" i="32" s="1"/>
  <c r="AH27" i="17"/>
  <c r="AD27" i="32" s="1"/>
  <c r="AD79" i="32" s="1"/>
  <c r="AH5" i="17"/>
  <c r="AH51" i="17"/>
  <c r="AD51" i="32" s="1"/>
  <c r="AD103" i="32" s="1"/>
  <c r="AH16" i="17"/>
  <c r="AD16" i="32" s="1"/>
  <c r="AD68" i="32" s="1"/>
  <c r="AH31" i="17"/>
  <c r="AD31" i="32" s="1"/>
  <c r="AD83" i="32" s="1"/>
  <c r="AH44" i="17"/>
  <c r="AD44" i="32" s="1"/>
  <c r="AD96" i="32" s="1"/>
  <c r="AH43" i="17"/>
  <c r="AD43" i="32" s="1"/>
  <c r="AD95" i="32" s="1"/>
  <c r="AH12" i="17"/>
  <c r="AD12" i="32" s="1"/>
  <c r="AD64" i="32" s="1"/>
  <c r="AH20" i="17"/>
  <c r="AD20" i="32" s="1"/>
  <c r="AD72" i="32" s="1"/>
  <c r="AH22" i="17"/>
  <c r="AD22" i="32" s="1"/>
  <c r="AD74" i="32" s="1"/>
  <c r="AH14" i="17"/>
  <c r="AD14" i="32" s="1"/>
  <c r="AD66" i="32" s="1"/>
  <c r="AH48" i="17"/>
  <c r="AD48" i="32" s="1"/>
  <c r="AD100" i="32" s="1"/>
  <c r="AH45" i="17"/>
  <c r="AD45" i="32" s="1"/>
  <c r="AD97" i="32" s="1"/>
  <c r="AH35" i="17"/>
  <c r="AD35" i="32" s="1"/>
  <c r="AD87" i="32" s="1"/>
  <c r="AH39" i="17"/>
  <c r="AD39" i="32" s="1"/>
  <c r="AD91" i="32" s="1"/>
  <c r="Q22" i="17"/>
  <c r="Q22" i="32" s="1"/>
  <c r="Q74" i="32" s="1"/>
  <c r="Q27" i="17"/>
  <c r="Q27" i="32" s="1"/>
  <c r="Q79" i="32" s="1"/>
  <c r="N16" i="21"/>
  <c r="N16" i="33" s="1"/>
  <c r="N58" i="33" s="1"/>
  <c r="N16" i="22"/>
  <c r="N10" i="21"/>
  <c r="N10" i="33" s="1"/>
  <c r="N52" i="33" s="1"/>
  <c r="N10" i="22"/>
  <c r="N11" i="33"/>
  <c r="N53" i="33" s="1"/>
  <c r="N11" i="21"/>
  <c r="N11" i="22"/>
  <c r="N29" i="21"/>
  <c r="N29" i="33" s="1"/>
  <c r="N71" i="33" s="1"/>
  <c r="N29" i="22"/>
  <c r="O17" i="21"/>
  <c r="O17" i="33" s="1"/>
  <c r="O59" i="33" s="1"/>
  <c r="O17" i="22"/>
  <c r="O29" i="21"/>
  <c r="O29" i="22"/>
  <c r="O29" i="33" s="1"/>
  <c r="O71" i="33" s="1"/>
  <c r="O20" i="33"/>
  <c r="O62" i="33" s="1"/>
  <c r="O20" i="21"/>
  <c r="O20" i="22"/>
  <c r="O14" i="21"/>
  <c r="O14" i="33" s="1"/>
  <c r="O56" i="33" s="1"/>
  <c r="O14" i="22"/>
  <c r="W28" i="17"/>
  <c r="V28" i="32" s="1"/>
  <c r="V80" i="32" s="1"/>
  <c r="R23" i="33"/>
  <c r="R65" i="33" s="1"/>
  <c r="W23" i="20"/>
  <c r="T23" i="21"/>
  <c r="T23" i="22"/>
  <c r="W37" i="20"/>
  <c r="T37" i="21"/>
  <c r="R37" i="33" s="1"/>
  <c r="R79" i="33" s="1"/>
  <c r="T37" i="22"/>
  <c r="R20" i="33"/>
  <c r="R62" i="33" s="1"/>
  <c r="W20" i="20"/>
  <c r="T20" i="21"/>
  <c r="T20" i="22"/>
  <c r="W19" i="20"/>
  <c r="T19" i="21"/>
  <c r="R19" i="33" s="1"/>
  <c r="R61" i="33" s="1"/>
  <c r="T19" i="22"/>
  <c r="R26" i="33"/>
  <c r="R68" i="33" s="1"/>
  <c r="W26" i="20"/>
  <c r="T26" i="21"/>
  <c r="T26" i="22"/>
  <c r="Z26" i="21"/>
  <c r="AA26" i="21" s="1"/>
  <c r="AA26" i="20"/>
  <c r="Z26" i="22"/>
  <c r="AA26" i="22" s="1"/>
  <c r="V39" i="33"/>
  <c r="V81" i="33" s="1"/>
  <c r="Z39" i="21"/>
  <c r="AA39" i="21" s="1"/>
  <c r="AA39" i="20"/>
  <c r="Z39" i="22"/>
  <c r="AA39" i="22" s="1"/>
  <c r="Z30" i="21"/>
  <c r="AA30" i="21" s="1"/>
  <c r="AA30" i="20"/>
  <c r="Z30" i="22"/>
  <c r="AA30" i="22" s="1"/>
  <c r="V25" i="33"/>
  <c r="V67" i="33" s="1"/>
  <c r="Z25" i="21"/>
  <c r="AA25" i="21" s="1"/>
  <c r="Z25" i="22"/>
  <c r="AA25" i="22" s="1"/>
  <c r="AA25" i="20"/>
  <c r="Z19" i="21"/>
  <c r="AA19" i="21" s="1"/>
  <c r="AA19" i="20"/>
  <c r="Z19" i="22"/>
  <c r="AA19" i="22" s="1"/>
  <c r="I13" i="35"/>
  <c r="Q36" i="33"/>
  <c r="Q78" i="33" s="1"/>
  <c r="Q31" i="33"/>
  <c r="Q73" i="33" s="1"/>
  <c r="Q11" i="33"/>
  <c r="Q53" i="33" s="1"/>
  <c r="M12" i="33"/>
  <c r="M54" i="33" s="1"/>
  <c r="M12" i="21"/>
  <c r="M12" i="22"/>
  <c r="Q12" i="20"/>
  <c r="M21" i="33"/>
  <c r="M63" i="33" s="1"/>
  <c r="M21" i="21"/>
  <c r="M21" i="22"/>
  <c r="Q21" i="22" s="1"/>
  <c r="Q21" i="20"/>
  <c r="M10" i="33"/>
  <c r="M52" i="33" s="1"/>
  <c r="M10" i="21"/>
  <c r="M10" i="22"/>
  <c r="M30" i="33"/>
  <c r="M72" i="33" s="1"/>
  <c r="M30" i="21"/>
  <c r="M30" i="22"/>
  <c r="M27" i="21"/>
  <c r="M27" i="33" s="1"/>
  <c r="M69" i="33" s="1"/>
  <c r="M27" i="22"/>
  <c r="Q27" i="22" s="1"/>
  <c r="AD5" i="18"/>
  <c r="AD53" i="18" s="1"/>
  <c r="AC53" i="18"/>
  <c r="T8" i="33"/>
  <c r="T50" i="33" s="1"/>
  <c r="V8" i="21"/>
  <c r="V8" i="22"/>
  <c r="V24" i="21"/>
  <c r="T24" i="33" s="1"/>
  <c r="T66" i="33" s="1"/>
  <c r="V24" i="22"/>
  <c r="T11" i="33"/>
  <c r="T53" i="33" s="1"/>
  <c r="V11" i="21"/>
  <c r="V11" i="22"/>
  <c r="T33" i="33"/>
  <c r="T75" i="33" s="1"/>
  <c r="V33" i="21"/>
  <c r="V33" i="22"/>
  <c r="V6" i="21"/>
  <c r="T6" i="33" s="1"/>
  <c r="T48" i="33" s="1"/>
  <c r="V6" i="22"/>
  <c r="M35" i="18"/>
  <c r="M17" i="18"/>
  <c r="M47" i="18"/>
  <c r="M9" i="18"/>
  <c r="M43" i="18"/>
  <c r="M20" i="18"/>
  <c r="W31" i="17"/>
  <c r="V31" i="32" s="1"/>
  <c r="V83" i="32" s="1"/>
  <c r="AC8" i="17"/>
  <c r="AA28" i="32"/>
  <c r="AA80" i="32" s="1"/>
  <c r="L25" i="33"/>
  <c r="L67" i="33" s="1"/>
  <c r="V12" i="18"/>
  <c r="V35" i="18"/>
  <c r="V33" i="18"/>
  <c r="V41" i="18"/>
  <c r="V11" i="18"/>
  <c r="V39" i="18"/>
  <c r="Q47" i="17"/>
  <c r="Q47" i="32" s="1"/>
  <c r="Q99" i="32" s="1"/>
  <c r="AH53" i="18"/>
  <c r="P9" i="34"/>
  <c r="P11" i="34"/>
  <c r="P7" i="34"/>
  <c r="P13" i="34" s="1"/>
  <c r="N39" i="21"/>
  <c r="N39" i="33" s="1"/>
  <c r="N81" i="33" s="1"/>
  <c r="N39" i="22"/>
  <c r="N36" i="21"/>
  <c r="N36" i="33" s="1"/>
  <c r="N78" i="33" s="1"/>
  <c r="N36" i="22"/>
  <c r="N38" i="33"/>
  <c r="N80" i="33" s="1"/>
  <c r="N38" i="21"/>
  <c r="N38" i="22"/>
  <c r="N34" i="21"/>
  <c r="N34" i="33" s="1"/>
  <c r="N76" i="33" s="1"/>
  <c r="N34" i="22"/>
  <c r="L17" i="33"/>
  <c r="L59" i="33" s="1"/>
  <c r="Q26" i="17"/>
  <c r="Q26" i="32" s="1"/>
  <c r="Q78" i="32" s="1"/>
  <c r="O35" i="33"/>
  <c r="O77" i="33" s="1"/>
  <c r="O35" i="21"/>
  <c r="O35" i="22"/>
  <c r="O9" i="21"/>
  <c r="O9" i="33" s="1"/>
  <c r="O51" i="33" s="1"/>
  <c r="O9" i="22"/>
  <c r="O15" i="21"/>
  <c r="O15" i="33" s="1"/>
  <c r="O57" i="33" s="1"/>
  <c r="O15" i="22"/>
  <c r="O18" i="21"/>
  <c r="O18" i="22"/>
  <c r="O18" i="33" s="1"/>
  <c r="O60" i="33" s="1"/>
  <c r="T5" i="21"/>
  <c r="T43" i="20"/>
  <c r="T5" i="22"/>
  <c r="W5" i="20"/>
  <c r="T11" i="22"/>
  <c r="W11" i="22" s="1"/>
  <c r="W11" i="20"/>
  <c r="T11" i="21"/>
  <c r="W11" i="21" s="1"/>
  <c r="W17" i="20"/>
  <c r="AB17" i="20" s="1"/>
  <c r="X17" i="22" s="1"/>
  <c r="T17" i="21"/>
  <c r="T17" i="22"/>
  <c r="W8" i="20"/>
  <c r="T8" i="21"/>
  <c r="W8" i="21" s="1"/>
  <c r="T8" i="22"/>
  <c r="W8" i="22" s="1"/>
  <c r="W24" i="20"/>
  <c r="T24" i="21"/>
  <c r="W24" i="21" s="1"/>
  <c r="T24" i="22"/>
  <c r="W24" i="22" s="1"/>
  <c r="Z40" i="21"/>
  <c r="AA40" i="21" s="1"/>
  <c r="AA40" i="20"/>
  <c r="Z40" i="22"/>
  <c r="AA40" i="22" s="1"/>
  <c r="AA36" i="20"/>
  <c r="Z36" i="22"/>
  <c r="AA36" i="22" s="1"/>
  <c r="Z36" i="21"/>
  <c r="AA36" i="21" s="1"/>
  <c r="Z29" i="22"/>
  <c r="AA29" i="22" s="1"/>
  <c r="Z29" i="21"/>
  <c r="AA29" i="21" s="1"/>
  <c r="AA29" i="20"/>
  <c r="AA10" i="20"/>
  <c r="Z10" i="21"/>
  <c r="AA10" i="21" s="1"/>
  <c r="Z10" i="22"/>
  <c r="AA10" i="22" s="1"/>
  <c r="AA14" i="20"/>
  <c r="Z14" i="21"/>
  <c r="AA14" i="21" s="1"/>
  <c r="Z14" i="22"/>
  <c r="AA14" i="22" s="1"/>
  <c r="L24" i="33"/>
  <c r="L66" i="33" s="1"/>
  <c r="Q46" i="17"/>
  <c r="Q46" i="32" s="1"/>
  <c r="Q98" i="32" s="1"/>
  <c r="Q11" i="17"/>
  <c r="Q11" i="32" s="1"/>
  <c r="Q63" i="32" s="1"/>
  <c r="M9" i="33"/>
  <c r="M51" i="33" s="1"/>
  <c r="M9" i="21"/>
  <c r="M9" i="22"/>
  <c r="Q9" i="22" s="1"/>
  <c r="M24" i="21"/>
  <c r="M24" i="33" s="1"/>
  <c r="M66" i="33" s="1"/>
  <c r="M24" i="22"/>
  <c r="M16" i="33"/>
  <c r="M58" i="33" s="1"/>
  <c r="M16" i="22"/>
  <c r="M16" i="21"/>
  <c r="M25" i="21"/>
  <c r="Q25" i="21" s="1"/>
  <c r="M25" i="22"/>
  <c r="M25" i="33" s="1"/>
  <c r="M67" i="33" s="1"/>
  <c r="M14" i="21"/>
  <c r="M14" i="22"/>
  <c r="M14" i="33" s="1"/>
  <c r="M56" i="33" s="1"/>
  <c r="Q14" i="20"/>
  <c r="AD53" i="16"/>
  <c r="U21" i="17"/>
  <c r="T21" i="32" s="1"/>
  <c r="T73" i="32" s="1"/>
  <c r="U34" i="17"/>
  <c r="T34" i="32" s="1"/>
  <c r="T86" i="32" s="1"/>
  <c r="U48" i="17"/>
  <c r="U37" i="17"/>
  <c r="T37" i="32" s="1"/>
  <c r="T89" i="32" s="1"/>
  <c r="U26" i="17"/>
  <c r="T26" i="32" s="1"/>
  <c r="T78" i="32" s="1"/>
  <c r="U41" i="17"/>
  <c r="U14" i="17"/>
  <c r="U25" i="17"/>
  <c r="U30" i="17"/>
  <c r="T30" i="32" s="1"/>
  <c r="T82" i="32" s="1"/>
  <c r="U33" i="17"/>
  <c r="T33" i="32" s="1"/>
  <c r="T85" i="32" s="1"/>
  <c r="U40" i="17"/>
  <c r="T40" i="32" s="1"/>
  <c r="T92" i="32" s="1"/>
  <c r="U32" i="17"/>
  <c r="T32" i="32" s="1"/>
  <c r="T84" i="32" s="1"/>
  <c r="U15" i="17"/>
  <c r="T15" i="32" s="1"/>
  <c r="T67" i="32" s="1"/>
  <c r="U36" i="17"/>
  <c r="T36" i="32" s="1"/>
  <c r="T88" i="32" s="1"/>
  <c r="U24" i="17"/>
  <c r="U20" i="17"/>
  <c r="U10" i="17"/>
  <c r="U18" i="17"/>
  <c r="U22" i="17"/>
  <c r="U6" i="17"/>
  <c r="U28" i="17"/>
  <c r="T28" i="32" s="1"/>
  <c r="T80" i="32" s="1"/>
  <c r="U43" i="17"/>
  <c r="T43" i="32" s="1"/>
  <c r="T95" i="32" s="1"/>
  <c r="U9" i="17"/>
  <c r="T9" i="32" s="1"/>
  <c r="T61" i="32" s="1"/>
  <c r="U12" i="17"/>
  <c r="U5" i="17"/>
  <c r="U19" i="17"/>
  <c r="T19" i="32" s="1"/>
  <c r="T71" i="32" s="1"/>
  <c r="U42" i="17"/>
  <c r="U13" i="17"/>
  <c r="U8" i="17"/>
  <c r="T8" i="32" s="1"/>
  <c r="T60" i="32" s="1"/>
  <c r="U11" i="17"/>
  <c r="T11" i="32" s="1"/>
  <c r="T63" i="32" s="1"/>
  <c r="U35" i="17"/>
  <c r="U44" i="17"/>
  <c r="U39" i="17"/>
  <c r="T39" i="32" s="1"/>
  <c r="T91" i="32" s="1"/>
  <c r="U50" i="17"/>
  <c r="T50" i="32" s="1"/>
  <c r="T102" i="32" s="1"/>
  <c r="U16" i="17"/>
  <c r="T16" i="32" s="1"/>
  <c r="T68" i="32" s="1"/>
  <c r="U17" i="17"/>
  <c r="U46" i="17"/>
  <c r="U29" i="17"/>
  <c r="U31" i="17"/>
  <c r="U49" i="17"/>
  <c r="T49" i="32" s="1"/>
  <c r="T101" i="32" s="1"/>
  <c r="U51" i="17"/>
  <c r="U38" i="17"/>
  <c r="T38" i="32" s="1"/>
  <c r="T90" i="32" s="1"/>
  <c r="U23" i="17"/>
  <c r="U47" i="17"/>
  <c r="U27" i="17"/>
  <c r="U45" i="17"/>
  <c r="T45" i="32" s="1"/>
  <c r="T97" i="32" s="1"/>
  <c r="U7" i="17"/>
  <c r="T7" i="32" s="1"/>
  <c r="T59" i="32" s="1"/>
  <c r="T18" i="33"/>
  <c r="T60" i="33" s="1"/>
  <c r="V18" i="21"/>
  <c r="V18" i="22"/>
  <c r="V12" i="21"/>
  <c r="T12" i="33" s="1"/>
  <c r="T54" i="33" s="1"/>
  <c r="V12" i="22"/>
  <c r="T7" i="33"/>
  <c r="T49" i="33" s="1"/>
  <c r="V7" i="21"/>
  <c r="V7" i="22"/>
  <c r="V39" i="21"/>
  <c r="V39" i="22"/>
  <c r="T39" i="33" s="1"/>
  <c r="T81" i="33" s="1"/>
  <c r="X29" i="17"/>
  <c r="W29" i="32" s="1"/>
  <c r="W81" i="32" s="1"/>
  <c r="X13" i="17"/>
  <c r="W13" i="32" s="1"/>
  <c r="W65" i="32" s="1"/>
  <c r="X49" i="17"/>
  <c r="W49" i="32" s="1"/>
  <c r="W101" i="32" s="1"/>
  <c r="X17" i="17"/>
  <c r="W17" i="32" s="1"/>
  <c r="W69" i="32" s="1"/>
  <c r="X23" i="17"/>
  <c r="W23" i="32" s="1"/>
  <c r="W75" i="32" s="1"/>
  <c r="X36" i="17"/>
  <c r="W36" i="32" s="1"/>
  <c r="W88" i="32" s="1"/>
  <c r="X40" i="17"/>
  <c r="W40" i="32" s="1"/>
  <c r="W92" i="32" s="1"/>
  <c r="X14" i="17"/>
  <c r="W14" i="32" s="1"/>
  <c r="W66" i="32" s="1"/>
  <c r="X42" i="17"/>
  <c r="W42" i="32" s="1"/>
  <c r="W94" i="32" s="1"/>
  <c r="X6" i="17"/>
  <c r="W6" i="32" s="1"/>
  <c r="W58" i="32" s="1"/>
  <c r="X39" i="17"/>
  <c r="W39" i="32" s="1"/>
  <c r="W91" i="32" s="1"/>
  <c r="X45" i="17"/>
  <c r="W45" i="32" s="1"/>
  <c r="W97" i="32" s="1"/>
  <c r="X25" i="17"/>
  <c r="W25" i="32" s="1"/>
  <c r="W77" i="32" s="1"/>
  <c r="X5" i="17"/>
  <c r="X12" i="17"/>
  <c r="W12" i="32" s="1"/>
  <c r="W64" i="32" s="1"/>
  <c r="X41" i="17"/>
  <c r="W41" i="32" s="1"/>
  <c r="W93" i="32" s="1"/>
  <c r="X43" i="17"/>
  <c r="W43" i="32" s="1"/>
  <c r="W95" i="32" s="1"/>
  <c r="X22" i="17"/>
  <c r="W22" i="32" s="1"/>
  <c r="W74" i="32" s="1"/>
  <c r="X48" i="17"/>
  <c r="W48" i="32" s="1"/>
  <c r="W100" i="32" s="1"/>
  <c r="X46" i="17"/>
  <c r="W46" i="32" s="1"/>
  <c r="W98" i="32" s="1"/>
  <c r="X20" i="17"/>
  <c r="W20" i="32" s="1"/>
  <c r="W72" i="32" s="1"/>
  <c r="X16" i="17"/>
  <c r="W16" i="32" s="1"/>
  <c r="W68" i="32" s="1"/>
  <c r="X19" i="17"/>
  <c r="W19" i="32" s="1"/>
  <c r="W71" i="32" s="1"/>
  <c r="X44" i="17"/>
  <c r="W44" i="32" s="1"/>
  <c r="W96" i="32" s="1"/>
  <c r="X26" i="17"/>
  <c r="W26" i="32" s="1"/>
  <c r="W78" i="32" s="1"/>
  <c r="X11" i="17"/>
  <c r="W11" i="32" s="1"/>
  <c r="W63" i="32" s="1"/>
  <c r="X30" i="17"/>
  <c r="W30" i="32" s="1"/>
  <c r="W82" i="32" s="1"/>
  <c r="X32" i="17"/>
  <c r="W32" i="32" s="1"/>
  <c r="W84" i="32" s="1"/>
  <c r="X34" i="17"/>
  <c r="W34" i="32" s="1"/>
  <c r="W86" i="32" s="1"/>
  <c r="X35" i="17"/>
  <c r="W35" i="32" s="1"/>
  <c r="W87" i="32" s="1"/>
  <c r="X7" i="17"/>
  <c r="W7" i="32" s="1"/>
  <c r="W59" i="32" s="1"/>
  <c r="X27" i="17"/>
  <c r="W27" i="32" s="1"/>
  <c r="W79" i="32" s="1"/>
  <c r="X8" i="17"/>
  <c r="W8" i="32" s="1"/>
  <c r="W60" i="32" s="1"/>
  <c r="X28" i="17"/>
  <c r="W28" i="32" s="1"/>
  <c r="W80" i="32" s="1"/>
  <c r="X38" i="17"/>
  <c r="W38" i="32" s="1"/>
  <c r="W90" i="32" s="1"/>
  <c r="X31" i="17"/>
  <c r="W31" i="32" s="1"/>
  <c r="W83" i="32" s="1"/>
  <c r="X15" i="17"/>
  <c r="W15" i="32" s="1"/>
  <c r="W67" i="32" s="1"/>
  <c r="X33" i="17"/>
  <c r="W33" i="32" s="1"/>
  <c r="W85" i="32" s="1"/>
  <c r="X37" i="17"/>
  <c r="W37" i="32" s="1"/>
  <c r="W89" i="32" s="1"/>
  <c r="X51" i="17"/>
  <c r="W51" i="32" s="1"/>
  <c r="W103" i="32" s="1"/>
  <c r="X10" i="17"/>
  <c r="W10" i="32" s="1"/>
  <c r="W62" i="32" s="1"/>
  <c r="Q8" i="17"/>
  <c r="Q8" i="32" s="1"/>
  <c r="Q60" i="32" s="1"/>
  <c r="O32" i="17"/>
  <c r="O32" i="32" s="1"/>
  <c r="O84" i="32" s="1"/>
  <c r="M34" i="18"/>
  <c r="M42" i="18"/>
  <c r="M44" i="18"/>
  <c r="M27" i="18"/>
  <c r="M38" i="18"/>
  <c r="M26" i="18"/>
  <c r="W27" i="17"/>
  <c r="V27" i="32" s="1"/>
  <c r="V79" i="32" s="1"/>
  <c r="AC39" i="17"/>
  <c r="V17" i="18"/>
  <c r="V44" i="18"/>
  <c r="V38" i="18"/>
  <c r="V50" i="18"/>
  <c r="V18" i="18"/>
  <c r="V36" i="18"/>
  <c r="L34" i="33"/>
  <c r="L76" i="33" s="1"/>
  <c r="L21" i="17"/>
  <c r="L21" i="32" s="1"/>
  <c r="L73" i="32" s="1"/>
  <c r="L37" i="17"/>
  <c r="L37" i="32" s="1"/>
  <c r="L89" i="32" s="1"/>
  <c r="L20" i="17"/>
  <c r="L20" i="32" s="1"/>
  <c r="L72" i="32" s="1"/>
  <c r="L17" i="17"/>
  <c r="L17" i="32" s="1"/>
  <c r="L69" i="32" s="1"/>
  <c r="L29" i="17"/>
  <c r="L29" i="32" s="1"/>
  <c r="L81" i="32" s="1"/>
  <c r="L8" i="17"/>
  <c r="L8" i="32" s="1"/>
  <c r="L60" i="32" s="1"/>
  <c r="L11" i="17"/>
  <c r="L11" i="32" s="1"/>
  <c r="L63" i="32" s="1"/>
  <c r="L51" i="17"/>
  <c r="L51" i="32" s="1"/>
  <c r="L103" i="32" s="1"/>
  <c r="L22" i="17"/>
  <c r="L22" i="32" s="1"/>
  <c r="L74" i="32" s="1"/>
  <c r="L42" i="17"/>
  <c r="L42" i="32" s="1"/>
  <c r="L94" i="32" s="1"/>
  <c r="L12" i="17"/>
  <c r="L12" i="32" s="1"/>
  <c r="L64" i="32" s="1"/>
  <c r="L32" i="17"/>
  <c r="L32" i="32" s="1"/>
  <c r="L84" i="32" s="1"/>
  <c r="L43" i="17"/>
  <c r="L43" i="32" s="1"/>
  <c r="L95" i="32" s="1"/>
  <c r="L25" i="17"/>
  <c r="L25" i="32" s="1"/>
  <c r="L77" i="32" s="1"/>
  <c r="L46" i="17"/>
  <c r="L46" i="32" s="1"/>
  <c r="L98" i="32" s="1"/>
  <c r="L9" i="17"/>
  <c r="L9" i="32" s="1"/>
  <c r="L61" i="32" s="1"/>
  <c r="L50" i="17"/>
  <c r="L50" i="32" s="1"/>
  <c r="L102" i="32" s="1"/>
  <c r="L13" i="17"/>
  <c r="L13" i="32" s="1"/>
  <c r="L65" i="32" s="1"/>
  <c r="L47" i="17"/>
  <c r="L47" i="32" s="1"/>
  <c r="L99" i="32" s="1"/>
  <c r="L28" i="17"/>
  <c r="L28" i="32" s="1"/>
  <c r="L80" i="32" s="1"/>
  <c r="L14" i="17"/>
  <c r="L14" i="32" s="1"/>
  <c r="L66" i="32" s="1"/>
  <c r="L36" i="17"/>
  <c r="L36" i="32" s="1"/>
  <c r="L88" i="32" s="1"/>
  <c r="L33" i="17"/>
  <c r="L33" i="32" s="1"/>
  <c r="L85" i="32" s="1"/>
  <c r="L7" i="17"/>
  <c r="L7" i="32" s="1"/>
  <c r="L59" i="32" s="1"/>
  <c r="L23" i="17"/>
  <c r="L23" i="32" s="1"/>
  <c r="L75" i="32" s="1"/>
  <c r="L45" i="17"/>
  <c r="L45" i="32" s="1"/>
  <c r="L97" i="32" s="1"/>
  <c r="L16" i="17"/>
  <c r="L16" i="32" s="1"/>
  <c r="L68" i="32" s="1"/>
  <c r="L44" i="17"/>
  <c r="L44" i="32" s="1"/>
  <c r="L96" i="32" s="1"/>
  <c r="L35" i="17"/>
  <c r="L35" i="32" s="1"/>
  <c r="L87" i="32" s="1"/>
  <c r="L39" i="17"/>
  <c r="L39" i="32" s="1"/>
  <c r="L91" i="32" s="1"/>
  <c r="L40" i="17"/>
  <c r="L40" i="32" s="1"/>
  <c r="L92" i="32" s="1"/>
  <c r="L10" i="17"/>
  <c r="L10" i="32" s="1"/>
  <c r="L62" i="32" s="1"/>
  <c r="L34" i="17"/>
  <c r="L34" i="32" s="1"/>
  <c r="L86" i="32" s="1"/>
  <c r="L18" i="17"/>
  <c r="L18" i="32" s="1"/>
  <c r="L70" i="32" s="1"/>
  <c r="L30" i="17"/>
  <c r="L30" i="32" s="1"/>
  <c r="L82" i="32" s="1"/>
  <c r="L5" i="17"/>
  <c r="L6" i="17"/>
  <c r="L6" i="32" s="1"/>
  <c r="L58" i="32" s="1"/>
  <c r="L24" i="17"/>
  <c r="L24" i="32" s="1"/>
  <c r="L76" i="32" s="1"/>
  <c r="L26" i="17"/>
  <c r="L26" i="32" s="1"/>
  <c r="L78" i="32" s="1"/>
  <c r="L48" i="17"/>
  <c r="L48" i="32" s="1"/>
  <c r="L100" i="32" s="1"/>
  <c r="L19" i="17"/>
  <c r="L19" i="32" s="1"/>
  <c r="L71" i="32" s="1"/>
  <c r="L49" i="17"/>
  <c r="L49" i="32" s="1"/>
  <c r="L101" i="32" s="1"/>
  <c r="L15" i="17"/>
  <c r="L15" i="32" s="1"/>
  <c r="L67" i="32" s="1"/>
  <c r="L27" i="17"/>
  <c r="L27" i="32" s="1"/>
  <c r="L79" i="32" s="1"/>
  <c r="L41" i="17"/>
  <c r="L41" i="32" s="1"/>
  <c r="L93" i="32" s="1"/>
  <c r="L38" i="17"/>
  <c r="L38" i="32" s="1"/>
  <c r="L90" i="32" s="1"/>
  <c r="Q7" i="17"/>
  <c r="Q7" i="32" s="1"/>
  <c r="Q59" i="32" s="1"/>
  <c r="N37" i="22"/>
  <c r="N37" i="21"/>
  <c r="N37" i="33" s="1"/>
  <c r="N79" i="33" s="1"/>
  <c r="N27" i="33"/>
  <c r="N69" i="33" s="1"/>
  <c r="N27" i="21"/>
  <c r="N27" i="22"/>
  <c r="N7" i="21"/>
  <c r="N7" i="33" s="1"/>
  <c r="N49" i="33" s="1"/>
  <c r="N7" i="22"/>
  <c r="N13" i="21"/>
  <c r="N13" i="33" s="1"/>
  <c r="N55" i="33" s="1"/>
  <c r="N13" i="22"/>
  <c r="I14" i="35"/>
  <c r="B14" i="35"/>
  <c r="O36" i="21"/>
  <c r="O36" i="33" s="1"/>
  <c r="O78" i="33" s="1"/>
  <c r="O36" i="22"/>
  <c r="O27" i="21"/>
  <c r="O27" i="33" s="1"/>
  <c r="O69" i="33" s="1"/>
  <c r="O27" i="22"/>
  <c r="O11" i="33"/>
  <c r="O53" i="33" s="1"/>
  <c r="O11" i="22"/>
  <c r="O11" i="21"/>
  <c r="O8" i="21"/>
  <c r="O8" i="33" s="1"/>
  <c r="O50" i="33" s="1"/>
  <c r="O8" i="22"/>
  <c r="R41" i="33"/>
  <c r="R83" i="33" s="1"/>
  <c r="W41" i="20"/>
  <c r="T41" i="21"/>
  <c r="W41" i="21" s="1"/>
  <c r="T41" i="22"/>
  <c r="W9" i="20"/>
  <c r="T9" i="21"/>
  <c r="R9" i="33" s="1"/>
  <c r="R51" i="33" s="1"/>
  <c r="T9" i="22"/>
  <c r="R34" i="33"/>
  <c r="R76" i="33" s="1"/>
  <c r="T34" i="22"/>
  <c r="W34" i="20"/>
  <c r="T34" i="21"/>
  <c r="W32" i="20"/>
  <c r="AB32" i="20" s="1"/>
  <c r="T32" i="21"/>
  <c r="R32" i="33" s="1"/>
  <c r="R74" i="33" s="1"/>
  <c r="T32" i="22"/>
  <c r="R36" i="33"/>
  <c r="R78" i="33" s="1"/>
  <c r="W36" i="20"/>
  <c r="T36" i="21"/>
  <c r="T36" i="22"/>
  <c r="Z18" i="21"/>
  <c r="AA18" i="21" s="1"/>
  <c r="AA18" i="20"/>
  <c r="Z18" i="22"/>
  <c r="AA18" i="22" s="1"/>
  <c r="V13" i="33"/>
  <c r="V55" i="33" s="1"/>
  <c r="Z13" i="21"/>
  <c r="AA13" i="21" s="1"/>
  <c r="AA13" i="20"/>
  <c r="Z13" i="22"/>
  <c r="AA13" i="22" s="1"/>
  <c r="Z23" i="21"/>
  <c r="AA23" i="21" s="1"/>
  <c r="AA23" i="20"/>
  <c r="Z23" i="22"/>
  <c r="AA23" i="22" s="1"/>
  <c r="V38" i="33"/>
  <c r="V80" i="33" s="1"/>
  <c r="Z38" i="21"/>
  <c r="AA38" i="21" s="1"/>
  <c r="AA38" i="20"/>
  <c r="Z38" i="22"/>
  <c r="AA38" i="22" s="1"/>
  <c r="Z32" i="21"/>
  <c r="AA32" i="21" s="1"/>
  <c r="AA32" i="20"/>
  <c r="Z32" i="22"/>
  <c r="AA32" i="22" s="1"/>
  <c r="P15" i="34"/>
  <c r="O9" i="17"/>
  <c r="O9" i="32" s="1"/>
  <c r="O61" i="32" s="1"/>
  <c r="M41" i="33"/>
  <c r="M83" i="33" s="1"/>
  <c r="M41" i="21"/>
  <c r="M41" i="22"/>
  <c r="M36" i="21"/>
  <c r="M36" i="33" s="1"/>
  <c r="M78" i="33" s="1"/>
  <c r="M36" i="22"/>
  <c r="M33" i="33"/>
  <c r="M75" i="33" s="1"/>
  <c r="M33" i="21"/>
  <c r="Q33" i="21" s="1"/>
  <c r="M33" i="22"/>
  <c r="Q33" i="22" s="1"/>
  <c r="M22" i="33"/>
  <c r="M64" i="33" s="1"/>
  <c r="M22" i="21"/>
  <c r="M22" i="22"/>
  <c r="M15" i="21"/>
  <c r="M15" i="22"/>
  <c r="M15" i="33" s="1"/>
  <c r="M57" i="33" s="1"/>
  <c r="U53" i="18"/>
  <c r="T17" i="33"/>
  <c r="T59" i="33" s="1"/>
  <c r="V17" i="21"/>
  <c r="V17" i="22"/>
  <c r="V41" i="21"/>
  <c r="T41" i="33" s="1"/>
  <c r="T83" i="33" s="1"/>
  <c r="V41" i="22"/>
  <c r="V30" i="22"/>
  <c r="T30" i="33" s="1"/>
  <c r="T72" i="33" s="1"/>
  <c r="V30" i="21"/>
  <c r="T26" i="33"/>
  <c r="T68" i="33" s="1"/>
  <c r="V26" i="22"/>
  <c r="V26" i="21"/>
  <c r="X53" i="18"/>
  <c r="M33" i="18"/>
  <c r="M11" i="18"/>
  <c r="M37" i="18"/>
  <c r="M23" i="18"/>
  <c r="M49" i="18"/>
  <c r="M39" i="18"/>
  <c r="AB36" i="20"/>
  <c r="AB9" i="20"/>
  <c r="Q29" i="22"/>
  <c r="P23" i="17"/>
  <c r="P50" i="17"/>
  <c r="P50" i="32" s="1"/>
  <c r="P102" i="32" s="1"/>
  <c r="P6" i="17"/>
  <c r="P6" i="32" s="1"/>
  <c r="P58" i="32" s="1"/>
  <c r="P49" i="17"/>
  <c r="P49" i="32" s="1"/>
  <c r="P101" i="32" s="1"/>
  <c r="P24" i="17"/>
  <c r="P51" i="17"/>
  <c r="P51" i="32" s="1"/>
  <c r="P103" i="32" s="1"/>
  <c r="P36" i="17"/>
  <c r="P36" i="32" s="1"/>
  <c r="P88" i="32" s="1"/>
  <c r="P28" i="17"/>
  <c r="P21" i="17"/>
  <c r="P44" i="17"/>
  <c r="P44" i="32" s="1"/>
  <c r="P96" i="32" s="1"/>
  <c r="P48" i="17"/>
  <c r="P48" i="32" s="1"/>
  <c r="P100" i="32" s="1"/>
  <c r="P12" i="17"/>
  <c r="P12" i="32" s="1"/>
  <c r="P64" i="32" s="1"/>
  <c r="P31" i="17"/>
  <c r="P31" i="32" s="1"/>
  <c r="P83" i="32" s="1"/>
  <c r="P7" i="17"/>
  <c r="P7" i="32" s="1"/>
  <c r="P59" i="32" s="1"/>
  <c r="P19" i="17"/>
  <c r="P19" i="32" s="1"/>
  <c r="P71" i="32" s="1"/>
  <c r="P14" i="17"/>
  <c r="P14" i="32" s="1"/>
  <c r="P66" i="32" s="1"/>
  <c r="P26" i="17"/>
  <c r="P29" i="17"/>
  <c r="P38" i="17"/>
  <c r="P38" i="32" s="1"/>
  <c r="P90" i="32" s="1"/>
  <c r="P5" i="17"/>
  <c r="P32" i="17"/>
  <c r="P32" i="32" s="1"/>
  <c r="P84" i="32" s="1"/>
  <c r="P40" i="17"/>
  <c r="P40" i="32" s="1"/>
  <c r="P92" i="32" s="1"/>
  <c r="P17" i="17"/>
  <c r="P17" i="32" s="1"/>
  <c r="P69" i="32" s="1"/>
  <c r="P18" i="17"/>
  <c r="P18" i="32" s="1"/>
  <c r="P70" i="32" s="1"/>
  <c r="P25" i="17"/>
  <c r="P25" i="32" s="1"/>
  <c r="P77" i="32" s="1"/>
  <c r="P27" i="17"/>
  <c r="P34" i="17"/>
  <c r="P34" i="32" s="1"/>
  <c r="P86" i="32" s="1"/>
  <c r="P46" i="17"/>
  <c r="P46" i="32" s="1"/>
  <c r="P98" i="32" s="1"/>
  <c r="P35" i="17"/>
  <c r="P35" i="32" s="1"/>
  <c r="P87" i="32" s="1"/>
  <c r="P37" i="17"/>
  <c r="P37" i="32" s="1"/>
  <c r="P89" i="32" s="1"/>
  <c r="P41" i="17"/>
  <c r="P41" i="32" s="1"/>
  <c r="P93" i="32" s="1"/>
  <c r="P42" i="17"/>
  <c r="P42" i="32" s="1"/>
  <c r="P94" i="32" s="1"/>
  <c r="P22" i="17"/>
  <c r="P47" i="17"/>
  <c r="P47" i="32" s="1"/>
  <c r="P99" i="32" s="1"/>
  <c r="P30" i="17"/>
  <c r="P30" i="32" s="1"/>
  <c r="P82" i="32" s="1"/>
  <c r="P16" i="17"/>
  <c r="P16" i="32" s="1"/>
  <c r="P68" i="32" s="1"/>
  <c r="P9" i="17"/>
  <c r="P9" i="32" s="1"/>
  <c r="P61" i="32" s="1"/>
  <c r="P10" i="17"/>
  <c r="P10" i="32" s="1"/>
  <c r="P62" i="32" s="1"/>
  <c r="P8" i="17"/>
  <c r="P8" i="32" s="1"/>
  <c r="P60" i="32" s="1"/>
  <c r="P15" i="17"/>
  <c r="P15" i="32" s="1"/>
  <c r="P67" i="32" s="1"/>
  <c r="P13" i="17"/>
  <c r="P13" i="32" s="1"/>
  <c r="P65" i="32" s="1"/>
  <c r="P11" i="17"/>
  <c r="P11" i="32" s="1"/>
  <c r="P63" i="32" s="1"/>
  <c r="P33" i="17"/>
  <c r="P33" i="32" s="1"/>
  <c r="P85" i="32" s="1"/>
  <c r="P20" i="17"/>
  <c r="P20" i="32" s="1"/>
  <c r="P72" i="32" s="1"/>
  <c r="P43" i="17"/>
  <c r="P43" i="32" s="1"/>
  <c r="P95" i="32" s="1"/>
  <c r="P45" i="17"/>
  <c r="P45" i="32" s="1"/>
  <c r="P97" i="32" s="1"/>
  <c r="V22" i="18"/>
  <c r="V9" i="18"/>
  <c r="V47" i="18"/>
  <c r="V24" i="18"/>
  <c r="V27" i="18"/>
  <c r="V10" i="18"/>
  <c r="Q23" i="33"/>
  <c r="Q65" i="33" s="1"/>
  <c r="Q41" i="33"/>
  <c r="Q83" i="33" s="1"/>
  <c r="Q33" i="17"/>
  <c r="Q33" i="32" s="1"/>
  <c r="Q85" i="32" s="1"/>
  <c r="Q28" i="17"/>
  <c r="Q28" i="32" s="1"/>
  <c r="Q80" i="32" s="1"/>
  <c r="Q20" i="17"/>
  <c r="Q20" i="32" s="1"/>
  <c r="Q72" i="32" s="1"/>
  <c r="Q50" i="17"/>
  <c r="Q50" i="32" s="1"/>
  <c r="Q102" i="32" s="1"/>
  <c r="Q45" i="17"/>
  <c r="Q45" i="32" s="1"/>
  <c r="Q97" i="32" s="1"/>
  <c r="Q32" i="17"/>
  <c r="Q32" i="32" s="1"/>
  <c r="Q84" i="32" s="1"/>
  <c r="Q43" i="17"/>
  <c r="Q43" i="32" s="1"/>
  <c r="Q95" i="32" s="1"/>
  <c r="Q5" i="17"/>
  <c r="Q16" i="33"/>
  <c r="Q58" i="33" s="1"/>
  <c r="Q19" i="33"/>
  <c r="Q61" i="33" s="1"/>
  <c r="AA27" i="32"/>
  <c r="AA79" i="32" s="1"/>
  <c r="L9" i="33"/>
  <c r="L51" i="33" s="1"/>
  <c r="Q7" i="33"/>
  <c r="Q49" i="33" s="1"/>
  <c r="Q8" i="33"/>
  <c r="Q50" i="33" s="1"/>
  <c r="Q28" i="33"/>
  <c r="Q70" i="33" s="1"/>
  <c r="L53" i="18"/>
  <c r="Q6" i="17"/>
  <c r="Q6" i="32" s="1"/>
  <c r="Q58" i="32" s="1"/>
  <c r="N32" i="33"/>
  <c r="N74" i="33" s="1"/>
  <c r="N32" i="21"/>
  <c r="N32" i="22"/>
  <c r="N8" i="21"/>
  <c r="N8" i="33" s="1"/>
  <c r="N50" i="33" s="1"/>
  <c r="N8" i="22"/>
  <c r="N12" i="21"/>
  <c r="N12" i="33" s="1"/>
  <c r="N54" i="33" s="1"/>
  <c r="N12" i="22"/>
  <c r="N40" i="33"/>
  <c r="N82" i="33" s="1"/>
  <c r="N40" i="21"/>
  <c r="N40" i="22"/>
  <c r="N20" i="21"/>
  <c r="N20" i="33" s="1"/>
  <c r="N62" i="33" s="1"/>
  <c r="N20" i="22"/>
  <c r="Q13" i="17"/>
  <c r="Q13" i="32" s="1"/>
  <c r="Q65" i="32" s="1"/>
  <c r="Q30" i="17"/>
  <c r="Q30" i="32" s="1"/>
  <c r="Q82" i="32" s="1"/>
  <c r="O26" i="33"/>
  <c r="O68" i="33" s="1"/>
  <c r="O26" i="21"/>
  <c r="O26" i="22"/>
  <c r="O13" i="21"/>
  <c r="O13" i="33" s="1"/>
  <c r="O55" i="33" s="1"/>
  <c r="O13" i="22"/>
  <c r="O23" i="33"/>
  <c r="O65" i="33" s="1"/>
  <c r="O23" i="22"/>
  <c r="O23" i="21"/>
  <c r="O33" i="21"/>
  <c r="O33" i="22"/>
  <c r="O33" i="33" s="1"/>
  <c r="O75" i="33" s="1"/>
  <c r="O12" i="21"/>
  <c r="O12" i="22"/>
  <c r="O12" i="33" s="1"/>
  <c r="O54" i="33" s="1"/>
  <c r="R40" i="33"/>
  <c r="R82" i="33" s="1"/>
  <c r="W40" i="20"/>
  <c r="AB40" i="20" s="1"/>
  <c r="T40" i="21"/>
  <c r="T40" i="22"/>
  <c r="T12" i="22"/>
  <c r="W12" i="22" s="1"/>
  <c r="T12" i="21"/>
  <c r="W12" i="21" s="1"/>
  <c r="W12" i="20"/>
  <c r="R13" i="33"/>
  <c r="R55" i="33" s="1"/>
  <c r="T13" i="21"/>
  <c r="W13" i="20"/>
  <c r="T13" i="22"/>
  <c r="T30" i="22"/>
  <c r="W30" i="22" s="1"/>
  <c r="W30" i="20"/>
  <c r="AB30" i="20" s="1"/>
  <c r="T30" i="21"/>
  <c r="W30" i="21" s="1"/>
  <c r="AA18" i="32"/>
  <c r="AA70" i="32" s="1"/>
  <c r="V9" i="33"/>
  <c r="V51" i="33" s="1"/>
  <c r="Z9" i="21"/>
  <c r="AA9" i="21" s="1"/>
  <c r="AA9" i="20"/>
  <c r="Z9" i="22"/>
  <c r="AA9" i="22" s="1"/>
  <c r="Z15" i="21"/>
  <c r="AA15" i="21" s="1"/>
  <c r="AA15" i="20"/>
  <c r="Z15" i="22"/>
  <c r="AA15" i="22" s="1"/>
  <c r="V20" i="33"/>
  <c r="V62" i="33" s="1"/>
  <c r="Z20" i="21"/>
  <c r="AA20" i="21" s="1"/>
  <c r="AA20" i="20"/>
  <c r="Z20" i="22"/>
  <c r="AA20" i="22" s="1"/>
  <c r="Z12" i="21"/>
  <c r="AA12" i="21" s="1"/>
  <c r="AA12" i="20"/>
  <c r="Z12" i="22"/>
  <c r="AA12" i="22" s="1"/>
  <c r="V7" i="33"/>
  <c r="V49" i="33" s="1"/>
  <c r="Z7" i="21"/>
  <c r="AA7" i="21" s="1"/>
  <c r="AA7" i="20"/>
  <c r="Z7" i="22"/>
  <c r="AA7" i="22" s="1"/>
  <c r="W15" i="17"/>
  <c r="V15" i="32" s="1"/>
  <c r="V67" i="32" s="1"/>
  <c r="W11" i="17"/>
  <c r="V11" i="32" s="1"/>
  <c r="V63" i="32" s="1"/>
  <c r="W44" i="17"/>
  <c r="V44" i="32" s="1"/>
  <c r="V96" i="32" s="1"/>
  <c r="W5" i="17"/>
  <c r="W38" i="17"/>
  <c r="V38" i="32" s="1"/>
  <c r="V90" i="32" s="1"/>
  <c r="W12" i="17"/>
  <c r="V12" i="32" s="1"/>
  <c r="V64" i="32" s="1"/>
  <c r="W41" i="17"/>
  <c r="V41" i="32" s="1"/>
  <c r="V93" i="32" s="1"/>
  <c r="W35" i="17"/>
  <c r="V35" i="32" s="1"/>
  <c r="V87" i="32" s="1"/>
  <c r="W37" i="17"/>
  <c r="V37" i="32" s="1"/>
  <c r="V89" i="32" s="1"/>
  <c r="M23" i="33"/>
  <c r="M65" i="33" s="1"/>
  <c r="M23" i="22"/>
  <c r="M23" i="21"/>
  <c r="M8" i="21"/>
  <c r="Q8" i="21" s="1"/>
  <c r="M8" i="22"/>
  <c r="Q8" i="22" s="1"/>
  <c r="M32" i="21"/>
  <c r="Q32" i="21" s="1"/>
  <c r="M32" i="22"/>
  <c r="Q32" i="22" s="1"/>
  <c r="M29" i="33"/>
  <c r="M71" i="33" s="1"/>
  <c r="M29" i="21"/>
  <c r="M29" i="22"/>
  <c r="M34" i="22"/>
  <c r="M34" i="21"/>
  <c r="M34" i="33" s="1"/>
  <c r="M76" i="33" s="1"/>
  <c r="L30" i="33"/>
  <c r="L72" i="33" s="1"/>
  <c r="T25" i="33"/>
  <c r="T67" i="33" s="1"/>
  <c r="V25" i="21"/>
  <c r="V25" i="22"/>
  <c r="V32" i="21"/>
  <c r="T32" i="33" s="1"/>
  <c r="T74" i="33" s="1"/>
  <c r="V32" i="22"/>
  <c r="V28" i="21"/>
  <c r="T28" i="33" s="1"/>
  <c r="T70" i="33" s="1"/>
  <c r="V28" i="22"/>
  <c r="T15" i="33"/>
  <c r="T57" i="33" s="1"/>
  <c r="V15" i="22"/>
  <c r="V15" i="21"/>
  <c r="S5" i="22"/>
  <c r="S43" i="22" s="1"/>
  <c r="R43" i="22"/>
  <c r="M45" i="18"/>
  <c r="M28" i="18"/>
  <c r="M48" i="18"/>
  <c r="M14" i="18"/>
  <c r="M29" i="18"/>
  <c r="M32" i="18"/>
  <c r="Q12" i="22"/>
  <c r="Q36" i="21"/>
  <c r="P53" i="18"/>
  <c r="L8" i="33"/>
  <c r="L50" i="33" s="1"/>
  <c r="B7" i="35" s="1"/>
  <c r="B13" i="35" s="1"/>
  <c r="V31" i="18"/>
  <c r="V25" i="18"/>
  <c r="V6" i="18"/>
  <c r="V7" i="18"/>
  <c r="V32" i="18"/>
  <c r="V29" i="18"/>
  <c r="Q53" i="18"/>
  <c r="Q36" i="17"/>
  <c r="Q36" i="32" s="1"/>
  <c r="Q88" i="32" s="1"/>
  <c r="Y20" i="16"/>
  <c r="Y5" i="16"/>
  <c r="Y26" i="16"/>
  <c r="Y40" i="16"/>
  <c r="Y49" i="16"/>
  <c r="Y46" i="16"/>
  <c r="Y16" i="16"/>
  <c r="Y12" i="16"/>
  <c r="Y43" i="16"/>
  <c r="Y42" i="16"/>
  <c r="Y28" i="16"/>
  <c r="Y47" i="16"/>
  <c r="Y19" i="16"/>
  <c r="Y8" i="16"/>
  <c r="AB8" i="16" s="1"/>
  <c r="Y38" i="16"/>
  <c r="Y33" i="16"/>
  <c r="Y35" i="16"/>
  <c r="AB35" i="16" s="1"/>
  <c r="Y45" i="16"/>
  <c r="Y14" i="16"/>
  <c r="Y15" i="16"/>
  <c r="Y22" i="16"/>
  <c r="AB22" i="16" s="1"/>
  <c r="Y37" i="16"/>
  <c r="Y44" i="16"/>
  <c r="Y29" i="16"/>
  <c r="Y10" i="16"/>
  <c r="Y11" i="16"/>
  <c r="AB11" i="16" s="1"/>
  <c r="Y32" i="16"/>
  <c r="Y39" i="16"/>
  <c r="Y30" i="16"/>
  <c r="AB30" i="16" s="1"/>
  <c r="Y36" i="16"/>
  <c r="AB36" i="16" s="1"/>
  <c r="Y6" i="16"/>
  <c r="Y7" i="16"/>
  <c r="Y34" i="16"/>
  <c r="Y48" i="16"/>
  <c r="Y41" i="16"/>
  <c r="Y18" i="16"/>
  <c r="Y13" i="16"/>
  <c r="Y17" i="16"/>
  <c r="AB17" i="16" s="1"/>
  <c r="Y51" i="16"/>
  <c r="Y24" i="16"/>
  <c r="Y27" i="16"/>
  <c r="Y25" i="16"/>
  <c r="Y9" i="16"/>
  <c r="Y23" i="16"/>
  <c r="Y31" i="16"/>
  <c r="AB31" i="16" s="1"/>
  <c r="Y50" i="16"/>
  <c r="Y21" i="16"/>
  <c r="Q34" i="33"/>
  <c r="Q76" i="33" s="1"/>
  <c r="Q9" i="33"/>
  <c r="Q51" i="33" s="1"/>
  <c r="Q31" i="17"/>
  <c r="Q31" i="32" s="1"/>
  <c r="Q83" i="32" s="1"/>
  <c r="L32" i="33"/>
  <c r="L74" i="33" s="1"/>
  <c r="O43" i="17"/>
  <c r="O43" i="32" s="1"/>
  <c r="O95" i="32" s="1"/>
  <c r="O50" i="17"/>
  <c r="O50" i="32" s="1"/>
  <c r="O102" i="32" s="1"/>
  <c r="O38" i="17"/>
  <c r="O38" i="32" s="1"/>
  <c r="O90" i="32" s="1"/>
  <c r="O46" i="17"/>
  <c r="O46" i="32" s="1"/>
  <c r="O98" i="32" s="1"/>
  <c r="O48" i="17"/>
  <c r="O48" i="32" s="1"/>
  <c r="O100" i="32" s="1"/>
  <c r="O5" i="17"/>
  <c r="O15" i="17"/>
  <c r="O15" i="32" s="1"/>
  <c r="O67" i="32" s="1"/>
  <c r="O17" i="17"/>
  <c r="O17" i="32" s="1"/>
  <c r="O69" i="32" s="1"/>
  <c r="O16" i="17"/>
  <c r="O16" i="32" s="1"/>
  <c r="O68" i="32" s="1"/>
  <c r="O44" i="17"/>
  <c r="O44" i="32" s="1"/>
  <c r="O96" i="32" s="1"/>
  <c r="O10" i="17"/>
  <c r="O10" i="32" s="1"/>
  <c r="O62" i="32" s="1"/>
  <c r="O7" i="17"/>
  <c r="O7" i="32" s="1"/>
  <c r="O59" i="32" s="1"/>
  <c r="O8" i="17"/>
  <c r="O8" i="32" s="1"/>
  <c r="O60" i="32" s="1"/>
  <c r="O27" i="17"/>
  <c r="O27" i="32" s="1"/>
  <c r="O79" i="32" s="1"/>
  <c r="O29" i="17"/>
  <c r="O29" i="32" s="1"/>
  <c r="O81" i="32" s="1"/>
  <c r="O36" i="17"/>
  <c r="O36" i="32" s="1"/>
  <c r="O88" i="32" s="1"/>
  <c r="O41" i="17"/>
  <c r="O41" i="32" s="1"/>
  <c r="O93" i="32" s="1"/>
  <c r="O28" i="17"/>
  <c r="O28" i="32" s="1"/>
  <c r="O80" i="32" s="1"/>
  <c r="O24" i="17"/>
  <c r="O24" i="32" s="1"/>
  <c r="O76" i="32" s="1"/>
  <c r="O45" i="17"/>
  <c r="O45" i="32" s="1"/>
  <c r="O97" i="32" s="1"/>
  <c r="O35" i="17"/>
  <c r="O35" i="32" s="1"/>
  <c r="O87" i="32" s="1"/>
  <c r="O42" i="17"/>
  <c r="O42" i="32" s="1"/>
  <c r="O94" i="32" s="1"/>
  <c r="O20" i="17"/>
  <c r="O20" i="32" s="1"/>
  <c r="O72" i="32" s="1"/>
  <c r="O14" i="17"/>
  <c r="O14" i="32" s="1"/>
  <c r="O66" i="32" s="1"/>
  <c r="O47" i="17"/>
  <c r="O47" i="32" s="1"/>
  <c r="O99" i="32" s="1"/>
  <c r="O33" i="17"/>
  <c r="O33" i="32" s="1"/>
  <c r="O85" i="32" s="1"/>
  <c r="O11" i="17"/>
  <c r="O11" i="32" s="1"/>
  <c r="O63" i="32" s="1"/>
  <c r="O39" i="17"/>
  <c r="O39" i="32" s="1"/>
  <c r="O91" i="32" s="1"/>
  <c r="O13" i="17"/>
  <c r="O13" i="32" s="1"/>
  <c r="O65" i="32" s="1"/>
  <c r="O6" i="17"/>
  <c r="O6" i="32" s="1"/>
  <c r="O58" i="32" s="1"/>
  <c r="O23" i="17"/>
  <c r="O23" i="32" s="1"/>
  <c r="O75" i="32" s="1"/>
  <c r="O21" i="17"/>
  <c r="O21" i="32" s="1"/>
  <c r="O73" i="32" s="1"/>
  <c r="O40" i="17"/>
  <c r="O40" i="32" s="1"/>
  <c r="O92" i="32" s="1"/>
  <c r="O34" i="17"/>
  <c r="O34" i="32" s="1"/>
  <c r="O86" i="32" s="1"/>
  <c r="O31" i="17"/>
  <c r="O31" i="32" s="1"/>
  <c r="O83" i="32" s="1"/>
  <c r="O30" i="17"/>
  <c r="O30" i="32" s="1"/>
  <c r="O82" i="32" s="1"/>
  <c r="O19" i="17"/>
  <c r="O19" i="32" s="1"/>
  <c r="O71" i="32" s="1"/>
  <c r="O12" i="17"/>
  <c r="O12" i="32" s="1"/>
  <c r="O64" i="32" s="1"/>
  <c r="O51" i="17"/>
  <c r="O51" i="32" s="1"/>
  <c r="O103" i="32" s="1"/>
  <c r="N30" i="21"/>
  <c r="N30" i="33" s="1"/>
  <c r="N72" i="33" s="1"/>
  <c r="N30" i="22"/>
  <c r="N24" i="33"/>
  <c r="N66" i="33" s="1"/>
  <c r="N24" i="22"/>
  <c r="Q24" i="22" s="1"/>
  <c r="N24" i="21"/>
  <c r="N31" i="21"/>
  <c r="N31" i="22"/>
  <c r="N31" i="33" s="1"/>
  <c r="N73" i="33" s="1"/>
  <c r="N19" i="21"/>
  <c r="N19" i="22"/>
  <c r="N19" i="33" s="1"/>
  <c r="N61" i="33" s="1"/>
  <c r="N28" i="33"/>
  <c r="N70" i="33" s="1"/>
  <c r="N28" i="21"/>
  <c r="N28" i="22"/>
  <c r="O39" i="21"/>
  <c r="O39" i="33" s="1"/>
  <c r="O81" i="33" s="1"/>
  <c r="O39" i="22"/>
  <c r="O7" i="21"/>
  <c r="O7" i="33" s="1"/>
  <c r="O49" i="33" s="1"/>
  <c r="O7" i="22"/>
  <c r="O38" i="33"/>
  <c r="O80" i="33" s="1"/>
  <c r="O38" i="22"/>
  <c r="O38" i="21"/>
  <c r="O34" i="21"/>
  <c r="O34" i="33" s="1"/>
  <c r="O76" i="33" s="1"/>
  <c r="O34" i="22"/>
  <c r="O16" i="33"/>
  <c r="O58" i="33" s="1"/>
  <c r="O16" i="21"/>
  <c r="O16" i="22"/>
  <c r="T21" i="22"/>
  <c r="W21" i="20"/>
  <c r="T21" i="21"/>
  <c r="W21" i="21" s="1"/>
  <c r="W33" i="20"/>
  <c r="AB33" i="20" s="1"/>
  <c r="X33" i="22" s="1"/>
  <c r="T33" i="21"/>
  <c r="W33" i="21" s="1"/>
  <c r="T33" i="22"/>
  <c r="W33" i="22" s="1"/>
  <c r="W6" i="20"/>
  <c r="AB6" i="20" s="1"/>
  <c r="T6" i="21"/>
  <c r="W6" i="21" s="1"/>
  <c r="T6" i="22"/>
  <c r="W6" i="22" s="1"/>
  <c r="W35" i="20"/>
  <c r="T35" i="21"/>
  <c r="W35" i="21" s="1"/>
  <c r="T35" i="22"/>
  <c r="Z35" i="21"/>
  <c r="AA35" i="21" s="1"/>
  <c r="AA35" i="20"/>
  <c r="Z35" i="22"/>
  <c r="AA35" i="22" s="1"/>
  <c r="Z22" i="21"/>
  <c r="AA22" i="21" s="1"/>
  <c r="AA22" i="20"/>
  <c r="Z22" i="22"/>
  <c r="AA22" i="22" s="1"/>
  <c r="AA8" i="20"/>
  <c r="AB8" i="20" s="1"/>
  <c r="Z8" i="22"/>
  <c r="AA8" i="22" s="1"/>
  <c r="Z8" i="21"/>
  <c r="AA8" i="21" s="1"/>
  <c r="AA28" i="20"/>
  <c r="Z28" i="22"/>
  <c r="AA28" i="22" s="1"/>
  <c r="Z28" i="21"/>
  <c r="AA28" i="21" s="1"/>
  <c r="Q10" i="33"/>
  <c r="Q52" i="33" s="1"/>
  <c r="Q40" i="33"/>
  <c r="Q82" i="33" s="1"/>
  <c r="Q23" i="17"/>
  <c r="Q23" i="32" s="1"/>
  <c r="Q75" i="32" s="1"/>
  <c r="P43" i="22"/>
  <c r="W53" i="18"/>
  <c r="M26" i="33"/>
  <c r="M68" i="33" s="1"/>
  <c r="M26" i="21"/>
  <c r="M26" i="22"/>
  <c r="M38" i="21"/>
  <c r="Q38" i="21" s="1"/>
  <c r="M38" i="22"/>
  <c r="Q38" i="22" s="1"/>
  <c r="M11" i="21"/>
  <c r="M11" i="22"/>
  <c r="M11" i="33" s="1"/>
  <c r="M53" i="33" s="1"/>
  <c r="M31" i="33"/>
  <c r="M73" i="33" s="1"/>
  <c r="M31" i="22"/>
  <c r="M31" i="21"/>
  <c r="AA48" i="32"/>
  <c r="AA100" i="32" s="1"/>
  <c r="L40" i="33"/>
  <c r="L82" i="33" s="1"/>
  <c r="V21" i="21"/>
  <c r="V21" i="22"/>
  <c r="T21" i="33" s="1"/>
  <c r="T63" i="33" s="1"/>
  <c r="T14" i="33"/>
  <c r="T56" i="33" s="1"/>
  <c r="V14" i="21"/>
  <c r="V14" i="22"/>
  <c r="V22" i="21"/>
  <c r="T22" i="33" s="1"/>
  <c r="T64" i="33" s="1"/>
  <c r="V22" i="22"/>
  <c r="V36" i="21"/>
  <c r="T36" i="33" s="1"/>
  <c r="T78" i="33" s="1"/>
  <c r="V36" i="22"/>
  <c r="T23" i="33"/>
  <c r="T65" i="33" s="1"/>
  <c r="V23" i="21"/>
  <c r="V23" i="22"/>
  <c r="S5" i="21"/>
  <c r="S43" i="21" s="1"/>
  <c r="R43" i="21"/>
  <c r="Q12" i="17"/>
  <c r="Q12" i="32" s="1"/>
  <c r="Q64" i="32" s="1"/>
  <c r="Q15" i="17"/>
  <c r="Q15" i="32" s="1"/>
  <c r="Q67" i="32" s="1"/>
  <c r="M31" i="18"/>
  <c r="M30" i="18"/>
  <c r="M5" i="18"/>
  <c r="M53" i="16"/>
  <c r="M58" i="16" s="1"/>
  <c r="M34" i="17" s="1"/>
  <c r="M34" i="32" s="1"/>
  <c r="M86" i="32" s="1"/>
  <c r="M7" i="18"/>
  <c r="M51" i="18"/>
  <c r="W29" i="17"/>
  <c r="V29" i="32" s="1"/>
  <c r="V81" i="32" s="1"/>
  <c r="L10" i="33"/>
  <c r="L52" i="33" s="1"/>
  <c r="AB23" i="20"/>
  <c r="Q29" i="21"/>
  <c r="U40" i="32"/>
  <c r="U92" i="32" s="1"/>
  <c r="V40" i="17"/>
  <c r="AB40" i="16"/>
  <c r="V40" i="18"/>
  <c r="V34" i="18"/>
  <c r="V37" i="18"/>
  <c r="U49" i="32"/>
  <c r="U101" i="32" s="1"/>
  <c r="V49" i="17"/>
  <c r="V49" i="18"/>
  <c r="V5" i="18"/>
  <c r="V53" i="16"/>
  <c r="V58" i="16" s="1"/>
  <c r="V44" i="17" s="1"/>
  <c r="U44" i="32" s="1"/>
  <c r="U96" i="32" s="1"/>
  <c r="V26" i="17"/>
  <c r="U26" i="32" s="1"/>
  <c r="U78" i="32" s="1"/>
  <c r="V26" i="18"/>
  <c r="L19" i="33"/>
  <c r="L61" i="33" s="1"/>
  <c r="Q40" i="17"/>
  <c r="Q40" i="32" s="1"/>
  <c r="Q92" i="32" s="1"/>
  <c r="AA37" i="32"/>
  <c r="AA89" i="32" s="1"/>
  <c r="O53" i="18"/>
  <c r="N25" i="21"/>
  <c r="N25" i="33" s="1"/>
  <c r="N67" i="33" s="1"/>
  <c r="N25" i="22"/>
  <c r="Q25" i="22" s="1"/>
  <c r="N14" i="33"/>
  <c r="N56" i="33" s="1"/>
  <c r="N14" i="21"/>
  <c r="N14" i="22"/>
  <c r="Q14" i="22" s="1"/>
  <c r="N5" i="21"/>
  <c r="N43" i="20"/>
  <c r="N5" i="22"/>
  <c r="N41" i="33"/>
  <c r="N83" i="33" s="1"/>
  <c r="N41" i="21"/>
  <c r="N41" i="22"/>
  <c r="N18" i="21"/>
  <c r="N18" i="33" s="1"/>
  <c r="N60" i="33" s="1"/>
  <c r="N18" i="22"/>
  <c r="Q29" i="33"/>
  <c r="Q71" i="33" s="1"/>
  <c r="Q20" i="33"/>
  <c r="Q62" i="33" s="1"/>
  <c r="Q13" i="33"/>
  <c r="Q55" i="33" s="1"/>
  <c r="O21" i="33"/>
  <c r="O63" i="33" s="1"/>
  <c r="O21" i="21"/>
  <c r="O21" i="22"/>
  <c r="O37" i="21"/>
  <c r="O37" i="33" s="1"/>
  <c r="O79" i="33" s="1"/>
  <c r="O37" i="22"/>
  <c r="O19" i="33"/>
  <c r="O61" i="33" s="1"/>
  <c r="O19" i="22"/>
  <c r="O19" i="21"/>
  <c r="O6" i="21"/>
  <c r="O6" i="22"/>
  <c r="O6" i="33" s="1"/>
  <c r="O48" i="33" s="1"/>
  <c r="O22" i="21"/>
  <c r="O22" i="22"/>
  <c r="O22" i="33" s="1"/>
  <c r="O64" i="33" s="1"/>
  <c r="R7" i="33"/>
  <c r="R49" i="33" s="1"/>
  <c r="W7" i="20"/>
  <c r="AB7" i="20" s="1"/>
  <c r="T7" i="21"/>
  <c r="W7" i="21" s="1"/>
  <c r="T7" i="22"/>
  <c r="W7" i="22" s="1"/>
  <c r="W28" i="20"/>
  <c r="AB28" i="20" s="1"/>
  <c r="T28" i="21"/>
  <c r="W28" i="21" s="1"/>
  <c r="T28" i="22"/>
  <c r="W28" i="22" s="1"/>
  <c r="R14" i="33"/>
  <c r="R56" i="33" s="1"/>
  <c r="T14" i="21"/>
  <c r="W14" i="21" s="1"/>
  <c r="T14" i="22"/>
  <c r="W14" i="22" s="1"/>
  <c r="W14" i="20"/>
  <c r="W25" i="20"/>
  <c r="T25" i="21"/>
  <c r="W25" i="21" s="1"/>
  <c r="T25" i="22"/>
  <c r="W25" i="22" s="1"/>
  <c r="V33" i="33"/>
  <c r="V75" i="33" s="1"/>
  <c r="AA33" i="20"/>
  <c r="Z33" i="22"/>
  <c r="AA33" i="22" s="1"/>
  <c r="Z33" i="21"/>
  <c r="AA33" i="21" s="1"/>
  <c r="Z17" i="21"/>
  <c r="AA17" i="21" s="1"/>
  <c r="AA17" i="20"/>
  <c r="Z17" i="22"/>
  <c r="AA17" i="22" s="1"/>
  <c r="V37" i="33"/>
  <c r="V79" i="33" s="1"/>
  <c r="Z37" i="22"/>
  <c r="AA37" i="22" s="1"/>
  <c r="Z37" i="21"/>
  <c r="AA37" i="21" s="1"/>
  <c r="AA37" i="20"/>
  <c r="AB37" i="20" s="1"/>
  <c r="Z31" i="21"/>
  <c r="AA31" i="21" s="1"/>
  <c r="AA31" i="20"/>
  <c r="Z31" i="22"/>
  <c r="AA31" i="22" s="1"/>
  <c r="O7" i="34"/>
  <c r="O13" i="34" s="1"/>
  <c r="O11" i="34"/>
  <c r="O9" i="34"/>
  <c r="O15" i="34" s="1"/>
  <c r="P43" i="21"/>
  <c r="M40" i="21"/>
  <c r="M40" i="33" s="1"/>
  <c r="M82" i="33" s="1"/>
  <c r="M40" i="22"/>
  <c r="Q40" i="22" s="1"/>
  <c r="M39" i="33"/>
  <c r="M81" i="33" s="1"/>
  <c r="M39" i="21"/>
  <c r="Q39" i="21" s="1"/>
  <c r="M39" i="22"/>
  <c r="Q39" i="22" s="1"/>
  <c r="M5" i="21"/>
  <c r="M5" i="22"/>
  <c r="M5" i="33" s="1"/>
  <c r="M47" i="33" s="1"/>
  <c r="M43" i="20"/>
  <c r="M35" i="21"/>
  <c r="M35" i="33" s="1"/>
  <c r="M77" i="33" s="1"/>
  <c r="M35" i="22"/>
  <c r="Q35" i="22" s="1"/>
  <c r="V35" i="21"/>
  <c r="V35" i="22"/>
  <c r="T35" i="33" s="1"/>
  <c r="T77" i="33" s="1"/>
  <c r="V10" i="21"/>
  <c r="V10" i="22"/>
  <c r="T10" i="33" s="1"/>
  <c r="T52" i="33" s="1"/>
  <c r="T5" i="33"/>
  <c r="T47" i="33" s="1"/>
  <c r="V5" i="21"/>
  <c r="V43" i="20"/>
  <c r="V5" i="22"/>
  <c r="V27" i="22"/>
  <c r="T27" i="33" s="1"/>
  <c r="T69" i="33" s="1"/>
  <c r="V27" i="21"/>
  <c r="T20" i="33"/>
  <c r="T62" i="33" s="1"/>
  <c r="V20" i="21"/>
  <c r="V20" i="22"/>
  <c r="Q26" i="33"/>
  <c r="Q68" i="33" s="1"/>
  <c r="Q17" i="33"/>
  <c r="Q59" i="33" s="1"/>
  <c r="S43" i="20"/>
  <c r="M21" i="18"/>
  <c r="M13" i="32"/>
  <c r="M65" i="32" s="1"/>
  <c r="M13" i="17"/>
  <c r="M13" i="18"/>
  <c r="M24" i="18"/>
  <c r="M24" i="17"/>
  <c r="M24" i="32" s="1"/>
  <c r="M76" i="32" s="1"/>
  <c r="M22" i="17"/>
  <c r="M22" i="32" s="1"/>
  <c r="M74" i="32" s="1"/>
  <c r="M22" i="18"/>
  <c r="M19" i="18"/>
  <c r="M10" i="17"/>
  <c r="M10" i="32" s="1"/>
  <c r="M62" i="32" s="1"/>
  <c r="M10" i="18"/>
  <c r="W42" i="17"/>
  <c r="V42" i="32" s="1"/>
  <c r="V94" i="32" s="1"/>
  <c r="AC15" i="17"/>
  <c r="Q12" i="21"/>
  <c r="Q27" i="21"/>
  <c r="Q16" i="22"/>
  <c r="AB26" i="20"/>
  <c r="Q11" i="21"/>
  <c r="Q34" i="22"/>
  <c r="V33" i="17"/>
  <c r="U33" i="32" s="1"/>
  <c r="U85" i="32" s="1"/>
  <c r="P14" i="34"/>
  <c r="Q30" i="33"/>
  <c r="Q72" i="33" s="1"/>
  <c r="Q27" i="33"/>
  <c r="Q69" i="33" s="1"/>
  <c r="Q24" i="33"/>
  <c r="Q66" i="33" s="1"/>
  <c r="L21" i="33"/>
  <c r="L63" i="33" s="1"/>
  <c r="V16" i="18"/>
  <c r="U43" i="32"/>
  <c r="U95" i="32" s="1"/>
  <c r="V43" i="17"/>
  <c r="V43" i="18"/>
  <c r="AB46" i="16"/>
  <c r="V46" i="17"/>
  <c r="U46" i="32" s="1"/>
  <c r="U98" i="32" s="1"/>
  <c r="V46" i="18"/>
  <c r="AB19" i="16"/>
  <c r="V19" i="17"/>
  <c r="U19" i="32" s="1"/>
  <c r="U71" i="32" s="1"/>
  <c r="V19" i="18"/>
  <c r="V15" i="18"/>
  <c r="AB15" i="16"/>
  <c r="AB23" i="16"/>
  <c r="V23" i="18"/>
  <c r="L15" i="33"/>
  <c r="L57" i="33" s="1"/>
  <c r="Q38" i="17"/>
  <c r="Q38" i="32" s="1"/>
  <c r="Q90" i="32" s="1"/>
  <c r="L23" i="33"/>
  <c r="L65" i="33" s="1"/>
  <c r="I15" i="35"/>
  <c r="Q51" i="17"/>
  <c r="Q51" i="32" s="1"/>
  <c r="Q103" i="32" s="1"/>
  <c r="AI27" i="17"/>
  <c r="AE27" i="32" s="1"/>
  <c r="AE79" i="32" s="1"/>
  <c r="AI5" i="17"/>
  <c r="AI51" i="17"/>
  <c r="AE51" i="32" s="1"/>
  <c r="AE103" i="32" s="1"/>
  <c r="AI30" i="17"/>
  <c r="AE30" i="32" s="1"/>
  <c r="AE82" i="32" s="1"/>
  <c r="AI25" i="17"/>
  <c r="AE25" i="32" s="1"/>
  <c r="AE77" i="32" s="1"/>
  <c r="AI20" i="17"/>
  <c r="AE20" i="32" s="1"/>
  <c r="AE72" i="32" s="1"/>
  <c r="AI32" i="17"/>
  <c r="AE32" i="32" s="1"/>
  <c r="AE84" i="32" s="1"/>
  <c r="AI22" i="17"/>
  <c r="AE22" i="32" s="1"/>
  <c r="AE74" i="32" s="1"/>
  <c r="AI34" i="17"/>
  <c r="AE34" i="32" s="1"/>
  <c r="AE86" i="32" s="1"/>
  <c r="AI38" i="17"/>
  <c r="AE38" i="32" s="1"/>
  <c r="AE90" i="32" s="1"/>
  <c r="AI41" i="17"/>
  <c r="AE41" i="32" s="1"/>
  <c r="AE93" i="32" s="1"/>
  <c r="AI24" i="17"/>
  <c r="AE24" i="32" s="1"/>
  <c r="AE76" i="32" s="1"/>
  <c r="AI17" i="17"/>
  <c r="AE17" i="32" s="1"/>
  <c r="AE69" i="32" s="1"/>
  <c r="AI43" i="17"/>
  <c r="AE43" i="32" s="1"/>
  <c r="AE95" i="32" s="1"/>
  <c r="AI13" i="17"/>
  <c r="AE13" i="32" s="1"/>
  <c r="AE65" i="32" s="1"/>
  <c r="AI35" i="17"/>
  <c r="AE35" i="32" s="1"/>
  <c r="AE87" i="32" s="1"/>
  <c r="AI7" i="17"/>
  <c r="AE7" i="32" s="1"/>
  <c r="AE59" i="32" s="1"/>
  <c r="AI44" i="17"/>
  <c r="AE44" i="32" s="1"/>
  <c r="AE96" i="32" s="1"/>
  <c r="AI28" i="17"/>
  <c r="AE28" i="32" s="1"/>
  <c r="AE80" i="32" s="1"/>
  <c r="AI39" i="17"/>
  <c r="AE39" i="32" s="1"/>
  <c r="AE91" i="32" s="1"/>
  <c r="AI29" i="17"/>
  <c r="AE29" i="32" s="1"/>
  <c r="AE81" i="32" s="1"/>
  <c r="AI48" i="17"/>
  <c r="AE48" i="32" s="1"/>
  <c r="AE100" i="32" s="1"/>
  <c r="AI45" i="17"/>
  <c r="AE45" i="32" s="1"/>
  <c r="AE97" i="32" s="1"/>
  <c r="AI19" i="17"/>
  <c r="AE19" i="32" s="1"/>
  <c r="AE71" i="32" s="1"/>
  <c r="AI10" i="17"/>
  <c r="AE10" i="32" s="1"/>
  <c r="AE62" i="32" s="1"/>
  <c r="AI36" i="17"/>
  <c r="AE36" i="32" s="1"/>
  <c r="AE88" i="32" s="1"/>
  <c r="AI21" i="17"/>
  <c r="AE21" i="32" s="1"/>
  <c r="AE73" i="32" s="1"/>
  <c r="AI12" i="17"/>
  <c r="AE12" i="32" s="1"/>
  <c r="AE64" i="32" s="1"/>
  <c r="AI8" i="17"/>
  <c r="AE8" i="32" s="1"/>
  <c r="AE60" i="32" s="1"/>
  <c r="AI14" i="17"/>
  <c r="AE14" i="32" s="1"/>
  <c r="AE66" i="32" s="1"/>
  <c r="AI49" i="17"/>
  <c r="AE49" i="32" s="1"/>
  <c r="AE101" i="32" s="1"/>
  <c r="AI47" i="17"/>
  <c r="AE47" i="32" s="1"/>
  <c r="AE99" i="32" s="1"/>
  <c r="AI42" i="17"/>
  <c r="AE42" i="32" s="1"/>
  <c r="AE94" i="32" s="1"/>
  <c r="AI46" i="17"/>
  <c r="AE46" i="32" s="1"/>
  <c r="AE98" i="32" s="1"/>
  <c r="AI15" i="17"/>
  <c r="AE15" i="32" s="1"/>
  <c r="AE67" i="32" s="1"/>
  <c r="AI40" i="17"/>
  <c r="AE40" i="32" s="1"/>
  <c r="AE92" i="32" s="1"/>
  <c r="AI16" i="17"/>
  <c r="AE16" i="32" s="1"/>
  <c r="AE68" i="32" s="1"/>
  <c r="AI11" i="17"/>
  <c r="AE11" i="32" s="1"/>
  <c r="AE63" i="32" s="1"/>
  <c r="AI31" i="17"/>
  <c r="AE31" i="32" s="1"/>
  <c r="AE83" i="32" s="1"/>
  <c r="AI50" i="17"/>
  <c r="AE50" i="32" s="1"/>
  <c r="AE102" i="32" s="1"/>
  <c r="AI33" i="17"/>
  <c r="AE33" i="32" s="1"/>
  <c r="AE85" i="32" s="1"/>
  <c r="AA44" i="32"/>
  <c r="AA96" i="32" s="1"/>
  <c r="N6" i="21"/>
  <c r="N6" i="22"/>
  <c r="N6" i="33" s="1"/>
  <c r="N48" i="33" s="1"/>
  <c r="N22" i="33"/>
  <c r="N64" i="33" s="1"/>
  <c r="N22" i="21"/>
  <c r="Q22" i="21" s="1"/>
  <c r="N22" i="22"/>
  <c r="Q22" i="22" s="1"/>
  <c r="N23" i="33"/>
  <c r="N65" i="33" s="1"/>
  <c r="N23" i="21"/>
  <c r="Q23" i="21" s="1"/>
  <c r="N23" i="22"/>
  <c r="Q23" i="22" s="1"/>
  <c r="N21" i="21"/>
  <c r="Q21" i="21" s="1"/>
  <c r="N21" i="22"/>
  <c r="N35" i="21"/>
  <c r="N35" i="33" s="1"/>
  <c r="N77" i="33" s="1"/>
  <c r="N35" i="22"/>
  <c r="AB42" i="16"/>
  <c r="Q41" i="17"/>
  <c r="Q41" i="32" s="1"/>
  <c r="Q93" i="32" s="1"/>
  <c r="Q16" i="17"/>
  <c r="Q16" i="32" s="1"/>
  <c r="Q68" i="32" s="1"/>
  <c r="O24" i="21"/>
  <c r="O24" i="33" s="1"/>
  <c r="O66" i="33" s="1"/>
  <c r="O24" i="22"/>
  <c r="O41" i="33"/>
  <c r="O83" i="33" s="1"/>
  <c r="O41" i="21"/>
  <c r="Q41" i="21" s="1"/>
  <c r="O41" i="22"/>
  <c r="Q41" i="22" s="1"/>
  <c r="O40" i="22"/>
  <c r="O40" i="21"/>
  <c r="O40" i="33" s="1"/>
  <c r="O82" i="33" s="1"/>
  <c r="O28" i="33"/>
  <c r="O70" i="33" s="1"/>
  <c r="O28" i="21"/>
  <c r="O28" i="22"/>
  <c r="O25" i="33"/>
  <c r="O67" i="33" s="1"/>
  <c r="O25" i="21"/>
  <c r="O25" i="22"/>
  <c r="O49" i="17"/>
  <c r="O49" i="32" s="1"/>
  <c r="O101" i="32" s="1"/>
  <c r="AI23" i="17"/>
  <c r="AE23" i="32" s="1"/>
  <c r="AE75" i="32" s="1"/>
  <c r="R29" i="33"/>
  <c r="R71" i="33" s="1"/>
  <c r="T29" i="21"/>
  <c r="W29" i="20"/>
  <c r="AB29" i="20" s="1"/>
  <c r="T29" i="22"/>
  <c r="R16" i="33"/>
  <c r="R58" i="33" s="1"/>
  <c r="T16" i="21"/>
  <c r="T16" i="22"/>
  <c r="W16" i="20"/>
  <c r="AB16" i="20" s="1"/>
  <c r="R18" i="33"/>
  <c r="R60" i="33" s="1"/>
  <c r="T18" i="21"/>
  <c r="W18" i="21" s="1"/>
  <c r="T18" i="22"/>
  <c r="W18" i="22" s="1"/>
  <c r="W18" i="20"/>
  <c r="R39" i="33"/>
  <c r="R81" i="33" s="1"/>
  <c r="T39" i="21"/>
  <c r="W39" i="21" s="1"/>
  <c r="T39" i="22"/>
  <c r="W39" i="22" s="1"/>
  <c r="W39" i="20"/>
  <c r="R10" i="33"/>
  <c r="R52" i="33" s="1"/>
  <c r="T10" i="21"/>
  <c r="W10" i="21" s="1"/>
  <c r="T10" i="22"/>
  <c r="W10" i="22" s="1"/>
  <c r="W10" i="20"/>
  <c r="AB10" i="20" s="1"/>
  <c r="V41" i="33"/>
  <c r="V83" i="33" s="1"/>
  <c r="AA41" i="20"/>
  <c r="AB41" i="20" s="1"/>
  <c r="Z41" i="21"/>
  <c r="AA41" i="21" s="1"/>
  <c r="Z41" i="22"/>
  <c r="AA41" i="22" s="1"/>
  <c r="V21" i="33"/>
  <c r="V63" i="33" s="1"/>
  <c r="AA21" i="20"/>
  <c r="Z21" i="22"/>
  <c r="AA21" i="22" s="1"/>
  <c r="Z21" i="21"/>
  <c r="AA21" i="21" s="1"/>
  <c r="V27" i="33"/>
  <c r="V69" i="33" s="1"/>
  <c r="Z27" i="21"/>
  <c r="AA27" i="21" s="1"/>
  <c r="AA27" i="20"/>
  <c r="Z27" i="22"/>
  <c r="AA27" i="22" s="1"/>
  <c r="V5" i="33"/>
  <c r="V47" i="33" s="1"/>
  <c r="Z43" i="20"/>
  <c r="AA5" i="20"/>
  <c r="Z5" i="21"/>
  <c r="Z5" i="22"/>
  <c r="Q10" i="17"/>
  <c r="Q10" i="32" s="1"/>
  <c r="Q62" i="32" s="1"/>
  <c r="Q24" i="17"/>
  <c r="Q24" i="32" s="1"/>
  <c r="Q76" i="32" s="1"/>
  <c r="O18" i="17"/>
  <c r="O18" i="32" s="1"/>
  <c r="O70" i="32" s="1"/>
  <c r="P5" i="33"/>
  <c r="P47" i="33" s="1"/>
  <c r="W26" i="17"/>
  <c r="V26" i="32" s="1"/>
  <c r="V78" i="32" s="1"/>
  <c r="M13" i="33"/>
  <c r="M55" i="33" s="1"/>
  <c r="M13" i="21"/>
  <c r="Q13" i="21" s="1"/>
  <c r="M13" i="22"/>
  <c r="Q13" i="22" s="1"/>
  <c r="Q13" i="20"/>
  <c r="AB13" i="20" s="1"/>
  <c r="M28" i="21"/>
  <c r="Q28" i="21" s="1"/>
  <c r="M28" i="22"/>
  <c r="Q28" i="22" s="1"/>
  <c r="M20" i="22"/>
  <c r="Q20" i="22" s="1"/>
  <c r="M20" i="21"/>
  <c r="Q20" i="21" s="1"/>
  <c r="Q20" i="20"/>
  <c r="AB20" i="20" s="1"/>
  <c r="M18" i="33"/>
  <c r="M60" i="33" s="1"/>
  <c r="M18" i="21"/>
  <c r="Q18" i="21" s="1"/>
  <c r="M18" i="22"/>
  <c r="Q18" i="22" s="1"/>
  <c r="V38" i="21"/>
  <c r="V38" i="22"/>
  <c r="T38" i="33" s="1"/>
  <c r="T80" i="33" s="1"/>
  <c r="T13" i="33"/>
  <c r="T55" i="33" s="1"/>
  <c r="V13" i="21"/>
  <c r="V13" i="22"/>
  <c r="V37" i="21"/>
  <c r="T37" i="33" s="1"/>
  <c r="T79" i="33" s="1"/>
  <c r="V37" i="22"/>
  <c r="V9" i="22"/>
  <c r="V9" i="21"/>
  <c r="T9" i="33" s="1"/>
  <c r="T51" i="33" s="1"/>
  <c r="T40" i="33"/>
  <c r="T82" i="33" s="1"/>
  <c r="V40" i="21"/>
  <c r="V40" i="22"/>
  <c r="Q5" i="33"/>
  <c r="Q47" i="33" s="1"/>
  <c r="Q44" i="17"/>
  <c r="Q44" i="32" s="1"/>
  <c r="Q96" i="32" s="1"/>
  <c r="M50" i="18"/>
  <c r="M16" i="32"/>
  <c r="M68" i="32" s="1"/>
  <c r="M16" i="17"/>
  <c r="M16" i="18"/>
  <c r="M12" i="17"/>
  <c r="M12" i="32" s="1"/>
  <c r="M64" i="32" s="1"/>
  <c r="M12" i="18"/>
  <c r="M18" i="18"/>
  <c r="M18" i="17"/>
  <c r="M18" i="32" s="1"/>
  <c r="M70" i="32" s="1"/>
  <c r="M6" i="32"/>
  <c r="M58" i="32" s="1"/>
  <c r="M6" i="17"/>
  <c r="M6" i="18"/>
  <c r="M8" i="18"/>
  <c r="L33" i="33"/>
  <c r="L75" i="33" s="1"/>
  <c r="AB39" i="20"/>
  <c r="Q36" i="22"/>
  <c r="AB35" i="20"/>
  <c r="Q16" i="21"/>
  <c r="AB25" i="20"/>
  <c r="AB18" i="20"/>
  <c r="V12" i="17"/>
  <c r="U12" i="32" s="1"/>
  <c r="U64" i="32" s="1"/>
  <c r="AA10" i="32"/>
  <c r="AA62" i="32" s="1"/>
  <c r="L36" i="33"/>
  <c r="L78" i="33" s="1"/>
  <c r="U21" i="32"/>
  <c r="U73" i="32" s="1"/>
  <c r="V21" i="17"/>
  <c r="V21" i="18"/>
  <c r="V48" i="17"/>
  <c r="U48" i="32" s="1"/>
  <c r="U100" i="32" s="1"/>
  <c r="V48" i="18"/>
  <c r="U51" i="32"/>
  <c r="U103" i="32" s="1"/>
  <c r="V51" i="18"/>
  <c r="V51" i="17"/>
  <c r="V28" i="18"/>
  <c r="V45" i="18"/>
  <c r="AB20" i="16"/>
  <c r="V20" i="17"/>
  <c r="U20" i="32" s="1"/>
  <c r="U72" i="32" s="1"/>
  <c r="V20" i="18"/>
  <c r="R53" i="18"/>
  <c r="Q21" i="33"/>
  <c r="Q63" i="33" s="1"/>
  <c r="Q15" i="33"/>
  <c r="Q57" i="33" s="1"/>
  <c r="Q18" i="17"/>
  <c r="Q18" i="32" s="1"/>
  <c r="Q70" i="32" s="1"/>
  <c r="L41" i="33"/>
  <c r="L83" i="33" s="1"/>
  <c r="Q17" i="17"/>
  <c r="Q17" i="32" s="1"/>
  <c r="Q69" i="32" s="1"/>
  <c r="L13" i="33"/>
  <c r="L55" i="33" s="1"/>
  <c r="Q22" i="33"/>
  <c r="Q64" i="33" s="1"/>
  <c r="Q6" i="33"/>
  <c r="Q48" i="33" s="1"/>
  <c r="AA43" i="32"/>
  <c r="AA95" i="32" s="1"/>
  <c r="L26" i="33"/>
  <c r="L68" i="33" s="1"/>
  <c r="Q32" i="33"/>
  <c r="Q74" i="33" s="1"/>
  <c r="Q12" i="33"/>
  <c r="Q54" i="33" s="1"/>
  <c r="AI53" i="18"/>
  <c r="N33" i="33"/>
  <c r="N75" i="33" s="1"/>
  <c r="N33" i="21"/>
  <c r="N33" i="22"/>
  <c r="N26" i="21"/>
  <c r="N26" i="33" s="1"/>
  <c r="N68" i="33" s="1"/>
  <c r="N26" i="22"/>
  <c r="Q26" i="22" s="1"/>
  <c r="N17" i="33"/>
  <c r="N59" i="33" s="1"/>
  <c r="N17" i="21"/>
  <c r="N17" i="22"/>
  <c r="N9" i="33"/>
  <c r="N51" i="33" s="1"/>
  <c r="N9" i="21"/>
  <c r="Q9" i="21" s="1"/>
  <c r="N9" i="22"/>
  <c r="N15" i="21"/>
  <c r="Q15" i="21" s="1"/>
  <c r="N15" i="22"/>
  <c r="N15" i="33" s="1"/>
  <c r="N57" i="33" s="1"/>
  <c r="O5" i="33"/>
  <c r="O47" i="33" s="1"/>
  <c r="O5" i="21"/>
  <c r="Q5" i="21" s="1"/>
  <c r="O5" i="22"/>
  <c r="O43" i="20"/>
  <c r="O31" i="21"/>
  <c r="O31" i="33" s="1"/>
  <c r="O73" i="33" s="1"/>
  <c r="O31" i="22"/>
  <c r="Q31" i="22" s="1"/>
  <c r="O30" i="33"/>
  <c r="O72" i="33" s="1"/>
  <c r="O30" i="21"/>
  <c r="O30" i="22"/>
  <c r="Q30" i="22" s="1"/>
  <c r="O32" i="33"/>
  <c r="O74" i="33" s="1"/>
  <c r="O32" i="21"/>
  <c r="O32" i="22"/>
  <c r="O10" i="21"/>
  <c r="Q10" i="21" s="1"/>
  <c r="O10" i="22"/>
  <c r="O10" i="33" s="1"/>
  <c r="O52" i="33" s="1"/>
  <c r="R22" i="33"/>
  <c r="R64" i="33" s="1"/>
  <c r="W22" i="20"/>
  <c r="AB22" i="20" s="1"/>
  <c r="T22" i="21"/>
  <c r="W22" i="21" s="1"/>
  <c r="T22" i="22"/>
  <c r="W22" i="22" s="1"/>
  <c r="W27" i="20"/>
  <c r="AB27" i="20" s="1"/>
  <c r="X27" i="22" s="1"/>
  <c r="T27" i="21"/>
  <c r="W27" i="21" s="1"/>
  <c r="T27" i="22"/>
  <c r="W27" i="22" s="1"/>
  <c r="R15" i="33"/>
  <c r="R57" i="33" s="1"/>
  <c r="T15" i="21"/>
  <c r="W15" i="21" s="1"/>
  <c r="T15" i="22"/>
  <c r="W15" i="22" s="1"/>
  <c r="W15" i="20"/>
  <c r="AB15" i="20" s="1"/>
  <c r="W38" i="20"/>
  <c r="AB38" i="20" s="1"/>
  <c r="T38" i="21"/>
  <c r="W38" i="21" s="1"/>
  <c r="T38" i="22"/>
  <c r="W38" i="22" s="1"/>
  <c r="R31" i="33"/>
  <c r="R73" i="33" s="1"/>
  <c r="T31" i="21"/>
  <c r="T31" i="22"/>
  <c r="W31" i="20"/>
  <c r="AB31" i="20" s="1"/>
  <c r="X31" i="22" s="1"/>
  <c r="Z24" i="21"/>
  <c r="AA24" i="21" s="1"/>
  <c r="AA24" i="20"/>
  <c r="AB24" i="20" s="1"/>
  <c r="Z24" i="22"/>
  <c r="AA24" i="22" s="1"/>
  <c r="V16" i="33"/>
  <c r="V58" i="33" s="1"/>
  <c r="Z16" i="21"/>
  <c r="AA16" i="21" s="1"/>
  <c r="AA16" i="20"/>
  <c r="Z16" i="22"/>
  <c r="AA16" i="22" s="1"/>
  <c r="Z6" i="21"/>
  <c r="AA6" i="21" s="1"/>
  <c r="AA6" i="20"/>
  <c r="Z6" i="22"/>
  <c r="AA6" i="22" s="1"/>
  <c r="V34" i="33"/>
  <c r="V76" i="33" s="1"/>
  <c r="Z34" i="21"/>
  <c r="AA34" i="21" s="1"/>
  <c r="AA34" i="20"/>
  <c r="AB34" i="20" s="1"/>
  <c r="Z34" i="22"/>
  <c r="AA34" i="22" s="1"/>
  <c r="Z11" i="21"/>
  <c r="AA11" i="21" s="1"/>
  <c r="AA11" i="20"/>
  <c r="AB11" i="20" s="1"/>
  <c r="Z11" i="22"/>
  <c r="AA11" i="22" s="1"/>
  <c r="L35" i="33"/>
  <c r="L77" i="33" s="1"/>
  <c r="W39" i="17"/>
  <c r="V39" i="32" s="1"/>
  <c r="V91" i="32" s="1"/>
  <c r="M19" i="21"/>
  <c r="Q19" i="21" s="1"/>
  <c r="M19" i="22"/>
  <c r="Q19" i="22" s="1"/>
  <c r="Q19" i="20"/>
  <c r="AB19" i="20" s="1"/>
  <c r="X19" i="22" s="1"/>
  <c r="Y19" i="22" s="1"/>
  <c r="M6" i="21"/>
  <c r="Q6" i="21" s="1"/>
  <c r="M6" i="22"/>
  <c r="Q6" i="22" s="1"/>
  <c r="M37" i="33"/>
  <c r="M79" i="33" s="1"/>
  <c r="M37" i="21"/>
  <c r="Q37" i="21" s="1"/>
  <c r="M37" i="22"/>
  <c r="Q37" i="22" s="1"/>
  <c r="M7" i="22"/>
  <c r="Q7" i="22" s="1"/>
  <c r="M7" i="21"/>
  <c r="Q7" i="21" s="1"/>
  <c r="M17" i="33"/>
  <c r="M59" i="33" s="1"/>
  <c r="M17" i="21"/>
  <c r="Q17" i="21" s="1"/>
  <c r="M17" i="22"/>
  <c r="Q17" i="22" s="1"/>
  <c r="AC40" i="17"/>
  <c r="AC35" i="17"/>
  <c r="AC20" i="17"/>
  <c r="AC9" i="17"/>
  <c r="AC47" i="17"/>
  <c r="AC13" i="17"/>
  <c r="AC50" i="17"/>
  <c r="AC17" i="17"/>
  <c r="AC5" i="17"/>
  <c r="AC41" i="17"/>
  <c r="AC21" i="17"/>
  <c r="AC49" i="17"/>
  <c r="AC6" i="17"/>
  <c r="AC22" i="17"/>
  <c r="AC36" i="17"/>
  <c r="AC23" i="17"/>
  <c r="AC29" i="17"/>
  <c r="AC32" i="17"/>
  <c r="AC34" i="17"/>
  <c r="AC25" i="17"/>
  <c r="AC42" i="17"/>
  <c r="AC14" i="17"/>
  <c r="AC19" i="17"/>
  <c r="AC7" i="17"/>
  <c r="AC45" i="17"/>
  <c r="AC51" i="17"/>
  <c r="AC12" i="17"/>
  <c r="AC46" i="17"/>
  <c r="AC24" i="17"/>
  <c r="AC11" i="17"/>
  <c r="AC16" i="17"/>
  <c r="AB12" i="16"/>
  <c r="V29" i="21"/>
  <c r="V29" i="22"/>
  <c r="T29" i="33" s="1"/>
  <c r="T71" i="33" s="1"/>
  <c r="V19" i="22"/>
  <c r="V19" i="21"/>
  <c r="T19" i="33" s="1"/>
  <c r="T61" i="33" s="1"/>
  <c r="T16" i="33"/>
  <c r="T58" i="33" s="1"/>
  <c r="V16" i="21"/>
  <c r="V16" i="22"/>
  <c r="V34" i="21"/>
  <c r="T34" i="33" s="1"/>
  <c r="T76" i="33" s="1"/>
  <c r="V34" i="22"/>
  <c r="V31" i="21"/>
  <c r="T31" i="33" s="1"/>
  <c r="T73" i="33" s="1"/>
  <c r="V31" i="22"/>
  <c r="X21" i="17"/>
  <c r="W21" i="32" s="1"/>
  <c r="W73" i="32" s="1"/>
  <c r="M15" i="17"/>
  <c r="M15" i="18"/>
  <c r="M15" i="32" s="1"/>
  <c r="M67" i="32" s="1"/>
  <c r="M41" i="18"/>
  <c r="M25" i="32"/>
  <c r="M77" i="32" s="1"/>
  <c r="M25" i="17"/>
  <c r="M25" i="18"/>
  <c r="M36" i="17"/>
  <c r="M36" i="18"/>
  <c r="M36" i="32" s="1"/>
  <c r="M88" i="32" s="1"/>
  <c r="M46" i="18"/>
  <c r="M40" i="18"/>
  <c r="W47" i="17"/>
  <c r="V47" i="32" s="1"/>
  <c r="V99" i="32" s="1"/>
  <c r="L12" i="33"/>
  <c r="L54" i="33" s="1"/>
  <c r="L43" i="21"/>
  <c r="X25" i="22"/>
  <c r="X13" i="22"/>
  <c r="X36" i="22"/>
  <c r="X35" i="22"/>
  <c r="X23" i="22"/>
  <c r="X9" i="22"/>
  <c r="X26" i="22"/>
  <c r="AB5" i="20"/>
  <c r="Q43" i="20"/>
  <c r="AM58" i="15"/>
  <c r="AM56" i="18"/>
  <c r="AM56" i="17"/>
  <c r="AM56" i="16"/>
  <c r="AE57" i="15"/>
  <c r="AE55" i="18"/>
  <c r="AE55" i="17"/>
  <c r="AO54" i="17" s="1"/>
  <c r="AE55" i="16"/>
  <c r="X45" i="22"/>
  <c r="X45" i="21"/>
  <c r="X45" i="20"/>
  <c r="X48" i="20" s="1"/>
  <c r="X45" i="19"/>
  <c r="X18" i="21"/>
  <c r="Y18" i="21" s="1"/>
  <c r="X18" i="22"/>
  <c r="AB46" i="21"/>
  <c r="AB46" i="22"/>
  <c r="AB46" i="20"/>
  <c r="AB46" i="19"/>
  <c r="L43" i="22"/>
  <c r="Q5" i="22"/>
  <c r="E43" i="5"/>
  <c r="E23" i="5"/>
  <c r="E29" i="5"/>
  <c r="E47" i="5"/>
  <c r="O14" i="34" l="1"/>
  <c r="X41" i="22"/>
  <c r="X6" i="22"/>
  <c r="Y6" i="22" s="1"/>
  <c r="AB6" i="22" s="1"/>
  <c r="X30" i="22"/>
  <c r="X10" i="22"/>
  <c r="X28" i="22"/>
  <c r="X32" i="22"/>
  <c r="X24" i="21"/>
  <c r="Y24" i="21" s="1"/>
  <c r="X24" i="22"/>
  <c r="X15" i="22"/>
  <c r="X29" i="21"/>
  <c r="Y29" i="21" s="1"/>
  <c r="X29" i="22"/>
  <c r="X38" i="22"/>
  <c r="X11" i="21"/>
  <c r="Y11" i="21" s="1"/>
  <c r="AB11" i="21" s="1"/>
  <c r="X11" i="22"/>
  <c r="X8" i="22"/>
  <c r="Y8" i="22" s="1"/>
  <c r="AB8" i="22" s="1"/>
  <c r="S6" i="37" s="1"/>
  <c r="X8" i="21"/>
  <c r="Y8" i="21" s="1"/>
  <c r="AB8" i="21" s="1"/>
  <c r="X40" i="22"/>
  <c r="X7" i="22"/>
  <c r="X37" i="22"/>
  <c r="Y37" i="22" s="1"/>
  <c r="AB37" i="22" s="1"/>
  <c r="S29" i="37" s="1"/>
  <c r="X16" i="22"/>
  <c r="X34" i="21"/>
  <c r="Y34" i="21" s="1"/>
  <c r="X34" i="22"/>
  <c r="AD21" i="17"/>
  <c r="AA21" i="32"/>
  <c r="AA73" i="32" s="1"/>
  <c r="M7" i="33"/>
  <c r="M49" i="33" s="1"/>
  <c r="X39" i="22"/>
  <c r="Y39" i="22" s="1"/>
  <c r="AB39" i="22" s="1"/>
  <c r="S30" i="37" s="1"/>
  <c r="X39" i="21"/>
  <c r="Y39" i="21" s="1"/>
  <c r="AB39" i="21" s="1"/>
  <c r="AD45" i="17"/>
  <c r="AA45" i="32"/>
  <c r="AA97" i="32" s="1"/>
  <c r="AD29" i="17"/>
  <c r="AA29" i="32"/>
  <c r="AA81" i="32" s="1"/>
  <c r="AD5" i="17"/>
  <c r="AA5" i="32"/>
  <c r="AA57" i="32" s="1"/>
  <c r="AC53" i="17"/>
  <c r="AD40" i="17"/>
  <c r="AA40" i="32"/>
  <c r="AA92" i="32" s="1"/>
  <c r="M19" i="33"/>
  <c r="M61" i="33" s="1"/>
  <c r="M28" i="33"/>
  <c r="M70" i="33" s="1"/>
  <c r="W16" i="22"/>
  <c r="N21" i="33"/>
  <c r="N63" i="33" s="1"/>
  <c r="V41" i="17"/>
  <c r="U41" i="32" s="1"/>
  <c r="U93" i="32" s="1"/>
  <c r="V43" i="22"/>
  <c r="M43" i="21"/>
  <c r="V5" i="17"/>
  <c r="Q11" i="22"/>
  <c r="W21" i="22"/>
  <c r="Y23" i="18"/>
  <c r="AB18" i="16"/>
  <c r="Y18" i="18"/>
  <c r="AB39" i="16"/>
  <c r="Y39" i="18"/>
  <c r="Y15" i="18"/>
  <c r="AB15" i="18" s="1"/>
  <c r="AB47" i="16"/>
  <c r="Y47" i="18"/>
  <c r="Y40" i="18"/>
  <c r="M8" i="33"/>
  <c r="M50" i="33" s="1"/>
  <c r="W13" i="22"/>
  <c r="W40" i="22"/>
  <c r="V32" i="33"/>
  <c r="V74" i="33" s="1"/>
  <c r="V23" i="33"/>
  <c r="V65" i="33" s="1"/>
  <c r="V18" i="33"/>
  <c r="V60" i="33" s="1"/>
  <c r="T18" i="32"/>
  <c r="T70" i="32" s="1"/>
  <c r="AB21" i="20"/>
  <c r="V19" i="33"/>
  <c r="V61" i="33" s="1"/>
  <c r="V30" i="33"/>
  <c r="V72" i="33" s="1"/>
  <c r="V26" i="33"/>
  <c r="V68" i="33" s="1"/>
  <c r="AD42" i="17"/>
  <c r="AA42" i="32"/>
  <c r="AA94" i="32" s="1"/>
  <c r="AD7" i="17"/>
  <c r="AA7" i="32"/>
  <c r="AA59" i="32" s="1"/>
  <c r="AD23" i="17"/>
  <c r="AA23" i="32"/>
  <c r="AA75" i="32" s="1"/>
  <c r="AD17" i="17"/>
  <c r="AA17" i="32"/>
  <c r="AA69" i="32" s="1"/>
  <c r="W31" i="22"/>
  <c r="O43" i="22"/>
  <c r="W16" i="21"/>
  <c r="M19" i="17"/>
  <c r="M19" i="32" s="1"/>
  <c r="M71" i="32" s="1"/>
  <c r="AB40" i="18"/>
  <c r="M7" i="17"/>
  <c r="M7" i="32" s="1"/>
  <c r="M59" i="32" s="1"/>
  <c r="M38" i="33"/>
  <c r="M80" i="33" s="1"/>
  <c r="V8" i="33"/>
  <c r="V50" i="33" s="1"/>
  <c r="V35" i="33"/>
  <c r="V77" i="33" s="1"/>
  <c r="R6" i="33"/>
  <c r="R48" i="33" s="1"/>
  <c r="R21" i="33"/>
  <c r="R63" i="33" s="1"/>
  <c r="O5" i="32"/>
  <c r="O57" i="32" s="1"/>
  <c r="O53" i="17"/>
  <c r="AB9" i="16"/>
  <c r="Y9" i="18"/>
  <c r="AB9" i="18" s="1"/>
  <c r="AB41" i="16"/>
  <c r="Y41" i="18"/>
  <c r="Y32" i="18"/>
  <c r="AB32" i="18" s="1"/>
  <c r="Y14" i="18"/>
  <c r="AB14" i="18" s="1"/>
  <c r="AB28" i="16"/>
  <c r="Y28" i="18"/>
  <c r="AB28" i="18" s="1"/>
  <c r="AB26" i="16"/>
  <c r="Y26" i="18"/>
  <c r="AB32" i="16"/>
  <c r="M29" i="17"/>
  <c r="M29" i="32" s="1"/>
  <c r="M81" i="32" s="1"/>
  <c r="M28" i="17"/>
  <c r="M28" i="32" s="1"/>
  <c r="M80" i="32" s="1"/>
  <c r="V5" i="32"/>
  <c r="V57" i="32" s="1"/>
  <c r="W53" i="17"/>
  <c r="W40" i="21"/>
  <c r="V10" i="17"/>
  <c r="U10" i="32" s="1"/>
  <c r="U62" i="32" s="1"/>
  <c r="AB47" i="18"/>
  <c r="V22" i="17"/>
  <c r="U22" i="32" s="1"/>
  <c r="U74" i="32" s="1"/>
  <c r="Q10" i="22"/>
  <c r="W36" i="22"/>
  <c r="W34" i="21"/>
  <c r="W41" i="22"/>
  <c r="V17" i="17"/>
  <c r="U17" i="32" s="1"/>
  <c r="U69" i="32" s="1"/>
  <c r="AD39" i="17"/>
  <c r="AA39" i="32"/>
  <c r="AA91" i="32" s="1"/>
  <c r="W5" i="32"/>
  <c r="W57" i="32" s="1"/>
  <c r="X53" i="17"/>
  <c r="T51" i="32"/>
  <c r="T103" i="32" s="1"/>
  <c r="U53" i="17"/>
  <c r="T5" i="32"/>
  <c r="T57" i="32" s="1"/>
  <c r="T10" i="32"/>
  <c r="T62" i="32" s="1"/>
  <c r="V14" i="33"/>
  <c r="V56" i="33" s="1"/>
  <c r="V29" i="33"/>
  <c r="V71" i="33" s="1"/>
  <c r="V40" i="33"/>
  <c r="V82" i="33" s="1"/>
  <c r="R8" i="33"/>
  <c r="R50" i="33" s="1"/>
  <c r="R11" i="33"/>
  <c r="R53" i="33" s="1"/>
  <c r="M17" i="17"/>
  <c r="M17" i="32" s="1"/>
  <c r="M69" i="32" s="1"/>
  <c r="W26" i="22"/>
  <c r="W20" i="22"/>
  <c r="W23" i="22"/>
  <c r="V42" i="17"/>
  <c r="U42" i="32" s="1"/>
  <c r="U94" i="32" s="1"/>
  <c r="Q34" i="21"/>
  <c r="AB34" i="21" s="1"/>
  <c r="Q35" i="21"/>
  <c r="AD16" i="17"/>
  <c r="AA16" i="32"/>
  <c r="AA68" i="32" s="1"/>
  <c r="AD19" i="17"/>
  <c r="AA19" i="32"/>
  <c r="AA71" i="32" s="1"/>
  <c r="AD36" i="17"/>
  <c r="AA36" i="32"/>
  <c r="AA88" i="32" s="1"/>
  <c r="AD50" i="17"/>
  <c r="AA50" i="32"/>
  <c r="AA102" i="32" s="1"/>
  <c r="W31" i="21"/>
  <c r="X22" i="22"/>
  <c r="Y22" i="22" s="1"/>
  <c r="AB22" i="22" s="1"/>
  <c r="S14" i="37" s="1"/>
  <c r="O43" i="21"/>
  <c r="Q31" i="21"/>
  <c r="X20" i="22"/>
  <c r="Y20" i="22" s="1"/>
  <c r="AB20" i="22" s="1"/>
  <c r="S12" i="37" s="1"/>
  <c r="AA5" i="22"/>
  <c r="AA43" i="22" s="1"/>
  <c r="Z43" i="22"/>
  <c r="AI53" i="17"/>
  <c r="AE5" i="32"/>
  <c r="AE57" i="32" s="1"/>
  <c r="V43" i="21"/>
  <c r="M31" i="17"/>
  <c r="M31" i="32" s="1"/>
  <c r="M83" i="32" s="1"/>
  <c r="W35" i="22"/>
  <c r="AB25" i="16"/>
  <c r="Y25" i="18"/>
  <c r="AB25" i="18" s="1"/>
  <c r="AB48" i="16"/>
  <c r="Y48" i="18"/>
  <c r="AB48" i="18" s="1"/>
  <c r="Y11" i="18"/>
  <c r="AB11" i="18" s="1"/>
  <c r="Y45" i="18"/>
  <c r="AB45" i="18" s="1"/>
  <c r="Y42" i="18"/>
  <c r="AB42" i="18" s="1"/>
  <c r="AB5" i="16"/>
  <c r="Y5" i="18"/>
  <c r="Y53" i="16"/>
  <c r="Y58" i="16" s="1"/>
  <c r="Y14" i="17" s="1"/>
  <c r="X14" i="32" s="1"/>
  <c r="X66" i="32" s="1"/>
  <c r="V25" i="17"/>
  <c r="U25" i="32" s="1"/>
  <c r="U77" i="32" s="1"/>
  <c r="Q15" i="22"/>
  <c r="W13" i="21"/>
  <c r="V47" i="17"/>
  <c r="U47" i="32" s="1"/>
  <c r="U99" i="32" s="1"/>
  <c r="Q40" i="21"/>
  <c r="M49" i="17"/>
  <c r="M49" i="32" s="1"/>
  <c r="M101" i="32" s="1"/>
  <c r="W36" i="21"/>
  <c r="L53" i="17"/>
  <c r="L5" i="32"/>
  <c r="L57" i="32" s="1"/>
  <c r="V38" i="17"/>
  <c r="U38" i="32" s="1"/>
  <c r="U90" i="32" s="1"/>
  <c r="M27" i="17"/>
  <c r="M27" i="32" s="1"/>
  <c r="M79" i="32" s="1"/>
  <c r="T44" i="32"/>
  <c r="T96" i="32" s="1"/>
  <c r="T12" i="32"/>
  <c r="T64" i="32" s="1"/>
  <c r="T20" i="32"/>
  <c r="T72" i="32" s="1"/>
  <c r="T25" i="32"/>
  <c r="T77" i="32" s="1"/>
  <c r="W17" i="22"/>
  <c r="W43" i="20"/>
  <c r="W26" i="21"/>
  <c r="W20" i="21"/>
  <c r="W23" i="21"/>
  <c r="V13" i="17"/>
  <c r="U13" i="32" s="1"/>
  <c r="U65" i="32" s="1"/>
  <c r="AD11" i="17"/>
  <c r="AA11" i="32"/>
  <c r="AA63" i="32" s="1"/>
  <c r="AD14" i="17"/>
  <c r="AA14" i="32"/>
  <c r="AA66" i="32" s="1"/>
  <c r="AD22" i="17"/>
  <c r="AA22" i="32"/>
  <c r="AA74" i="32" s="1"/>
  <c r="AD13" i="17"/>
  <c r="AA13" i="32"/>
  <c r="AA65" i="32" s="1"/>
  <c r="E9" i="35"/>
  <c r="E11" i="35"/>
  <c r="E7" i="35"/>
  <c r="E13" i="35" s="1"/>
  <c r="Z43" i="21"/>
  <c r="AA5" i="21"/>
  <c r="AA43" i="21" s="1"/>
  <c r="W29" i="22"/>
  <c r="AB23" i="18"/>
  <c r="AD15" i="17"/>
  <c r="AA15" i="32"/>
  <c r="AA67" i="32" s="1"/>
  <c r="J9" i="35"/>
  <c r="J11" i="35"/>
  <c r="J7" i="35"/>
  <c r="J13" i="35" s="1"/>
  <c r="AB26" i="18"/>
  <c r="M32" i="17"/>
  <c r="M32" i="32" s="1"/>
  <c r="M84" i="32" s="1"/>
  <c r="M41" i="17"/>
  <c r="M41" i="32" s="1"/>
  <c r="M93" i="32" s="1"/>
  <c r="M14" i="17"/>
  <c r="M14" i="32" s="1"/>
  <c r="M66" i="32" s="1"/>
  <c r="M39" i="17"/>
  <c r="M39" i="32" s="1"/>
  <c r="M91" i="32" s="1"/>
  <c r="M5" i="17"/>
  <c r="M23" i="17"/>
  <c r="M23" i="32" s="1"/>
  <c r="M75" i="32" s="1"/>
  <c r="M11" i="17"/>
  <c r="M11" i="32" s="1"/>
  <c r="M63" i="32" s="1"/>
  <c r="M44" i="17"/>
  <c r="M44" i="32" s="1"/>
  <c r="M96" i="32" s="1"/>
  <c r="M50" i="17"/>
  <c r="M50" i="32" s="1"/>
  <c r="M102" i="32" s="1"/>
  <c r="M40" i="17"/>
  <c r="M40" i="32" s="1"/>
  <c r="M92" i="32" s="1"/>
  <c r="M43" i="17"/>
  <c r="M43" i="32" s="1"/>
  <c r="M95" i="32" s="1"/>
  <c r="M46" i="17"/>
  <c r="M46" i="32" s="1"/>
  <c r="M98" i="32" s="1"/>
  <c r="M8" i="17"/>
  <c r="M8" i="32" s="1"/>
  <c r="M60" i="32" s="1"/>
  <c r="Y27" i="17"/>
  <c r="X27" i="32" s="1"/>
  <c r="X79" i="32" s="1"/>
  <c r="Y27" i="18"/>
  <c r="AB27" i="18" s="1"/>
  <c r="AB34" i="16"/>
  <c r="Y34" i="18"/>
  <c r="AB34" i="18" s="1"/>
  <c r="AB10" i="16"/>
  <c r="Y10" i="18"/>
  <c r="AB10" i="18" s="1"/>
  <c r="Y35" i="18"/>
  <c r="AB35" i="18" s="1"/>
  <c r="AB43" i="16"/>
  <c r="Y43" i="18"/>
  <c r="AB43" i="18" s="1"/>
  <c r="Y43" i="17"/>
  <c r="AB43" i="17" s="1"/>
  <c r="Y20" i="18"/>
  <c r="AB20" i="18" s="1"/>
  <c r="AB27" i="16"/>
  <c r="W34" i="22"/>
  <c r="AB18" i="18"/>
  <c r="T31" i="32"/>
  <c r="T83" i="32" s="1"/>
  <c r="T35" i="32"/>
  <c r="T87" i="32" s="1"/>
  <c r="T24" i="32"/>
  <c r="T76" i="32" s="1"/>
  <c r="T14" i="32"/>
  <c r="T66" i="32" s="1"/>
  <c r="AB14" i="20"/>
  <c r="X14" i="22" s="1"/>
  <c r="W17" i="21"/>
  <c r="T43" i="22"/>
  <c r="W5" i="22"/>
  <c r="AD8" i="17"/>
  <c r="AA8" i="32"/>
  <c r="AA60" i="32" s="1"/>
  <c r="M9" i="17"/>
  <c r="M9" i="32" s="1"/>
  <c r="M61" i="32" s="1"/>
  <c r="AD6" i="17"/>
  <c r="AA6" i="32"/>
  <c r="AA58" i="32" s="1"/>
  <c r="AA43" i="20"/>
  <c r="N43" i="22"/>
  <c r="M53" i="18"/>
  <c r="Y24" i="18"/>
  <c r="AB7" i="16"/>
  <c r="X7" i="32"/>
  <c r="X59" i="32" s="1"/>
  <c r="Y7" i="17"/>
  <c r="Y7" i="18"/>
  <c r="AB7" i="18" s="1"/>
  <c r="AB29" i="16"/>
  <c r="Y29" i="18"/>
  <c r="Y33" i="18"/>
  <c r="AB33" i="18" s="1"/>
  <c r="Y33" i="17"/>
  <c r="AB33" i="17" s="1"/>
  <c r="Y12" i="18"/>
  <c r="AB12" i="18" s="1"/>
  <c r="M45" i="17"/>
  <c r="M45" i="32" s="1"/>
  <c r="M97" i="32" s="1"/>
  <c r="M33" i="17"/>
  <c r="M33" i="32" s="1"/>
  <c r="M85" i="32" s="1"/>
  <c r="V18" i="17"/>
  <c r="U18" i="32" s="1"/>
  <c r="U70" i="32" s="1"/>
  <c r="AB44" i="18"/>
  <c r="M26" i="17"/>
  <c r="M26" i="32" s="1"/>
  <c r="M78" i="32" s="1"/>
  <c r="T29" i="32"/>
  <c r="T81" i="32" s="1"/>
  <c r="T41" i="32"/>
  <c r="T93" i="32" s="1"/>
  <c r="AB41" i="18"/>
  <c r="M35" i="17"/>
  <c r="M35" i="32" s="1"/>
  <c r="M87" i="32" s="1"/>
  <c r="AB12" i="20"/>
  <c r="X12" i="22" s="1"/>
  <c r="R33" i="17"/>
  <c r="R33" i="32" s="1"/>
  <c r="R85" i="32" s="1"/>
  <c r="R8" i="17"/>
  <c r="R8" i="32" s="1"/>
  <c r="R60" i="32" s="1"/>
  <c r="R30" i="17"/>
  <c r="R30" i="32" s="1"/>
  <c r="R82" i="32" s="1"/>
  <c r="R23" i="17"/>
  <c r="R42" i="17"/>
  <c r="R42" i="32" s="1"/>
  <c r="R94" i="32" s="1"/>
  <c r="R24" i="17"/>
  <c r="R25" i="17"/>
  <c r="R25" i="32" s="1"/>
  <c r="R77" i="32" s="1"/>
  <c r="R31" i="17"/>
  <c r="R31" i="32" s="1"/>
  <c r="R83" i="32" s="1"/>
  <c r="R13" i="17"/>
  <c r="R13" i="32" s="1"/>
  <c r="R65" i="32" s="1"/>
  <c r="R7" i="17"/>
  <c r="R7" i="32" s="1"/>
  <c r="R59" i="32" s="1"/>
  <c r="R39" i="17"/>
  <c r="R39" i="32" s="1"/>
  <c r="R91" i="32" s="1"/>
  <c r="R50" i="17"/>
  <c r="R50" i="32" s="1"/>
  <c r="R102" i="32" s="1"/>
  <c r="R43" i="17"/>
  <c r="R43" i="32" s="1"/>
  <c r="R95" i="32" s="1"/>
  <c r="R26" i="17"/>
  <c r="R47" i="17"/>
  <c r="R47" i="32" s="1"/>
  <c r="R99" i="32" s="1"/>
  <c r="R51" i="17"/>
  <c r="R51" i="32" s="1"/>
  <c r="R103" i="32" s="1"/>
  <c r="R20" i="17"/>
  <c r="R20" i="32" s="1"/>
  <c r="R72" i="32" s="1"/>
  <c r="R15" i="17"/>
  <c r="R15" i="32" s="1"/>
  <c r="R67" i="32" s="1"/>
  <c r="R19" i="17"/>
  <c r="R19" i="32" s="1"/>
  <c r="R71" i="32" s="1"/>
  <c r="R5" i="17"/>
  <c r="R48" i="17"/>
  <c r="R48" i="32" s="1"/>
  <c r="R100" i="32" s="1"/>
  <c r="R10" i="17"/>
  <c r="R10" i="32" s="1"/>
  <c r="R62" i="32" s="1"/>
  <c r="R41" i="17"/>
  <c r="R41" i="32" s="1"/>
  <c r="R93" i="32" s="1"/>
  <c r="R32" i="17"/>
  <c r="R32" i="32" s="1"/>
  <c r="R84" i="32" s="1"/>
  <c r="R21" i="17"/>
  <c r="R49" i="17"/>
  <c r="R49" i="32" s="1"/>
  <c r="R101" i="32" s="1"/>
  <c r="R38" i="17"/>
  <c r="R38" i="32" s="1"/>
  <c r="R90" i="32" s="1"/>
  <c r="R17" i="17"/>
  <c r="R17" i="32" s="1"/>
  <c r="R69" i="32" s="1"/>
  <c r="R35" i="17"/>
  <c r="R35" i="32" s="1"/>
  <c r="R87" i="32" s="1"/>
  <c r="R14" i="17"/>
  <c r="R14" i="32" s="1"/>
  <c r="R66" i="32" s="1"/>
  <c r="R34" i="17"/>
  <c r="R34" i="32" s="1"/>
  <c r="R86" i="32" s="1"/>
  <c r="R16" i="17"/>
  <c r="R16" i="32" s="1"/>
  <c r="R68" i="32" s="1"/>
  <c r="R37" i="17"/>
  <c r="R37" i="32" s="1"/>
  <c r="R89" i="32" s="1"/>
  <c r="R11" i="17"/>
  <c r="R11" i="32" s="1"/>
  <c r="R63" i="32" s="1"/>
  <c r="R9" i="17"/>
  <c r="R9" i="32" s="1"/>
  <c r="R61" i="32" s="1"/>
  <c r="R18" i="17"/>
  <c r="R18" i="32" s="1"/>
  <c r="R70" i="32" s="1"/>
  <c r="R22" i="17"/>
  <c r="R27" i="17"/>
  <c r="R40" i="17"/>
  <c r="R40" i="32" s="1"/>
  <c r="R92" i="32" s="1"/>
  <c r="R12" i="17"/>
  <c r="R12" i="32" s="1"/>
  <c r="R64" i="32" s="1"/>
  <c r="R46" i="17"/>
  <c r="R46" i="32" s="1"/>
  <c r="R98" i="32" s="1"/>
  <c r="R45" i="17"/>
  <c r="R45" i="32" s="1"/>
  <c r="R97" i="32" s="1"/>
  <c r="R6" i="17"/>
  <c r="R6" i="32" s="1"/>
  <c r="R58" i="32" s="1"/>
  <c r="R44" i="17"/>
  <c r="R44" i="32" s="1"/>
  <c r="R96" i="32" s="1"/>
  <c r="R28" i="17"/>
  <c r="R36" i="17"/>
  <c r="R36" i="32" s="1"/>
  <c r="R88" i="32" s="1"/>
  <c r="R29" i="17"/>
  <c r="Q24" i="21"/>
  <c r="AD24" i="17"/>
  <c r="AA24" i="32"/>
  <c r="AA76" i="32" s="1"/>
  <c r="AD47" i="17"/>
  <c r="AA47" i="32"/>
  <c r="AA99" i="32" s="1"/>
  <c r="M6" i="33"/>
  <c r="M48" i="33" s="1"/>
  <c r="C9" i="35" s="1"/>
  <c r="Q26" i="21"/>
  <c r="AD46" i="17"/>
  <c r="AA46" i="32"/>
  <c r="AA98" i="32" s="1"/>
  <c r="AD25" i="17"/>
  <c r="AA25" i="32"/>
  <c r="AA77" i="32" s="1"/>
  <c r="AD49" i="17"/>
  <c r="AA49" i="32"/>
  <c r="AA101" i="32" s="1"/>
  <c r="AD9" i="17"/>
  <c r="AA9" i="32"/>
  <c r="AA61" i="32" s="1"/>
  <c r="M20" i="33"/>
  <c r="M62" i="33" s="1"/>
  <c r="W29" i="21"/>
  <c r="V23" i="17"/>
  <c r="U23" i="32" s="1"/>
  <c r="U75" i="32" s="1"/>
  <c r="M21" i="17"/>
  <c r="M21" i="32" s="1"/>
  <c r="M73" i="32" s="1"/>
  <c r="V28" i="33"/>
  <c r="V70" i="33" s="1"/>
  <c r="V22" i="33"/>
  <c r="V64" i="33" s="1"/>
  <c r="R35" i="33"/>
  <c r="R77" i="33" s="1"/>
  <c r="R33" i="33"/>
  <c r="R75" i="33" s="1"/>
  <c r="AB21" i="16"/>
  <c r="Y21" i="18"/>
  <c r="AB21" i="18" s="1"/>
  <c r="Y21" i="17"/>
  <c r="AB21" i="17" s="1"/>
  <c r="AB51" i="16"/>
  <c r="Y51" i="17"/>
  <c r="AB51" i="17" s="1"/>
  <c r="Y51" i="18"/>
  <c r="AB51" i="18" s="1"/>
  <c r="AB6" i="16"/>
  <c r="Y6" i="17"/>
  <c r="X6" i="32" s="1"/>
  <c r="X58" i="32" s="1"/>
  <c r="Y6" i="18"/>
  <c r="AB6" i="18" s="1"/>
  <c r="Y44" i="18"/>
  <c r="Y44" i="17"/>
  <c r="AB44" i="17" s="1"/>
  <c r="AB38" i="16"/>
  <c r="Y38" i="18"/>
  <c r="AB38" i="18" s="1"/>
  <c r="Y38" i="17"/>
  <c r="AB38" i="17" s="1"/>
  <c r="AB16" i="16"/>
  <c r="Y16" i="18"/>
  <c r="AB16" i="18" s="1"/>
  <c r="Y16" i="17"/>
  <c r="X16" i="32" s="1"/>
  <c r="X68" i="32" s="1"/>
  <c r="M32" i="33"/>
  <c r="M74" i="33" s="1"/>
  <c r="V9" i="17"/>
  <c r="U9" i="32" s="1"/>
  <c r="U61" i="32" s="1"/>
  <c r="P5" i="32"/>
  <c r="P57" i="32" s="1"/>
  <c r="P53" i="17"/>
  <c r="W32" i="22"/>
  <c r="W9" i="22"/>
  <c r="T27" i="32"/>
  <c r="T79" i="32" s="1"/>
  <c r="T46" i="32"/>
  <c r="T98" i="32" s="1"/>
  <c r="AB46" i="17"/>
  <c r="Q14" i="21"/>
  <c r="V10" i="33"/>
  <c r="V52" i="33" s="1"/>
  <c r="V36" i="33"/>
  <c r="V78" i="33" s="1"/>
  <c r="R24" i="33"/>
  <c r="R66" i="33" s="1"/>
  <c r="R17" i="33"/>
  <c r="R59" i="33" s="1"/>
  <c r="W5" i="21"/>
  <c r="T43" i="21"/>
  <c r="Q30" i="21"/>
  <c r="W19" i="22"/>
  <c r="AB19" i="22" s="1"/>
  <c r="W37" i="22"/>
  <c r="AD5" i="32"/>
  <c r="AD57" i="32" s="1"/>
  <c r="AH53" i="17"/>
  <c r="S27" i="17"/>
  <c r="S23" i="17"/>
  <c r="S21" i="17"/>
  <c r="S49" i="17"/>
  <c r="S32" i="17"/>
  <c r="S22" i="17"/>
  <c r="S7" i="17"/>
  <c r="S20" i="17"/>
  <c r="S38" i="17"/>
  <c r="S51" i="17"/>
  <c r="S41" i="17"/>
  <c r="S44" i="17"/>
  <c r="S47" i="17"/>
  <c r="S26" i="17"/>
  <c r="S50" i="17"/>
  <c r="S43" i="17"/>
  <c r="S10" i="17"/>
  <c r="S9" i="17"/>
  <c r="S31" i="17"/>
  <c r="S30" i="17"/>
  <c r="S28" i="17"/>
  <c r="S45" i="17"/>
  <c r="S17" i="17"/>
  <c r="S12" i="17"/>
  <c r="S6" i="17"/>
  <c r="S13" i="17"/>
  <c r="S11" i="17"/>
  <c r="S42" i="17"/>
  <c r="S29" i="17"/>
  <c r="S37" i="17"/>
  <c r="S48" i="17"/>
  <c r="S34" i="17"/>
  <c r="S19" i="17"/>
  <c r="S36" i="17"/>
  <c r="S14" i="17"/>
  <c r="S24" i="17"/>
  <c r="S46" i="17"/>
  <c r="S33" i="17"/>
  <c r="S40" i="17"/>
  <c r="S16" i="17"/>
  <c r="S5" i="17"/>
  <c r="S25" i="17"/>
  <c r="S18" i="17"/>
  <c r="S8" i="17"/>
  <c r="S35" i="17"/>
  <c r="S15" i="17"/>
  <c r="S39" i="17"/>
  <c r="AD12" i="17"/>
  <c r="AA12" i="32"/>
  <c r="AA64" i="32" s="1"/>
  <c r="AD20" i="17"/>
  <c r="AA20" i="32"/>
  <c r="AA72" i="32" s="1"/>
  <c r="F9" i="35"/>
  <c r="F11" i="35"/>
  <c r="F7" i="35"/>
  <c r="F13" i="35" s="1"/>
  <c r="N43" i="21"/>
  <c r="V24" i="17"/>
  <c r="U24" i="32" s="1"/>
  <c r="U76" i="32" s="1"/>
  <c r="V45" i="17"/>
  <c r="U45" i="32" s="1"/>
  <c r="U97" i="32" s="1"/>
  <c r="V30" i="17"/>
  <c r="V34" i="17"/>
  <c r="V27" i="17"/>
  <c r="U27" i="32" s="1"/>
  <c r="U79" i="32" s="1"/>
  <c r="V39" i="17"/>
  <c r="U39" i="32" s="1"/>
  <c r="U91" i="32" s="1"/>
  <c r="V32" i="17"/>
  <c r="U32" i="32" s="1"/>
  <c r="U84" i="32" s="1"/>
  <c r="V8" i="17"/>
  <c r="V15" i="17"/>
  <c r="V35" i="17"/>
  <c r="U35" i="32" s="1"/>
  <c r="U87" i="32" s="1"/>
  <c r="V16" i="17"/>
  <c r="V11" i="17"/>
  <c r="V37" i="17"/>
  <c r="V31" i="17"/>
  <c r="U31" i="32" s="1"/>
  <c r="U83" i="32" s="1"/>
  <c r="V14" i="17"/>
  <c r="U14" i="32" s="1"/>
  <c r="U66" i="32" s="1"/>
  <c r="V28" i="17"/>
  <c r="V7" i="17"/>
  <c r="V36" i="17"/>
  <c r="M51" i="17"/>
  <c r="M51" i="32" s="1"/>
  <c r="M103" i="32" s="1"/>
  <c r="AB50" i="16"/>
  <c r="Y50" i="18"/>
  <c r="Y50" i="17"/>
  <c r="X50" i="32" s="1"/>
  <c r="X102" i="32" s="1"/>
  <c r="X17" i="32"/>
  <c r="X69" i="32" s="1"/>
  <c r="Y17" i="17"/>
  <c r="AB17" i="17" s="1"/>
  <c r="Y17" i="18"/>
  <c r="AB17" i="18" s="1"/>
  <c r="X36" i="32"/>
  <c r="X88" i="32" s="1"/>
  <c r="Y36" i="18"/>
  <c r="AB36" i="18" s="1"/>
  <c r="Y36" i="17"/>
  <c r="AB37" i="16"/>
  <c r="Y37" i="17"/>
  <c r="X37" i="32" s="1"/>
  <c r="X89" i="32" s="1"/>
  <c r="Y37" i="18"/>
  <c r="AB37" i="18" s="1"/>
  <c r="Y8" i="18"/>
  <c r="AB8" i="18" s="1"/>
  <c r="Y8" i="17"/>
  <c r="Y46" i="17"/>
  <c r="Y46" i="18"/>
  <c r="AB46" i="18" s="1"/>
  <c r="AB29" i="18"/>
  <c r="V6" i="17"/>
  <c r="U6" i="32" s="1"/>
  <c r="U58" i="32" s="1"/>
  <c r="M48" i="17"/>
  <c r="M48" i="32" s="1"/>
  <c r="M100" i="32" s="1"/>
  <c r="V12" i="33"/>
  <c r="V54" i="33" s="1"/>
  <c r="V15" i="33"/>
  <c r="V57" i="33" s="1"/>
  <c r="Q5" i="32"/>
  <c r="Q57" i="32" s="1"/>
  <c r="Q53" i="17"/>
  <c r="AB24" i="16"/>
  <c r="W32" i="21"/>
  <c r="W9" i="21"/>
  <c r="AB50" i="18"/>
  <c r="AB44" i="16"/>
  <c r="T47" i="32"/>
  <c r="T99" i="32" s="1"/>
  <c r="T17" i="32"/>
  <c r="T69" i="32" s="1"/>
  <c r="T13" i="32"/>
  <c r="T65" i="32" s="1"/>
  <c r="AB13" i="17"/>
  <c r="T6" i="32"/>
  <c r="T58" i="32" s="1"/>
  <c r="AB6" i="17"/>
  <c r="R5" i="33"/>
  <c r="R47" i="33" s="1"/>
  <c r="AB33" i="16"/>
  <c r="M20" i="17"/>
  <c r="M20" i="32" s="1"/>
  <c r="M72" i="32" s="1"/>
  <c r="M47" i="17"/>
  <c r="M47" i="32" s="1"/>
  <c r="M99" i="32" s="1"/>
  <c r="W19" i="21"/>
  <c r="W37" i="21"/>
  <c r="AB14" i="16"/>
  <c r="AB18" i="21"/>
  <c r="AD34" i="17"/>
  <c r="AA34" i="32"/>
  <c r="AA86" i="32" s="1"/>
  <c r="AD51" i="17"/>
  <c r="AA51" i="32"/>
  <c r="AA103" i="32" s="1"/>
  <c r="AD32" i="17"/>
  <c r="AA32" i="32"/>
  <c r="AA84" i="32" s="1"/>
  <c r="AD41" i="17"/>
  <c r="AA41" i="32"/>
  <c r="AA93" i="32" s="1"/>
  <c r="AD35" i="17"/>
  <c r="AA35" i="32"/>
  <c r="AA87" i="32" s="1"/>
  <c r="V11" i="33"/>
  <c r="V53" i="33" s="1"/>
  <c r="V6" i="33"/>
  <c r="V48" i="33" s="1"/>
  <c r="L7" i="35" s="1"/>
  <c r="L13" i="35" s="1"/>
  <c r="V24" i="33"/>
  <c r="V66" i="33" s="1"/>
  <c r="R38" i="33"/>
  <c r="R80" i="33" s="1"/>
  <c r="R27" i="33"/>
  <c r="R69" i="33" s="1"/>
  <c r="G9" i="35"/>
  <c r="G7" i="35"/>
  <c r="G13" i="35" s="1"/>
  <c r="G11" i="35"/>
  <c r="M43" i="22"/>
  <c r="V31" i="33"/>
  <c r="V73" i="33" s="1"/>
  <c r="V17" i="33"/>
  <c r="V59" i="33" s="1"/>
  <c r="R25" i="33"/>
  <c r="R67" i="33" s="1"/>
  <c r="R28" i="33"/>
  <c r="R70" i="33" s="1"/>
  <c r="N5" i="33"/>
  <c r="N47" i="33" s="1"/>
  <c r="V53" i="18"/>
  <c r="AB5" i="18"/>
  <c r="M30" i="17"/>
  <c r="M30" i="32" s="1"/>
  <c r="M82" i="32" s="1"/>
  <c r="Y31" i="17"/>
  <c r="X31" i="32" s="1"/>
  <c r="X83" i="32" s="1"/>
  <c r="Y31" i="18"/>
  <c r="AB31" i="18" s="1"/>
  <c r="X13" i="32"/>
  <c r="X65" i="32" s="1"/>
  <c r="Y13" i="17"/>
  <c r="Y13" i="18"/>
  <c r="AB13" i="18" s="1"/>
  <c r="AB13" i="16"/>
  <c r="Y30" i="18"/>
  <c r="AB30" i="18" s="1"/>
  <c r="Y30" i="17"/>
  <c r="X30" i="32" s="1"/>
  <c r="X82" i="32" s="1"/>
  <c r="Y22" i="18"/>
  <c r="AB22" i="18" s="1"/>
  <c r="Y22" i="17"/>
  <c r="Y19" i="18"/>
  <c r="AB19" i="18" s="1"/>
  <c r="Y19" i="17"/>
  <c r="AB19" i="17" s="1"/>
  <c r="AB49" i="16"/>
  <c r="X49" i="32"/>
  <c r="X101" i="32" s="1"/>
  <c r="Y49" i="18"/>
  <c r="AB49" i="18" s="1"/>
  <c r="Y49" i="17"/>
  <c r="AB49" i="17" s="1"/>
  <c r="V29" i="17"/>
  <c r="U29" i="32" s="1"/>
  <c r="U81" i="32" s="1"/>
  <c r="R30" i="33"/>
  <c r="R72" i="33" s="1"/>
  <c r="R12" i="33"/>
  <c r="R54" i="33" s="1"/>
  <c r="AB24" i="18"/>
  <c r="M37" i="17"/>
  <c r="M37" i="32" s="1"/>
  <c r="M89" i="32" s="1"/>
  <c r="V50" i="17"/>
  <c r="U50" i="32" s="1"/>
  <c r="U102" i="32" s="1"/>
  <c r="M38" i="17"/>
  <c r="M38" i="32" s="1"/>
  <c r="M90" i="32" s="1"/>
  <c r="M42" i="17"/>
  <c r="M42" i="32" s="1"/>
  <c r="M94" i="32" s="1"/>
  <c r="T23" i="32"/>
  <c r="T75" i="32" s="1"/>
  <c r="T42" i="32"/>
  <c r="T94" i="32" s="1"/>
  <c r="AB22" i="17"/>
  <c r="T22" i="32"/>
  <c r="T74" i="32" s="1"/>
  <c r="T48" i="32"/>
  <c r="T100" i="32" s="1"/>
  <c r="AB39" i="18"/>
  <c r="AB45" i="16"/>
  <c r="Y7" i="22"/>
  <c r="AB7" i="22" s="1"/>
  <c r="S5" i="37" s="1"/>
  <c r="Y14" i="22"/>
  <c r="AB14" i="22" s="1"/>
  <c r="AA191" i="26" s="1"/>
  <c r="Y23" i="22"/>
  <c r="AB23" i="22" s="1"/>
  <c r="Y15" i="22"/>
  <c r="AB15" i="22" s="1"/>
  <c r="S8" i="37" s="1"/>
  <c r="Y40" i="22"/>
  <c r="AB40" i="22" s="1"/>
  <c r="Y25" i="22"/>
  <c r="AB25" i="22" s="1"/>
  <c r="S18" i="37" s="1"/>
  <c r="Y34" i="22"/>
  <c r="AB34" i="22" s="1"/>
  <c r="U34" i="33"/>
  <c r="U76" i="33" s="1"/>
  <c r="Y16" i="22"/>
  <c r="AB16" i="22" s="1"/>
  <c r="S10" i="37" s="1"/>
  <c r="Y18" i="22"/>
  <c r="AB18" i="22" s="1"/>
  <c r="U18" i="33"/>
  <c r="U60" i="33" s="1"/>
  <c r="Y10" i="22"/>
  <c r="Y36" i="22"/>
  <c r="AB36" i="22" s="1"/>
  <c r="S28" i="37" s="1"/>
  <c r="Y17" i="22"/>
  <c r="AB17" i="22" s="1"/>
  <c r="Y32" i="22"/>
  <c r="AB32" i="22" s="1"/>
  <c r="Y33" i="22"/>
  <c r="AB33" i="22" s="1"/>
  <c r="Y24" i="22"/>
  <c r="AB24" i="22" s="1"/>
  <c r="S17" i="37" s="1"/>
  <c r="U24" i="33"/>
  <c r="U66" i="33" s="1"/>
  <c r="Y38" i="22"/>
  <c r="AB38" i="22" s="1"/>
  <c r="S31" i="37" s="1"/>
  <c r="Y30" i="22"/>
  <c r="AB30" i="22" s="1"/>
  <c r="S24" i="37" s="1"/>
  <c r="Y41" i="22"/>
  <c r="AB41" i="22" s="1"/>
  <c r="S33" i="37" s="1"/>
  <c r="Y12" i="22"/>
  <c r="AB12" i="22" s="1"/>
  <c r="AA161" i="26" s="1"/>
  <c r="Y11" i="22"/>
  <c r="AB11" i="22" s="1"/>
  <c r="S11" i="37" s="1"/>
  <c r="U11" i="33"/>
  <c r="U53" i="33" s="1"/>
  <c r="Y28" i="22"/>
  <c r="AB28" i="22" s="1"/>
  <c r="S22" i="37" s="1"/>
  <c r="U39" i="33"/>
  <c r="U81" i="33" s="1"/>
  <c r="Y9" i="22"/>
  <c r="AB9" i="22" s="1"/>
  <c r="S7" i="37" s="1"/>
  <c r="Y31" i="22"/>
  <c r="AB31" i="22" s="1"/>
  <c r="Y29" i="22"/>
  <c r="AB29" i="22" s="1"/>
  <c r="S23" i="37" s="1"/>
  <c r="U29" i="33"/>
  <c r="U71" i="33" s="1"/>
  <c r="Y13" i="22"/>
  <c r="AB13" i="22" s="1"/>
  <c r="AA174" i="26" s="1"/>
  <c r="Y26" i="22"/>
  <c r="AB26" i="22" s="1"/>
  <c r="S19" i="37" s="1"/>
  <c r="Y35" i="22"/>
  <c r="AB35" i="22" s="1"/>
  <c r="S27" i="37" s="1"/>
  <c r="Y27" i="22"/>
  <c r="AB27" i="22" s="1"/>
  <c r="AA187" i="26"/>
  <c r="AA184" i="26"/>
  <c r="AA328" i="25"/>
  <c r="AG328" i="25" s="1"/>
  <c r="AA322" i="25"/>
  <c r="AG322" i="25" s="1"/>
  <c r="AA163" i="26"/>
  <c r="AA304" i="25"/>
  <c r="AG304" i="25" s="1"/>
  <c r="AA302" i="25"/>
  <c r="AG302" i="25" s="1"/>
  <c r="AA297" i="25"/>
  <c r="AG297" i="25" s="1"/>
  <c r="AA158" i="26"/>
  <c r="AA552" i="25"/>
  <c r="X22" i="21"/>
  <c r="X21" i="21"/>
  <c r="X19" i="21"/>
  <c r="X20" i="21"/>
  <c r="X5" i="21"/>
  <c r="X5" i="22"/>
  <c r="U5" i="33" s="1"/>
  <c r="U47" i="33" s="1"/>
  <c r="X12" i="21"/>
  <c r="Y12" i="21" s="1"/>
  <c r="AB12" i="21" s="1"/>
  <c r="AA159" i="26" s="1"/>
  <c r="X9" i="21"/>
  <c r="Y9" i="21" s="1"/>
  <c r="AB9" i="21" s="1"/>
  <c r="X27" i="21"/>
  <c r="Y27" i="21" s="1"/>
  <c r="AB27" i="21" s="1"/>
  <c r="X10" i="21"/>
  <c r="Y10" i="21" s="1"/>
  <c r="AB10" i="21" s="1"/>
  <c r="X26" i="21"/>
  <c r="Y26" i="21" s="1"/>
  <c r="AB26" i="21" s="1"/>
  <c r="X35" i="21"/>
  <c r="Y35" i="21" s="1"/>
  <c r="AB35" i="21" s="1"/>
  <c r="X25" i="21"/>
  <c r="Y25" i="21" s="1"/>
  <c r="AB25" i="21" s="1"/>
  <c r="Q43" i="21"/>
  <c r="X40" i="21"/>
  <c r="Y40" i="21" s="1"/>
  <c r="AB40" i="21" s="1"/>
  <c r="AM57" i="15"/>
  <c r="AM55" i="18"/>
  <c r="AM55" i="17"/>
  <c r="AM55" i="16"/>
  <c r="AB43" i="20"/>
  <c r="X16" i="21"/>
  <c r="Y16" i="21" s="1"/>
  <c r="AB16" i="21" s="1"/>
  <c r="X23" i="21"/>
  <c r="Y23" i="21" s="1"/>
  <c r="AB23" i="21" s="1"/>
  <c r="X15" i="21"/>
  <c r="Y15" i="21" s="1"/>
  <c r="AB15" i="21" s="1"/>
  <c r="X37" i="21"/>
  <c r="Y37" i="21" s="1"/>
  <c r="AB37" i="21" s="1"/>
  <c r="AG57" i="15"/>
  <c r="AG55" i="18"/>
  <c r="AG55" i="17"/>
  <c r="AG55" i="16"/>
  <c r="X41" i="21"/>
  <c r="Y41" i="21" s="1"/>
  <c r="AB41" i="21" s="1"/>
  <c r="X30" i="21"/>
  <c r="Y30" i="21" s="1"/>
  <c r="AB30" i="21" s="1"/>
  <c r="AB10" i="22"/>
  <c r="S9" i="37" s="1"/>
  <c r="X33" i="21"/>
  <c r="Y33" i="21" s="1"/>
  <c r="AB33" i="21" s="1"/>
  <c r="X7" i="21"/>
  <c r="Y7" i="21" s="1"/>
  <c r="AB7" i="21" s="1"/>
  <c r="X28" i="21"/>
  <c r="Y28" i="21" s="1"/>
  <c r="AB28" i="21" s="1"/>
  <c r="X14" i="21"/>
  <c r="Y14" i="21" s="1"/>
  <c r="AB14" i="21" s="1"/>
  <c r="AA324" i="25" s="1"/>
  <c r="AG324" i="25" s="1"/>
  <c r="Y45" i="22"/>
  <c r="Y45" i="21"/>
  <c r="Y45" i="20"/>
  <c r="Y45" i="19"/>
  <c r="X38" i="21"/>
  <c r="Y38" i="21" s="1"/>
  <c r="AB38" i="21" s="1"/>
  <c r="X32" i="21"/>
  <c r="Y32" i="21" s="1"/>
  <c r="AB32" i="21" s="1"/>
  <c r="X17" i="21"/>
  <c r="Y17" i="21" s="1"/>
  <c r="AB17" i="21" s="1"/>
  <c r="X31" i="21"/>
  <c r="Y31" i="21" s="1"/>
  <c r="AB31" i="21" s="1"/>
  <c r="X36" i="21"/>
  <c r="Y36" i="21" s="1"/>
  <c r="AB36" i="21" s="1"/>
  <c r="X13" i="21"/>
  <c r="Y13" i="21" s="1"/>
  <c r="AB13" i="21" s="1"/>
  <c r="AA308" i="25" s="1"/>
  <c r="AG308" i="25" s="1"/>
  <c r="Q43" i="22"/>
  <c r="X6" i="21"/>
  <c r="Y6" i="21" s="1"/>
  <c r="AB6" i="21" s="1"/>
  <c r="E46" i="5"/>
  <c r="S20" i="37" l="1"/>
  <c r="S15" i="37"/>
  <c r="S25" i="37"/>
  <c r="U8" i="33"/>
  <c r="U50" i="33" s="1"/>
  <c r="G6" i="37"/>
  <c r="G11" i="37"/>
  <c r="AA321" i="26"/>
  <c r="AA178" i="26"/>
  <c r="AA549" i="25"/>
  <c r="S32" i="37"/>
  <c r="S21" i="37"/>
  <c r="S16" i="37"/>
  <c r="S26" i="37"/>
  <c r="AA500" i="25"/>
  <c r="AA547" i="25"/>
  <c r="AA553" i="25"/>
  <c r="AG553" i="25" s="1"/>
  <c r="AA326" i="25"/>
  <c r="AG326" i="25" s="1"/>
  <c r="AA551" i="25"/>
  <c r="AA332" i="25"/>
  <c r="AG332" i="25" s="1"/>
  <c r="AA325" i="25"/>
  <c r="AG325" i="25" s="1"/>
  <c r="AA214" i="25"/>
  <c r="AG214" i="25" s="1"/>
  <c r="AA544" i="25"/>
  <c r="AA150" i="26"/>
  <c r="AA149" i="26"/>
  <c r="AA287" i="25"/>
  <c r="AG287" i="25" s="1"/>
  <c r="AA291" i="25"/>
  <c r="AG291" i="25" s="1"/>
  <c r="C14" i="35"/>
  <c r="C15" i="35"/>
  <c r="AA42" i="25"/>
  <c r="L42" i="30" s="1"/>
  <c r="O42" i="30" s="1"/>
  <c r="AA45" i="25"/>
  <c r="AA338" i="25"/>
  <c r="AG338" i="25" s="1"/>
  <c r="AA90" i="25"/>
  <c r="L90" i="30" s="1"/>
  <c r="O90" i="30" s="1"/>
  <c r="AA47" i="25"/>
  <c r="AA427" i="25"/>
  <c r="AG427" i="25" s="1"/>
  <c r="AA204" i="26"/>
  <c r="AA411" i="25"/>
  <c r="AG411" i="25" s="1"/>
  <c r="AA377" i="25"/>
  <c r="AG377" i="25" s="1"/>
  <c r="AA341" i="25"/>
  <c r="AG341" i="25" s="1"/>
  <c r="AA387" i="25"/>
  <c r="AG387" i="25" s="1"/>
  <c r="AA238" i="26"/>
  <c r="AA46" i="25"/>
  <c r="AA85" i="25"/>
  <c r="AA88" i="25"/>
  <c r="AG88" i="25" s="1"/>
  <c r="AA75" i="25"/>
  <c r="AG75" i="25" s="1"/>
  <c r="AA546" i="25"/>
  <c r="AA306" i="25"/>
  <c r="AG306" i="25" s="1"/>
  <c r="AA321" i="25"/>
  <c r="AG321" i="25" s="1"/>
  <c r="AA185" i="26"/>
  <c r="AA350" i="25"/>
  <c r="AG350" i="25" s="1"/>
  <c r="AA395" i="25"/>
  <c r="AG395" i="25" s="1"/>
  <c r="AA437" i="25"/>
  <c r="AG437" i="25" s="1"/>
  <c r="AA417" i="25"/>
  <c r="AG417" i="25" s="1"/>
  <c r="AA433" i="25"/>
  <c r="AG433" i="25" s="1"/>
  <c r="AA397" i="25"/>
  <c r="AG397" i="25" s="1"/>
  <c r="AA364" i="25"/>
  <c r="AG364" i="25" s="1"/>
  <c r="AA349" i="25"/>
  <c r="AG349" i="25" s="1"/>
  <c r="AA196" i="26"/>
  <c r="AA409" i="25"/>
  <c r="AG409" i="25" s="1"/>
  <c r="AA410" i="25"/>
  <c r="AG410" i="25" s="1"/>
  <c r="AA380" i="25"/>
  <c r="AG380" i="25" s="1"/>
  <c r="AA444" i="25"/>
  <c r="AG444" i="25" s="1"/>
  <c r="AA224" i="26"/>
  <c r="AA240" i="26"/>
  <c r="AA256" i="26"/>
  <c r="AA272" i="26"/>
  <c r="AA288" i="26"/>
  <c r="AA304" i="26"/>
  <c r="AA320" i="26"/>
  <c r="AA414" i="25"/>
  <c r="AG414" i="25" s="1"/>
  <c r="AA375" i="25"/>
  <c r="AG375" i="25" s="1"/>
  <c r="AA439" i="25"/>
  <c r="AG439" i="25" s="1"/>
  <c r="AA400" i="25"/>
  <c r="AG400" i="25" s="1"/>
  <c r="AA195" i="26"/>
  <c r="AA211" i="26"/>
  <c r="AA227" i="26"/>
  <c r="AA243" i="26"/>
  <c r="AA259" i="26"/>
  <c r="AA275" i="26"/>
  <c r="AA291" i="26"/>
  <c r="AA307" i="26"/>
  <c r="AA323" i="26"/>
  <c r="AA309" i="25"/>
  <c r="AG309" i="25" s="1"/>
  <c r="AA288" i="25"/>
  <c r="AG288" i="25" s="1"/>
  <c r="AA525" i="25"/>
  <c r="AG525" i="25" s="1"/>
  <c r="AA486" i="25"/>
  <c r="AA9" i="25"/>
  <c r="AG9" i="25" s="1"/>
  <c r="AA111" i="26"/>
  <c r="AA113" i="26"/>
  <c r="AA40" i="26"/>
  <c r="AA8" i="26"/>
  <c r="AA149" i="25"/>
  <c r="AG149" i="25" s="1"/>
  <c r="AA112" i="26"/>
  <c r="AA39" i="26"/>
  <c r="AA7" i="25"/>
  <c r="AA328" i="26"/>
  <c r="U35" i="33"/>
  <c r="U77" i="33" s="1"/>
  <c r="U31" i="33"/>
  <c r="U73" i="33" s="1"/>
  <c r="U38" i="33"/>
  <c r="U80" i="33" s="1"/>
  <c r="U17" i="33"/>
  <c r="U59" i="33" s="1"/>
  <c r="U16" i="33"/>
  <c r="U58" i="33" s="1"/>
  <c r="U40" i="33"/>
  <c r="U82" i="33" s="1"/>
  <c r="U14" i="33"/>
  <c r="U56" i="33" s="1"/>
  <c r="L9" i="35"/>
  <c r="S53" i="17"/>
  <c r="X51" i="32"/>
  <c r="X103" i="32" s="1"/>
  <c r="AB14" i="17"/>
  <c r="E15" i="35"/>
  <c r="E14" i="35"/>
  <c r="Y26" i="17"/>
  <c r="H7" i="35"/>
  <c r="H13" i="35" s="1"/>
  <c r="AA385" i="25"/>
  <c r="AG385" i="25" s="1"/>
  <c r="AA342" i="25"/>
  <c r="AG342" i="25" s="1"/>
  <c r="AP4" i="25" s="1"/>
  <c r="AQ4" i="25" s="1"/>
  <c r="AA336" i="25"/>
  <c r="AG336" i="25" s="1"/>
  <c r="AA453" i="25"/>
  <c r="AG453" i="25" s="1"/>
  <c r="AA419" i="25"/>
  <c r="AG419" i="25" s="1"/>
  <c r="AA357" i="25"/>
  <c r="AG357" i="25" s="1"/>
  <c r="AA212" i="26"/>
  <c r="AA429" i="25"/>
  <c r="AG429" i="25" s="1"/>
  <c r="AA418" i="25"/>
  <c r="AG418" i="25" s="1"/>
  <c r="AA388" i="25"/>
  <c r="AG388" i="25" s="1"/>
  <c r="AA452" i="25"/>
  <c r="AG452" i="25" s="1"/>
  <c r="AA226" i="26"/>
  <c r="AA242" i="26"/>
  <c r="AA258" i="26"/>
  <c r="AA274" i="26"/>
  <c r="AA290" i="26"/>
  <c r="AA306" i="26"/>
  <c r="AA322" i="26"/>
  <c r="AA422" i="25"/>
  <c r="AG422" i="25" s="1"/>
  <c r="AA383" i="25"/>
  <c r="AG383" i="25" s="1"/>
  <c r="AA447" i="25"/>
  <c r="AG447" i="25" s="1"/>
  <c r="AA408" i="25"/>
  <c r="AG408" i="25" s="1"/>
  <c r="AA197" i="26"/>
  <c r="AA213" i="26"/>
  <c r="AA229" i="26"/>
  <c r="AA245" i="26"/>
  <c r="AA261" i="26"/>
  <c r="AA277" i="26"/>
  <c r="AA293" i="26"/>
  <c r="AA309" i="26"/>
  <c r="AA325" i="26"/>
  <c r="AA171" i="26"/>
  <c r="AA485" i="25"/>
  <c r="AA510" i="25"/>
  <c r="AG510" i="25" s="1"/>
  <c r="AA13" i="26"/>
  <c r="AA153" i="25"/>
  <c r="AG153" i="25" s="1"/>
  <c r="AA151" i="25"/>
  <c r="AG151" i="25" s="1"/>
  <c r="AA48" i="26"/>
  <c r="AA12" i="25"/>
  <c r="AG12" i="25" s="1"/>
  <c r="AA213" i="25"/>
  <c r="AG213" i="25" s="1"/>
  <c r="AA144" i="25"/>
  <c r="AG144" i="25" s="1"/>
  <c r="AA47" i="26"/>
  <c r="AA44" i="26"/>
  <c r="AA531" i="25"/>
  <c r="AG531" i="25" s="1"/>
  <c r="AA183" i="26"/>
  <c r="AB53" i="18"/>
  <c r="G7" i="34"/>
  <c r="G13" i="34" s="1"/>
  <c r="G11" i="34"/>
  <c r="G9" i="34"/>
  <c r="X46" i="32"/>
  <c r="X98" i="32" s="1"/>
  <c r="AB37" i="17"/>
  <c r="U37" i="32"/>
  <c r="U89" i="32" s="1"/>
  <c r="L11" i="35"/>
  <c r="X44" i="32"/>
  <c r="X96" i="32" s="1"/>
  <c r="Y29" i="17"/>
  <c r="X29" i="32" s="1"/>
  <c r="X81" i="32" s="1"/>
  <c r="Y24" i="17"/>
  <c r="X24" i="32" s="1"/>
  <c r="X76" i="32" s="1"/>
  <c r="Y35" i="17"/>
  <c r="X35" i="32" s="1"/>
  <c r="X87" i="32" s="1"/>
  <c r="Y34" i="17"/>
  <c r="X34" i="32" s="1"/>
  <c r="X86" i="32" s="1"/>
  <c r="B7" i="34"/>
  <c r="B13" i="34" s="1"/>
  <c r="B11" i="34"/>
  <c r="B9" i="34"/>
  <c r="Y48" i="17"/>
  <c r="Y9" i="17"/>
  <c r="Y18" i="17"/>
  <c r="X18" i="32" s="1"/>
  <c r="X70" i="32" s="1"/>
  <c r="V53" i="17"/>
  <c r="U5" i="32"/>
  <c r="U57" i="32" s="1"/>
  <c r="AA41" i="25"/>
  <c r="AA40" i="25"/>
  <c r="AA43" i="25"/>
  <c r="AA83" i="25"/>
  <c r="AA457" i="25"/>
  <c r="AG457" i="25" s="1"/>
  <c r="AA379" i="25"/>
  <c r="AG379" i="25" s="1"/>
  <c r="AA74" i="25"/>
  <c r="AG74" i="25" s="1"/>
  <c r="AA86" i="25"/>
  <c r="AG86" i="25" s="1"/>
  <c r="AA48" i="25"/>
  <c r="AA79" i="25"/>
  <c r="AA91" i="25"/>
  <c r="AA296" i="25"/>
  <c r="AG296" i="25" s="1"/>
  <c r="AA320" i="25"/>
  <c r="AA189" i="26"/>
  <c r="AA334" i="25"/>
  <c r="AG334" i="25" s="1"/>
  <c r="AA206" i="26"/>
  <c r="AA362" i="25"/>
  <c r="AG362" i="25" s="1"/>
  <c r="AA344" i="25"/>
  <c r="AG344" i="25" s="1"/>
  <c r="AA208" i="26"/>
  <c r="AA441" i="25"/>
  <c r="AG441" i="25" s="1"/>
  <c r="AA401" i="25"/>
  <c r="AG401" i="25" s="1"/>
  <c r="AA365" i="25"/>
  <c r="AG365" i="25" s="1"/>
  <c r="AA335" i="25"/>
  <c r="AG335" i="25" s="1"/>
  <c r="AA451" i="25"/>
  <c r="AG451" i="25" s="1"/>
  <c r="AA426" i="25"/>
  <c r="AG426" i="25" s="1"/>
  <c r="AA396" i="25"/>
  <c r="AG396" i="25" s="1"/>
  <c r="AA460" i="25"/>
  <c r="AG460" i="25" s="1"/>
  <c r="AA228" i="26"/>
  <c r="AA244" i="26"/>
  <c r="AA260" i="26"/>
  <c r="AA276" i="26"/>
  <c r="AA292" i="26"/>
  <c r="AA308" i="26"/>
  <c r="AA324" i="26"/>
  <c r="AA430" i="25"/>
  <c r="AG430" i="25" s="1"/>
  <c r="AA391" i="25"/>
  <c r="AG391" i="25" s="1"/>
  <c r="AA455" i="25"/>
  <c r="AG455" i="25" s="1"/>
  <c r="AA416" i="25"/>
  <c r="AG416" i="25" s="1"/>
  <c r="AA199" i="26"/>
  <c r="AA215" i="26"/>
  <c r="AA231" i="26"/>
  <c r="AA247" i="26"/>
  <c r="AA263" i="26"/>
  <c r="AA279" i="26"/>
  <c r="AA295" i="26"/>
  <c r="AA311" i="26"/>
  <c r="AA172" i="26"/>
  <c r="AA319" i="25"/>
  <c r="AG319" i="25" s="1"/>
  <c r="AA284" i="25"/>
  <c r="AG284" i="25" s="1"/>
  <c r="AA529" i="25"/>
  <c r="AA526" i="25"/>
  <c r="AA38" i="26"/>
  <c r="AA2" i="25"/>
  <c r="AG2" i="25" s="1"/>
  <c r="AA159" i="25"/>
  <c r="AG159" i="25" s="1"/>
  <c r="AA56" i="26"/>
  <c r="AA45" i="26"/>
  <c r="AA49" i="26"/>
  <c r="AA160" i="25"/>
  <c r="AG160" i="25" s="1"/>
  <c r="AA55" i="26"/>
  <c r="AA52" i="26"/>
  <c r="U26" i="33"/>
  <c r="U68" i="33" s="1"/>
  <c r="U9" i="33"/>
  <c r="U51" i="33" s="1"/>
  <c r="U12" i="33"/>
  <c r="U54" i="33" s="1"/>
  <c r="U36" i="33"/>
  <c r="U78" i="33" s="1"/>
  <c r="U6" i="33"/>
  <c r="U48" i="33" s="1"/>
  <c r="U37" i="33"/>
  <c r="U79" i="33" s="1"/>
  <c r="X22" i="32"/>
  <c r="X74" i="32" s="1"/>
  <c r="H11" i="35"/>
  <c r="H9" i="35"/>
  <c r="U11" i="32"/>
  <c r="U63" i="32" s="1"/>
  <c r="AB34" i="17"/>
  <c r="U34" i="32"/>
  <c r="U86" i="32" s="1"/>
  <c r="T9" i="34"/>
  <c r="T11" i="34"/>
  <c r="T7" i="34"/>
  <c r="T13" i="34" s="1"/>
  <c r="R5" i="32"/>
  <c r="R57" i="32" s="1"/>
  <c r="R53" i="17"/>
  <c r="S58" i="17" s="1"/>
  <c r="Y12" i="17"/>
  <c r="Y20" i="17"/>
  <c r="Y5" i="17"/>
  <c r="Y45" i="17"/>
  <c r="J9" i="34"/>
  <c r="J7" i="34"/>
  <c r="J13" i="34" s="1"/>
  <c r="J11" i="34"/>
  <c r="Y32" i="17"/>
  <c r="Y40" i="17"/>
  <c r="Y15" i="17"/>
  <c r="X15" i="32" s="1"/>
  <c r="X67" i="32" s="1"/>
  <c r="AB24" i="21"/>
  <c r="AA77" i="25"/>
  <c r="AA352" i="25"/>
  <c r="AG352" i="25" s="1"/>
  <c r="AA421" i="25"/>
  <c r="AG421" i="25" s="1"/>
  <c r="AA210" i="26"/>
  <c r="AA404" i="25"/>
  <c r="AG404" i="25" s="1"/>
  <c r="AA230" i="26"/>
  <c r="AA262" i="26"/>
  <c r="AA294" i="26"/>
  <c r="AA374" i="25"/>
  <c r="AG374" i="25" s="1"/>
  <c r="AA463" i="25"/>
  <c r="AG463" i="25" s="1"/>
  <c r="AA201" i="26"/>
  <c r="AA233" i="26"/>
  <c r="AA265" i="26"/>
  <c r="AA297" i="26"/>
  <c r="AA519" i="25"/>
  <c r="AG519" i="25" s="1"/>
  <c r="AA6" i="26"/>
  <c r="AA107" i="26"/>
  <c r="AA53" i="26"/>
  <c r="AA208" i="25"/>
  <c r="AG208" i="25" s="1"/>
  <c r="AA147" i="25"/>
  <c r="AG147" i="25" s="1"/>
  <c r="AA60" i="26"/>
  <c r="D7" i="35"/>
  <c r="D13" i="35" s="1"/>
  <c r="D11" i="35"/>
  <c r="D9" i="35"/>
  <c r="G14" i="35"/>
  <c r="G15" i="35"/>
  <c r="AB16" i="17"/>
  <c r="U16" i="32"/>
  <c r="U68" i="32" s="1"/>
  <c r="U30" i="32"/>
  <c r="U82" i="32" s="1"/>
  <c r="AB30" i="17"/>
  <c r="W43" i="22"/>
  <c r="C11" i="35"/>
  <c r="Y20" i="21"/>
  <c r="AB20" i="21" s="1"/>
  <c r="U20" i="33"/>
  <c r="U62" i="33" s="1"/>
  <c r="AA87" i="25"/>
  <c r="AG87" i="25" s="1"/>
  <c r="AA354" i="25"/>
  <c r="AG354" i="25" s="1"/>
  <c r="AA413" i="25"/>
  <c r="AG413" i="25" s="1"/>
  <c r="AA339" i="25"/>
  <c r="AG339" i="25" s="1"/>
  <c r="AA461" i="25"/>
  <c r="AG461" i="25" s="1"/>
  <c r="AA381" i="25"/>
  <c r="AG381" i="25" s="1"/>
  <c r="AA343" i="25"/>
  <c r="AG343" i="25" s="1"/>
  <c r="AA434" i="25"/>
  <c r="AG434" i="25" s="1"/>
  <c r="AA214" i="26"/>
  <c r="AA246" i="26"/>
  <c r="AA278" i="26"/>
  <c r="AA310" i="26"/>
  <c r="AA438" i="25"/>
  <c r="AG438" i="25" s="1"/>
  <c r="AA399" i="25"/>
  <c r="AG399" i="25" s="1"/>
  <c r="AA424" i="25"/>
  <c r="AG424" i="25" s="1"/>
  <c r="AA217" i="26"/>
  <c r="AA249" i="26"/>
  <c r="AA281" i="26"/>
  <c r="AA313" i="26"/>
  <c r="AA515" i="25"/>
  <c r="AA54" i="26"/>
  <c r="AA207" i="25"/>
  <c r="AG207" i="25" s="1"/>
  <c r="AA108" i="26"/>
  <c r="AA114" i="26"/>
  <c r="Y19" i="21"/>
  <c r="AB19" i="21" s="1"/>
  <c r="U19" i="33"/>
  <c r="U61" i="33" s="1"/>
  <c r="AA78" i="25"/>
  <c r="AA84" i="25"/>
  <c r="AA81" i="25"/>
  <c r="AG81" i="25" s="1"/>
  <c r="AA305" i="25"/>
  <c r="AG305" i="25" s="1"/>
  <c r="AA435" i="25"/>
  <c r="AG435" i="25" s="1"/>
  <c r="AA393" i="25"/>
  <c r="AG393" i="25" s="1"/>
  <c r="AA361" i="25"/>
  <c r="AG361" i="25" s="1"/>
  <c r="AA373" i="25"/>
  <c r="AG373" i="25" s="1"/>
  <c r="AA360" i="25"/>
  <c r="AG360" i="25" s="1"/>
  <c r="AA347" i="25"/>
  <c r="AG347" i="25" s="1"/>
  <c r="AA202" i="26"/>
  <c r="AA443" i="25"/>
  <c r="AG443" i="25" s="1"/>
  <c r="AA403" i="25"/>
  <c r="AG403" i="25" s="1"/>
  <c r="AA351" i="25"/>
  <c r="AG351" i="25" s="1"/>
  <c r="AA378" i="25"/>
  <c r="AG378" i="25" s="1"/>
  <c r="AA442" i="25"/>
  <c r="AG442" i="25" s="1"/>
  <c r="AA412" i="25"/>
  <c r="AG412" i="25" s="1"/>
  <c r="AA216" i="26"/>
  <c r="AA232" i="26"/>
  <c r="AA248" i="26"/>
  <c r="AA264" i="26"/>
  <c r="AA280" i="26"/>
  <c r="AA296" i="26"/>
  <c r="AA312" i="26"/>
  <c r="AA382" i="25"/>
  <c r="AG382" i="25" s="1"/>
  <c r="AA446" i="25"/>
  <c r="AG446" i="25" s="1"/>
  <c r="AA407" i="25"/>
  <c r="AG407" i="25" s="1"/>
  <c r="AA368" i="25"/>
  <c r="AG368" i="25" s="1"/>
  <c r="AA432" i="25"/>
  <c r="AG432" i="25" s="1"/>
  <c r="AA203" i="26"/>
  <c r="AA219" i="26"/>
  <c r="AA235" i="26"/>
  <c r="AA251" i="26"/>
  <c r="AA267" i="26"/>
  <c r="AA283" i="26"/>
  <c r="AA299" i="26"/>
  <c r="AA315" i="26"/>
  <c r="AA170" i="26"/>
  <c r="AA179" i="26"/>
  <c r="AA155" i="26"/>
  <c r="AA482" i="25"/>
  <c r="AA520" i="25"/>
  <c r="AA116" i="26"/>
  <c r="AA10" i="25"/>
  <c r="AG10" i="25" s="1"/>
  <c r="AA215" i="25"/>
  <c r="AG215" i="25" s="1"/>
  <c r="AA110" i="26"/>
  <c r="AA115" i="26"/>
  <c r="AA9" i="26"/>
  <c r="AA216" i="25"/>
  <c r="AG216" i="25" s="1"/>
  <c r="AA155" i="25"/>
  <c r="AG155" i="25" s="1"/>
  <c r="AA117" i="26"/>
  <c r="U13" i="33"/>
  <c r="U55" i="33" s="1"/>
  <c r="U41" i="33"/>
  <c r="U83" i="33" s="1"/>
  <c r="U33" i="33"/>
  <c r="U75" i="33" s="1"/>
  <c r="U10" i="33"/>
  <c r="U52" i="33" s="1"/>
  <c r="U25" i="33"/>
  <c r="U67" i="33" s="1"/>
  <c r="U15" i="33"/>
  <c r="U57" i="33" s="1"/>
  <c r="U7" i="33"/>
  <c r="U49" i="33" s="1"/>
  <c r="X8" i="32"/>
  <c r="X60" i="32" s="1"/>
  <c r="AB36" i="17"/>
  <c r="U36" i="32"/>
  <c r="U88" i="32" s="1"/>
  <c r="F9" i="34"/>
  <c r="F7" i="34"/>
  <c r="F13" i="34" s="1"/>
  <c r="F11" i="34"/>
  <c r="X21" i="32"/>
  <c r="X73" i="32" s="1"/>
  <c r="AB29" i="17"/>
  <c r="AB35" i="17"/>
  <c r="Y10" i="17"/>
  <c r="Y53" i="18"/>
  <c r="Y25" i="17"/>
  <c r="X25" i="32" s="1"/>
  <c r="X77" i="32" s="1"/>
  <c r="L9" i="34"/>
  <c r="L7" i="34"/>
  <c r="L13" i="34" s="1"/>
  <c r="L11" i="34"/>
  <c r="Y28" i="17"/>
  <c r="X28" i="32" s="1"/>
  <c r="X80" i="32" s="1"/>
  <c r="Y39" i="17"/>
  <c r="Y23" i="17"/>
  <c r="Q9" i="34"/>
  <c r="Q11" i="34"/>
  <c r="Q7" i="34"/>
  <c r="Q13" i="34" s="1"/>
  <c r="AB29" i="21"/>
  <c r="C7" i="35"/>
  <c r="C13" i="35" s="1"/>
  <c r="Y21" i="21"/>
  <c r="AB21" i="21" s="1"/>
  <c r="AA89" i="25"/>
  <c r="L89" i="30" s="1"/>
  <c r="O89" i="30" s="1"/>
  <c r="AA346" i="25"/>
  <c r="AG346" i="25" s="1"/>
  <c r="AC10" i="30" s="1"/>
  <c r="AA449" i="25"/>
  <c r="AG449" i="25" s="1"/>
  <c r="AA405" i="25"/>
  <c r="AG405" i="25" s="1"/>
  <c r="AA353" i="25"/>
  <c r="AG353" i="25" s="1"/>
  <c r="AA370" i="25"/>
  <c r="AG370" i="25" s="1"/>
  <c r="AA355" i="25"/>
  <c r="AG355" i="25" s="1"/>
  <c r="AA340" i="25"/>
  <c r="AG340" i="25" s="1"/>
  <c r="AA200" i="26"/>
  <c r="AA425" i="25"/>
  <c r="AG425" i="25" s="1"/>
  <c r="AA359" i="25"/>
  <c r="AG359" i="25" s="1"/>
  <c r="AA386" i="25"/>
  <c r="AG386" i="25" s="1"/>
  <c r="AA450" i="25"/>
  <c r="AG450" i="25" s="1"/>
  <c r="AA420" i="25"/>
  <c r="AG420" i="25" s="1"/>
  <c r="AA218" i="26"/>
  <c r="AA234" i="26"/>
  <c r="AA250" i="26"/>
  <c r="AA266" i="26"/>
  <c r="AA282" i="26"/>
  <c r="AA298" i="26"/>
  <c r="AA314" i="26"/>
  <c r="AA390" i="25"/>
  <c r="AG390" i="25" s="1"/>
  <c r="AA454" i="25"/>
  <c r="AG454" i="25" s="1"/>
  <c r="AA415" i="25"/>
  <c r="AG415" i="25" s="1"/>
  <c r="AA376" i="25"/>
  <c r="AG376" i="25" s="1"/>
  <c r="AA440" i="25"/>
  <c r="AG440" i="25" s="1"/>
  <c r="AA205" i="26"/>
  <c r="AA221" i="26"/>
  <c r="AA237" i="26"/>
  <c r="AA253" i="26"/>
  <c r="AA269" i="26"/>
  <c r="AA285" i="26"/>
  <c r="AA301" i="26"/>
  <c r="AA317" i="26"/>
  <c r="AA312" i="25"/>
  <c r="AG312" i="25" s="1"/>
  <c r="AA181" i="26"/>
  <c r="AA476" i="25"/>
  <c r="AA4" i="26"/>
  <c r="AA148" i="25"/>
  <c r="AG148" i="25" s="1"/>
  <c r="AA43" i="26"/>
  <c r="AA12" i="26"/>
  <c r="AA146" i="25"/>
  <c r="AG146" i="25" s="1"/>
  <c r="AA138" i="25"/>
  <c r="AG138" i="25" s="1"/>
  <c r="AA13" i="25"/>
  <c r="AG13" i="25" s="1"/>
  <c r="AA209" i="25"/>
  <c r="AG209" i="25" s="1"/>
  <c r="AA211" i="25"/>
  <c r="AG211" i="25" s="1"/>
  <c r="AA142" i="25"/>
  <c r="AG142" i="25" s="1"/>
  <c r="AA177" i="26"/>
  <c r="AB7" i="17"/>
  <c r="U7" i="32"/>
  <c r="U59" i="32" s="1"/>
  <c r="AB15" i="17"/>
  <c r="U15" i="32"/>
  <c r="U67" i="32" s="1"/>
  <c r="F15" i="35"/>
  <c r="F14" i="35"/>
  <c r="X38" i="32"/>
  <c r="X90" i="32" s="1"/>
  <c r="AB31" i="17"/>
  <c r="Y47" i="17"/>
  <c r="AD53" i="17"/>
  <c r="AA92" i="25"/>
  <c r="Y22" i="21"/>
  <c r="AB22" i="21" s="1"/>
  <c r="U22" i="33"/>
  <c r="U64" i="33" s="1"/>
  <c r="AA82" i="25"/>
  <c r="AG82" i="25" s="1"/>
  <c r="AA38" i="25"/>
  <c r="L38" i="30" s="1"/>
  <c r="O38" i="30" s="1"/>
  <c r="AA44" i="25"/>
  <c r="AA39" i="25"/>
  <c r="AG39" i="25" s="1"/>
  <c r="AA166" i="26"/>
  <c r="AA165" i="26"/>
  <c r="AA371" i="25"/>
  <c r="AG371" i="25" s="1"/>
  <c r="AA337" i="25"/>
  <c r="AG337" i="25" s="1"/>
  <c r="AA459" i="25"/>
  <c r="AG459" i="25" s="1"/>
  <c r="AA345" i="25"/>
  <c r="AG345" i="25" s="1"/>
  <c r="AA389" i="25"/>
  <c r="AG389" i="25" s="1"/>
  <c r="AA363" i="25"/>
  <c r="AG363" i="25" s="1"/>
  <c r="AA348" i="25"/>
  <c r="AG348" i="25" s="1"/>
  <c r="AA333" i="25"/>
  <c r="AG333" i="25" s="1"/>
  <c r="AA445" i="25"/>
  <c r="AG445" i="25" s="1"/>
  <c r="AA369" i="25"/>
  <c r="AG369" i="25" s="1"/>
  <c r="AA394" i="25"/>
  <c r="AG394" i="25" s="1"/>
  <c r="AA458" i="25"/>
  <c r="AG458" i="25" s="1"/>
  <c r="AA428" i="25"/>
  <c r="AG428" i="25" s="1"/>
  <c r="AA220" i="26"/>
  <c r="AA236" i="26"/>
  <c r="AA252" i="26"/>
  <c r="AA268" i="26"/>
  <c r="AA284" i="26"/>
  <c r="AA300" i="26"/>
  <c r="AA316" i="26"/>
  <c r="AA398" i="25"/>
  <c r="AG398" i="25" s="1"/>
  <c r="AA462" i="25"/>
  <c r="AG462" i="25" s="1"/>
  <c r="AA423" i="25"/>
  <c r="AG423" i="25" s="1"/>
  <c r="AA384" i="25"/>
  <c r="AG384" i="25" s="1"/>
  <c r="AA448" i="25"/>
  <c r="AG448" i="25" s="1"/>
  <c r="AA207" i="26"/>
  <c r="AA223" i="26"/>
  <c r="AA239" i="26"/>
  <c r="AA255" i="26"/>
  <c r="AA271" i="26"/>
  <c r="AA287" i="26"/>
  <c r="AA303" i="26"/>
  <c r="AA319" i="26"/>
  <c r="AA176" i="26"/>
  <c r="AA156" i="26"/>
  <c r="AA469" i="25"/>
  <c r="AG469" i="25" s="1"/>
  <c r="AA492" i="25"/>
  <c r="AA57" i="26"/>
  <c r="AA156" i="25"/>
  <c r="AG156" i="25" s="1"/>
  <c r="AA51" i="26"/>
  <c r="AA3" i="25"/>
  <c r="AA154" i="25"/>
  <c r="AG154" i="25" s="1"/>
  <c r="AA140" i="25"/>
  <c r="AG140" i="25" s="1"/>
  <c r="AA42" i="26"/>
  <c r="AA2" i="26"/>
  <c r="AA41" i="26"/>
  <c r="AA150" i="25"/>
  <c r="AG150" i="25" s="1"/>
  <c r="U27" i="33"/>
  <c r="U69" i="33" s="1"/>
  <c r="U28" i="33"/>
  <c r="U70" i="33" s="1"/>
  <c r="U30" i="33"/>
  <c r="U72" i="33" s="1"/>
  <c r="U32" i="33"/>
  <c r="U74" i="33" s="1"/>
  <c r="U23" i="33"/>
  <c r="U65" i="33" s="1"/>
  <c r="AB28" i="17"/>
  <c r="U28" i="32"/>
  <c r="U80" i="32" s="1"/>
  <c r="AB8" i="17"/>
  <c r="U8" i="32"/>
  <c r="U60" i="32" s="1"/>
  <c r="AB53" i="16"/>
  <c r="Y11" i="17"/>
  <c r="X11" i="32" s="1"/>
  <c r="X63" i="32" s="1"/>
  <c r="U9" i="34"/>
  <c r="U11" i="34"/>
  <c r="U7" i="34"/>
  <c r="U13" i="34" s="1"/>
  <c r="Y41" i="17"/>
  <c r="E9" i="34"/>
  <c r="E11" i="34"/>
  <c r="E7" i="34"/>
  <c r="E13" i="34" s="1"/>
  <c r="X21" i="22"/>
  <c r="Y21" i="22" s="1"/>
  <c r="AB21" i="22" s="1"/>
  <c r="S13" i="37" s="1"/>
  <c r="AA76" i="25"/>
  <c r="AG76" i="25" s="1"/>
  <c r="AA49" i="25"/>
  <c r="AA93" i="25"/>
  <c r="AA80" i="25"/>
  <c r="AG80" i="25" s="1"/>
  <c r="AA358" i="25"/>
  <c r="AG358" i="25" s="1"/>
  <c r="AA366" i="25"/>
  <c r="AG366" i="25" s="1"/>
  <c r="AA356" i="25"/>
  <c r="AG356" i="25" s="1"/>
  <c r="AA198" i="26"/>
  <c r="AA402" i="25"/>
  <c r="AG402" i="25" s="1"/>
  <c r="AA372" i="25"/>
  <c r="AG372" i="25" s="1"/>
  <c r="AA436" i="25"/>
  <c r="AG436" i="25" s="1"/>
  <c r="AA222" i="26"/>
  <c r="AA254" i="26"/>
  <c r="AA270" i="26"/>
  <c r="AA286" i="26"/>
  <c r="AA302" i="26"/>
  <c r="AA318" i="26"/>
  <c r="AA406" i="25"/>
  <c r="AG406" i="25" s="1"/>
  <c r="AA367" i="25"/>
  <c r="AG367" i="25" s="1"/>
  <c r="AA431" i="25"/>
  <c r="AG431" i="25" s="1"/>
  <c r="AA392" i="25"/>
  <c r="AG392" i="25" s="1"/>
  <c r="AA456" i="25"/>
  <c r="AG456" i="25" s="1"/>
  <c r="AA209" i="26"/>
  <c r="AA225" i="26"/>
  <c r="AA241" i="26"/>
  <c r="AA257" i="26"/>
  <c r="AA273" i="26"/>
  <c r="AA289" i="26"/>
  <c r="AA305" i="26"/>
  <c r="AA523" i="25"/>
  <c r="AA5" i="26"/>
  <c r="AA212" i="25"/>
  <c r="AG212" i="25" s="1"/>
  <c r="AA59" i="26"/>
  <c r="AA7" i="26"/>
  <c r="AA4" i="25"/>
  <c r="AG4" i="25" s="1"/>
  <c r="AA141" i="25"/>
  <c r="AG141" i="25" s="1"/>
  <c r="AA58" i="26"/>
  <c r="AA6" i="25"/>
  <c r="AA3" i="26"/>
  <c r="X19" i="32"/>
  <c r="X71" i="32" s="1"/>
  <c r="AB50" i="17"/>
  <c r="W43" i="21"/>
  <c r="AB27" i="17"/>
  <c r="X33" i="32"/>
  <c r="X85" i="32" s="1"/>
  <c r="X43" i="32"/>
  <c r="X95" i="32" s="1"/>
  <c r="M5" i="32"/>
  <c r="M57" i="32" s="1"/>
  <c r="M53" i="17"/>
  <c r="J15" i="35"/>
  <c r="J14" i="35"/>
  <c r="Y42" i="17"/>
  <c r="M9" i="34"/>
  <c r="M11" i="34"/>
  <c r="M7" i="34"/>
  <c r="M13" i="34" s="1"/>
  <c r="AA299" i="25"/>
  <c r="AG299" i="25" s="1"/>
  <c r="AA164" i="26"/>
  <c r="AA298" i="25"/>
  <c r="AG298" i="25" s="1"/>
  <c r="AA307" i="25"/>
  <c r="AG307" i="25" s="1"/>
  <c r="AA169" i="26"/>
  <c r="AA314" i="25"/>
  <c r="AG314" i="25" s="1"/>
  <c r="AA180" i="26"/>
  <c r="AA294" i="25"/>
  <c r="AG294" i="25" s="1"/>
  <c r="AA501" i="25"/>
  <c r="AG501" i="25" s="1"/>
  <c r="AA490" i="25"/>
  <c r="AG490" i="25" s="1"/>
  <c r="AA464" i="25"/>
  <c r="AA46" i="26"/>
  <c r="AA217" i="25"/>
  <c r="AG217" i="25" s="1"/>
  <c r="AA143" i="25"/>
  <c r="AG143" i="25" s="1"/>
  <c r="AA11" i="25"/>
  <c r="AA210" i="25"/>
  <c r="AG210" i="25" s="1"/>
  <c r="AA139" i="25"/>
  <c r="AG139" i="25" s="1"/>
  <c r="AA5" i="25"/>
  <c r="AA152" i="25"/>
  <c r="AG152" i="25" s="1"/>
  <c r="AA10" i="26"/>
  <c r="AA8" i="25"/>
  <c r="AA541" i="25"/>
  <c r="AG541" i="25" s="1"/>
  <c r="AA167" i="26"/>
  <c r="AA162" i="26"/>
  <c r="AA300" i="25"/>
  <c r="AG300" i="25" s="1"/>
  <c r="AA303" i="25"/>
  <c r="AG303" i="25" s="1"/>
  <c r="AA310" i="25"/>
  <c r="AG310" i="25" s="1"/>
  <c r="AA311" i="25"/>
  <c r="AG311" i="25" s="1"/>
  <c r="AA301" i="25"/>
  <c r="AG301" i="25" s="1"/>
  <c r="L8" i="30"/>
  <c r="L7" i="30"/>
  <c r="O7" i="30" s="1"/>
  <c r="L9" i="30"/>
  <c r="O9" i="30" s="1"/>
  <c r="L2" i="30"/>
  <c r="L10" i="30"/>
  <c r="L3" i="30"/>
  <c r="L11" i="30"/>
  <c r="L6" i="30"/>
  <c r="L4" i="30"/>
  <c r="L12" i="30"/>
  <c r="O12" i="30" s="1"/>
  <c r="L5" i="30"/>
  <c r="L13" i="30"/>
  <c r="AG7" i="25"/>
  <c r="AA168" i="26"/>
  <c r="AA160" i="26"/>
  <c r="AA315" i="25"/>
  <c r="AG315" i="25" s="1"/>
  <c r="AA175" i="26"/>
  <c r="AA157" i="25"/>
  <c r="AG157" i="25" s="1"/>
  <c r="AA50" i="26"/>
  <c r="AA145" i="25"/>
  <c r="AG145" i="25" s="1"/>
  <c r="AA109" i="26"/>
  <c r="AA11" i="26"/>
  <c r="AA158" i="25"/>
  <c r="AG158" i="25" s="1"/>
  <c r="AA152" i="26"/>
  <c r="AA283" i="25"/>
  <c r="AG283" i="25" s="1"/>
  <c r="AA151" i="26"/>
  <c r="AA521" i="25"/>
  <c r="AG521" i="25" s="1"/>
  <c r="AA465" i="25"/>
  <c r="L465" i="30" s="1"/>
  <c r="O465" i="30" s="1"/>
  <c r="AA466" i="25"/>
  <c r="AA484" i="25"/>
  <c r="L484" i="30" s="1"/>
  <c r="O484" i="30" s="1"/>
  <c r="AA494" i="25"/>
  <c r="AG494" i="25" s="1"/>
  <c r="AA527" i="25"/>
  <c r="AA528" i="25"/>
  <c r="L528" i="30" s="1"/>
  <c r="O528" i="30" s="1"/>
  <c r="AA537" i="25"/>
  <c r="AG537" i="25" s="1"/>
  <c r="AA329" i="26"/>
  <c r="AA532" i="25"/>
  <c r="AG532" i="25" s="1"/>
  <c r="AA536" i="25"/>
  <c r="AG536" i="25" s="1"/>
  <c r="AA548" i="25"/>
  <c r="AG548" i="25" s="1"/>
  <c r="AA188" i="26"/>
  <c r="AA192" i="26"/>
  <c r="AA182" i="26"/>
  <c r="AA193" i="26"/>
  <c r="AA148" i="26"/>
  <c r="AA285" i="25"/>
  <c r="AG285" i="25" s="1"/>
  <c r="AA295" i="25"/>
  <c r="AG295" i="25" s="1"/>
  <c r="AA477" i="25"/>
  <c r="AG477" i="25" s="1"/>
  <c r="AA489" i="25"/>
  <c r="AA498" i="25"/>
  <c r="AG498" i="25" s="1"/>
  <c r="AA516" i="25"/>
  <c r="L516" i="30" s="1"/>
  <c r="O516" i="30" s="1"/>
  <c r="AA471" i="25"/>
  <c r="AG471" i="25" s="1"/>
  <c r="AA472" i="25"/>
  <c r="AG472" i="25" s="1"/>
  <c r="AA535" i="25"/>
  <c r="AG535" i="25" s="1"/>
  <c r="AA323" i="25"/>
  <c r="AG323" i="25" s="1"/>
  <c r="AA327" i="25"/>
  <c r="AG327" i="25" s="1"/>
  <c r="AA286" i="25"/>
  <c r="AG286" i="25" s="1"/>
  <c r="AA146" i="26"/>
  <c r="AA143" i="26"/>
  <c r="AA499" i="25"/>
  <c r="L499" i="30" s="1"/>
  <c r="O499" i="30" s="1"/>
  <c r="AA497" i="25"/>
  <c r="AG497" i="25" s="1"/>
  <c r="AA509" i="25"/>
  <c r="AG509" i="25" s="1"/>
  <c r="AA506" i="25"/>
  <c r="AG506" i="25" s="1"/>
  <c r="AA479" i="25"/>
  <c r="AG479" i="25" s="1"/>
  <c r="AA488" i="25"/>
  <c r="AG488" i="25" s="1"/>
  <c r="AA335" i="26"/>
  <c r="AA550" i="25"/>
  <c r="AG550" i="25" s="1"/>
  <c r="AA329" i="25"/>
  <c r="AG329" i="25" s="1"/>
  <c r="AA331" i="25"/>
  <c r="AG331" i="25" s="1"/>
  <c r="AA194" i="26"/>
  <c r="AA289" i="25"/>
  <c r="AG289" i="25" s="1"/>
  <c r="AA281" i="25"/>
  <c r="AG281" i="25" s="1"/>
  <c r="AA145" i="26"/>
  <c r="AA481" i="25"/>
  <c r="AG481" i="25" s="1"/>
  <c r="AA483" i="25"/>
  <c r="L483" i="30" s="1"/>
  <c r="O483" i="30" s="1"/>
  <c r="AA473" i="25"/>
  <c r="L473" i="30" s="1"/>
  <c r="O473" i="30" s="1"/>
  <c r="AA514" i="25"/>
  <c r="AG514" i="25" s="1"/>
  <c r="AA470" i="25"/>
  <c r="AG470" i="25" s="1"/>
  <c r="AA487" i="25"/>
  <c r="AG487" i="25" s="1"/>
  <c r="AA504" i="25"/>
  <c r="AA538" i="25"/>
  <c r="AG538" i="25" s="1"/>
  <c r="AA542" i="25"/>
  <c r="AG542" i="25" s="1"/>
  <c r="AA330" i="25"/>
  <c r="AG330" i="25" s="1"/>
  <c r="AA545" i="25"/>
  <c r="AG545" i="25" s="1"/>
  <c r="AA543" i="25"/>
  <c r="L543" i="30" s="1"/>
  <c r="O543" i="30" s="1"/>
  <c r="AA190" i="26"/>
  <c r="AA186" i="26"/>
  <c r="AA282" i="25"/>
  <c r="AG282" i="25" s="1"/>
  <c r="AA280" i="25"/>
  <c r="AG280" i="25" s="1"/>
  <c r="AA147" i="26"/>
  <c r="AA505" i="25"/>
  <c r="AG505" i="25" s="1"/>
  <c r="AA493" i="25"/>
  <c r="L493" i="30" s="1"/>
  <c r="O493" i="30" s="1"/>
  <c r="AA468" i="25"/>
  <c r="L468" i="30" s="1"/>
  <c r="O468" i="30" s="1"/>
  <c r="AA478" i="25"/>
  <c r="AG478" i="25" s="1"/>
  <c r="AA503" i="25"/>
  <c r="AG503" i="25" s="1"/>
  <c r="AA512" i="25"/>
  <c r="AG512" i="25" s="1"/>
  <c r="AA331" i="26"/>
  <c r="AA332" i="26"/>
  <c r="K9" i="35"/>
  <c r="K11" i="35"/>
  <c r="AA539" i="25"/>
  <c r="AG539" i="25" s="1"/>
  <c r="AA540" i="25"/>
  <c r="AG540" i="25" s="1"/>
  <c r="AA326" i="26"/>
  <c r="AA534" i="25"/>
  <c r="AG534" i="25" s="1"/>
  <c r="AA330" i="26"/>
  <c r="AA533" i="25"/>
  <c r="AG533" i="25" s="1"/>
  <c r="AA313" i="25"/>
  <c r="AG313" i="25" s="1"/>
  <c r="AA316" i="25"/>
  <c r="AG316" i="25" s="1"/>
  <c r="AA173" i="26"/>
  <c r="AA142" i="26"/>
  <c r="AA154" i="26"/>
  <c r="AA292" i="25"/>
  <c r="AG292" i="25" s="1"/>
  <c r="AA153" i="26"/>
  <c r="AA491" i="25"/>
  <c r="AG491" i="25" s="1"/>
  <c r="AA475" i="25"/>
  <c r="L475" i="30" s="1"/>
  <c r="O475" i="30" s="1"/>
  <c r="AA507" i="25"/>
  <c r="AG507" i="25" s="1"/>
  <c r="AA522" i="25"/>
  <c r="AG522" i="25" s="1"/>
  <c r="AA508" i="25"/>
  <c r="L508" i="30" s="1"/>
  <c r="O508" i="30" s="1"/>
  <c r="AA502" i="25"/>
  <c r="AG502" i="25" s="1"/>
  <c r="AA495" i="25"/>
  <c r="L495" i="30" s="1"/>
  <c r="O495" i="30" s="1"/>
  <c r="AA480" i="25"/>
  <c r="AG480" i="25" s="1"/>
  <c r="AA336" i="26"/>
  <c r="AA327" i="26"/>
  <c r="AA334" i="26"/>
  <c r="AA318" i="25"/>
  <c r="AG318" i="25" s="1"/>
  <c r="AA317" i="25"/>
  <c r="AG317" i="25" s="1"/>
  <c r="AA290" i="25"/>
  <c r="AG290" i="25" s="1"/>
  <c r="AA144" i="26"/>
  <c r="AA293" i="25"/>
  <c r="AG293" i="25" s="1"/>
  <c r="AA157" i="26"/>
  <c r="AA513" i="25"/>
  <c r="L513" i="30" s="1"/>
  <c r="O513" i="30" s="1"/>
  <c r="AA517" i="25"/>
  <c r="AG517" i="25" s="1"/>
  <c r="AA467" i="25"/>
  <c r="AG467" i="25" s="1"/>
  <c r="AA474" i="25"/>
  <c r="AG474" i="25" s="1"/>
  <c r="AA524" i="25"/>
  <c r="L524" i="30" s="1"/>
  <c r="O524" i="30" s="1"/>
  <c r="AA518" i="25"/>
  <c r="AG518" i="25" s="1"/>
  <c r="AA511" i="25"/>
  <c r="AG511" i="25" s="1"/>
  <c r="AA496" i="25"/>
  <c r="AG496" i="25" s="1"/>
  <c r="AA333" i="26"/>
  <c r="AA530" i="25"/>
  <c r="AG530" i="25" s="1"/>
  <c r="AA337" i="26"/>
  <c r="AG6" i="25"/>
  <c r="L498" i="30"/>
  <c r="O498" i="30" s="1"/>
  <c r="L39" i="30"/>
  <c r="O39" i="30" s="1"/>
  <c r="AG485" i="25"/>
  <c r="L485" i="30"/>
  <c r="O485" i="30" s="1"/>
  <c r="AG492" i="25"/>
  <c r="L492" i="30"/>
  <c r="O492" i="30" s="1"/>
  <c r="AG520" i="25"/>
  <c r="L520" i="30"/>
  <c r="O520" i="30" s="1"/>
  <c r="AG85" i="25"/>
  <c r="L85" i="30"/>
  <c r="O85" i="30" s="1"/>
  <c r="AG90" i="25"/>
  <c r="AG89" i="25"/>
  <c r="AG47" i="25"/>
  <c r="L47" i="30"/>
  <c r="O47" i="30" s="1"/>
  <c r="L501" i="30"/>
  <c r="O501" i="30" s="1"/>
  <c r="AG515" i="25"/>
  <c r="L515" i="30"/>
  <c r="O515" i="30" s="1"/>
  <c r="AG500" i="25"/>
  <c r="L500" i="30"/>
  <c r="O500" i="30" s="1"/>
  <c r="AG486" i="25"/>
  <c r="L486" i="30"/>
  <c r="O486" i="30" s="1"/>
  <c r="AG464" i="25"/>
  <c r="L464" i="30"/>
  <c r="AG528" i="25"/>
  <c r="AG42" i="25"/>
  <c r="AG547" i="25"/>
  <c r="L547" i="30"/>
  <c r="O547" i="30" s="1"/>
  <c r="AG551" i="25"/>
  <c r="L551" i="30"/>
  <c r="O551" i="30" s="1"/>
  <c r="L517" i="30"/>
  <c r="O517" i="30" s="1"/>
  <c r="AG529" i="25"/>
  <c r="L541" i="30"/>
  <c r="L533" i="30"/>
  <c r="L538" i="30"/>
  <c r="O538" i="30" s="1"/>
  <c r="L530" i="30"/>
  <c r="L535" i="30"/>
  <c r="L529" i="30"/>
  <c r="O529" i="30" s="1"/>
  <c r="L540" i="30"/>
  <c r="O540" i="30" s="1"/>
  <c r="L532" i="30"/>
  <c r="L539" i="30"/>
  <c r="L531" i="30"/>
  <c r="O531" i="30" s="1"/>
  <c r="L534" i="30"/>
  <c r="L537" i="30"/>
  <c r="L536" i="30"/>
  <c r="AG508" i="25"/>
  <c r="AG83" i="25"/>
  <c r="L83" i="30"/>
  <c r="O83" i="30" s="1"/>
  <c r="AG549" i="25"/>
  <c r="L549" i="30"/>
  <c r="O549" i="30" s="1"/>
  <c r="AG544" i="25"/>
  <c r="L544" i="30"/>
  <c r="O544" i="30" s="1"/>
  <c r="AG466" i="25"/>
  <c r="L466" i="30"/>
  <c r="O466" i="30" s="1"/>
  <c r="L502" i="30"/>
  <c r="O502" i="30" s="1"/>
  <c r="AG495" i="25"/>
  <c r="AG92" i="25"/>
  <c r="L92" i="30"/>
  <c r="O92" i="30" s="1"/>
  <c r="L542" i="30"/>
  <c r="AG40" i="25"/>
  <c r="L40" i="30"/>
  <c r="O40" i="30" s="1"/>
  <c r="AG49" i="25"/>
  <c r="L49" i="30"/>
  <c r="O49" i="30" s="1"/>
  <c r="AG48" i="25"/>
  <c r="L48" i="30"/>
  <c r="O48" i="30" s="1"/>
  <c r="AG91" i="25"/>
  <c r="L91" i="30"/>
  <c r="O91" i="30" s="1"/>
  <c r="L553" i="30"/>
  <c r="O553" i="30" s="1"/>
  <c r="AG552" i="25"/>
  <c r="L552" i="30"/>
  <c r="O552" i="30" s="1"/>
  <c r="AG320" i="25"/>
  <c r="L329" i="30"/>
  <c r="L323" i="30"/>
  <c r="L318" i="30"/>
  <c r="L313" i="30"/>
  <c r="L307" i="30"/>
  <c r="L302" i="30"/>
  <c r="O302" i="30" s="1"/>
  <c r="L297" i="30"/>
  <c r="O297" i="30" s="1"/>
  <c r="L291" i="30"/>
  <c r="O291" i="30" s="1"/>
  <c r="L286" i="30"/>
  <c r="O286" i="30" s="1"/>
  <c r="L281" i="30"/>
  <c r="L327" i="30"/>
  <c r="L322" i="30"/>
  <c r="O322" i="30" s="1"/>
  <c r="L317" i="30"/>
  <c r="L311" i="30"/>
  <c r="L306" i="30"/>
  <c r="O306" i="30" s="1"/>
  <c r="L301" i="30"/>
  <c r="L295" i="30"/>
  <c r="L290" i="30"/>
  <c r="L285" i="30"/>
  <c r="O285" i="30" s="1"/>
  <c r="L332" i="30"/>
  <c r="O332" i="30" s="1"/>
  <c r="L316" i="30"/>
  <c r="O316" i="30" s="1"/>
  <c r="L300" i="30"/>
  <c r="O300" i="30" s="1"/>
  <c r="L284" i="30"/>
  <c r="O284" i="30" s="1"/>
  <c r="L331" i="30"/>
  <c r="L326" i="30"/>
  <c r="O326" i="30" s="1"/>
  <c r="L321" i="30"/>
  <c r="O321" i="30" s="1"/>
  <c r="L315" i="30"/>
  <c r="O315" i="30" s="1"/>
  <c r="L310" i="30"/>
  <c r="O310" i="30" s="1"/>
  <c r="L305" i="30"/>
  <c r="O305" i="30" s="1"/>
  <c r="L299" i="30"/>
  <c r="O299" i="30" s="1"/>
  <c r="L294" i="30"/>
  <c r="L289" i="30"/>
  <c r="L283" i="30"/>
  <c r="L330" i="30"/>
  <c r="L325" i="30"/>
  <c r="O325" i="30" s="1"/>
  <c r="L319" i="30"/>
  <c r="L314" i="30"/>
  <c r="L309" i="30"/>
  <c r="O309" i="30" s="1"/>
  <c r="L303" i="30"/>
  <c r="O303" i="30" s="1"/>
  <c r="L298" i="30"/>
  <c r="O298" i="30" s="1"/>
  <c r="L293" i="30"/>
  <c r="L324" i="30"/>
  <c r="O324" i="30" s="1"/>
  <c r="L308" i="30"/>
  <c r="O308" i="30" s="1"/>
  <c r="L292" i="30"/>
  <c r="O292" i="30" s="1"/>
  <c r="L288" i="30"/>
  <c r="L328" i="30"/>
  <c r="O328" i="30" s="1"/>
  <c r="L287" i="30"/>
  <c r="O287" i="30" s="1"/>
  <c r="L304" i="30"/>
  <c r="O304" i="30" s="1"/>
  <c r="L320" i="30"/>
  <c r="O320" i="30" s="1"/>
  <c r="L282" i="30"/>
  <c r="L296" i="30"/>
  <c r="O296" i="30" s="1"/>
  <c r="L280" i="30"/>
  <c r="O280" i="30" s="1"/>
  <c r="L312" i="30"/>
  <c r="AG483" i="25"/>
  <c r="AG489" i="25"/>
  <c r="L489" i="30"/>
  <c r="O489" i="30" s="1"/>
  <c r="AG527" i="25"/>
  <c r="L527" i="30"/>
  <c r="O527" i="30" s="1"/>
  <c r="L76" i="30"/>
  <c r="O76" i="30" s="1"/>
  <c r="AG546" i="25"/>
  <c r="L546" i="30"/>
  <c r="O546" i="30" s="1"/>
  <c r="AG523" i="25"/>
  <c r="L523" i="30"/>
  <c r="O523" i="30" s="1"/>
  <c r="L509" i="30"/>
  <c r="O509" i="30" s="1"/>
  <c r="AG482" i="25"/>
  <c r="L482" i="30"/>
  <c r="O482" i="30" s="1"/>
  <c r="L518" i="30"/>
  <c r="O518" i="30" s="1"/>
  <c r="AG41" i="25"/>
  <c r="L41" i="30"/>
  <c r="O41" i="30" s="1"/>
  <c r="AG45" i="25"/>
  <c r="L45" i="30"/>
  <c r="O45" i="30" s="1"/>
  <c r="AG78" i="25"/>
  <c r="L78" i="30"/>
  <c r="O78" i="30" s="1"/>
  <c r="AG46" i="25"/>
  <c r="L46" i="30"/>
  <c r="O46" i="30" s="1"/>
  <c r="AG77" i="25"/>
  <c r="L77" i="30"/>
  <c r="O77" i="30" s="1"/>
  <c r="AG43" i="25"/>
  <c r="L43" i="30"/>
  <c r="O43" i="30" s="1"/>
  <c r="AG93" i="25"/>
  <c r="L212" i="30"/>
  <c r="L156" i="30"/>
  <c r="L148" i="30"/>
  <c r="O148" i="30" s="1"/>
  <c r="L140" i="30"/>
  <c r="L217" i="30"/>
  <c r="L209" i="30"/>
  <c r="O209" i="30" s="1"/>
  <c r="L214" i="30"/>
  <c r="O214" i="30" s="1"/>
  <c r="L158" i="30"/>
  <c r="L150" i="30"/>
  <c r="O150" i="30" s="1"/>
  <c r="L142" i="30"/>
  <c r="O142" i="30" s="1"/>
  <c r="L211" i="30"/>
  <c r="O211" i="30" s="1"/>
  <c r="L155" i="30"/>
  <c r="O155" i="30" s="1"/>
  <c r="L147" i="30"/>
  <c r="O147" i="30" s="1"/>
  <c r="L215" i="30"/>
  <c r="O215" i="30" s="1"/>
  <c r="L207" i="30"/>
  <c r="L159" i="30"/>
  <c r="O159" i="30" s="1"/>
  <c r="L141" i="30"/>
  <c r="O141" i="30" s="1"/>
  <c r="L138" i="30"/>
  <c r="L210" i="30"/>
  <c r="L144" i="30"/>
  <c r="O144" i="30" s="1"/>
  <c r="L154" i="30"/>
  <c r="O154" i="30" s="1"/>
  <c r="L151" i="30"/>
  <c r="O151" i="30" s="1"/>
  <c r="L213" i="30"/>
  <c r="O213" i="30" s="1"/>
  <c r="L157" i="30"/>
  <c r="O157" i="30" s="1"/>
  <c r="L146" i="30"/>
  <c r="O146" i="30" s="1"/>
  <c r="L143" i="30"/>
  <c r="L216" i="30"/>
  <c r="O216" i="30" s="1"/>
  <c r="L208" i="30"/>
  <c r="O208" i="30" s="1"/>
  <c r="L160" i="30"/>
  <c r="O160" i="30" s="1"/>
  <c r="L153" i="30"/>
  <c r="O153" i="30" s="1"/>
  <c r="L149" i="30"/>
  <c r="L139" i="30"/>
  <c r="O139" i="30" s="1"/>
  <c r="L152" i="30"/>
  <c r="O152" i="30" s="1"/>
  <c r="L145" i="30"/>
  <c r="O145" i="30" s="1"/>
  <c r="L93" i="30"/>
  <c r="O93" i="30" s="1"/>
  <c r="AG84" i="25"/>
  <c r="L84" i="30"/>
  <c r="O84" i="30" s="1"/>
  <c r="AG79" i="25"/>
  <c r="L79" i="30"/>
  <c r="O79" i="30" s="1"/>
  <c r="AG44" i="25"/>
  <c r="L44" i="30"/>
  <c r="O44" i="30" s="1"/>
  <c r="AG3" i="25"/>
  <c r="L481" i="30"/>
  <c r="O481" i="30" s="1"/>
  <c r="AG476" i="25"/>
  <c r="L476" i="30"/>
  <c r="O476" i="30" s="1"/>
  <c r="AG526" i="25"/>
  <c r="L526" i="30"/>
  <c r="O526" i="30" s="1"/>
  <c r="AG504" i="25"/>
  <c r="L504" i="30"/>
  <c r="O504" i="30" s="1"/>
  <c r="AA279" i="25"/>
  <c r="AA271" i="25"/>
  <c r="AA263" i="25"/>
  <c r="AA255" i="25"/>
  <c r="AA247" i="25"/>
  <c r="AA141" i="26"/>
  <c r="AA277" i="25"/>
  <c r="AA269" i="25"/>
  <c r="AA261" i="25"/>
  <c r="AA253" i="25"/>
  <c r="AA245" i="25"/>
  <c r="AA276" i="25"/>
  <c r="AA268" i="25"/>
  <c r="AA260" i="25"/>
  <c r="AA252" i="25"/>
  <c r="AA244" i="25"/>
  <c r="AA275" i="25"/>
  <c r="AA267" i="25"/>
  <c r="AA259" i="25"/>
  <c r="AA251" i="25"/>
  <c r="AA243" i="25"/>
  <c r="AA272" i="25"/>
  <c r="AA264" i="25"/>
  <c r="AA256" i="25"/>
  <c r="AA248" i="25"/>
  <c r="AA258" i="25"/>
  <c r="AA266" i="25"/>
  <c r="AA242" i="25"/>
  <c r="AA278" i="25"/>
  <c r="AA257" i="25"/>
  <c r="AA274" i="25"/>
  <c r="AA254" i="25"/>
  <c r="AA273" i="25"/>
  <c r="AA250" i="25"/>
  <c r="AA270" i="25"/>
  <c r="AA249" i="25"/>
  <c r="AA246" i="25"/>
  <c r="AA265" i="25"/>
  <c r="AA262" i="25"/>
  <c r="AA241" i="25"/>
  <c r="Y5" i="22"/>
  <c r="X43" i="22"/>
  <c r="Y5" i="21"/>
  <c r="X43" i="21"/>
  <c r="AB45" i="21"/>
  <c r="AB45" i="22"/>
  <c r="AB45" i="19"/>
  <c r="AB45" i="20"/>
  <c r="M11" i="35" l="1"/>
  <c r="O319" i="30"/>
  <c r="O207" i="30"/>
  <c r="L510" i="30"/>
  <c r="O510" i="30" s="1"/>
  <c r="O318" i="30"/>
  <c r="L521" i="30"/>
  <c r="O521" i="30" s="1"/>
  <c r="L81" i="30"/>
  <c r="O81" i="30" s="1"/>
  <c r="O6" i="30"/>
  <c r="L490" i="30"/>
  <c r="O490" i="30" s="1"/>
  <c r="AG499" i="25"/>
  <c r="AG524" i="25"/>
  <c r="O3" i="30"/>
  <c r="O210" i="30"/>
  <c r="O539" i="30"/>
  <c r="O10" i="30"/>
  <c r="O294" i="30"/>
  <c r="O156" i="30"/>
  <c r="L507" i="30"/>
  <c r="O507" i="30" s="1"/>
  <c r="O282" i="30"/>
  <c r="O290" i="30"/>
  <c r="O281" i="30"/>
  <c r="L522" i="30"/>
  <c r="O522" i="30" s="1"/>
  <c r="O530" i="30"/>
  <c r="O4" i="30"/>
  <c r="O327" i="30"/>
  <c r="L548" i="30"/>
  <c r="O548" i="30" s="1"/>
  <c r="O140" i="30"/>
  <c r="AG38" i="25"/>
  <c r="AG484" i="25"/>
  <c r="L82" i="30"/>
  <c r="O82" i="30" s="1"/>
  <c r="L87" i="30"/>
  <c r="O87" i="30" s="1"/>
  <c r="O323" i="30"/>
  <c r="L467" i="30"/>
  <c r="O467" i="30" s="1"/>
  <c r="L74" i="30"/>
  <c r="O74" i="30" s="1"/>
  <c r="L506" i="30"/>
  <c r="O506" i="30" s="1"/>
  <c r="L88" i="30"/>
  <c r="O88" i="30" s="1"/>
  <c r="O295" i="30"/>
  <c r="O536" i="30"/>
  <c r="L519" i="30"/>
  <c r="O519" i="30" s="1"/>
  <c r="L525" i="30"/>
  <c r="O525" i="30" s="1"/>
  <c r="O143" i="30"/>
  <c r="O138" i="30"/>
  <c r="L86" i="30"/>
  <c r="O86" i="30" s="1"/>
  <c r="L503" i="30"/>
  <c r="O503" i="30" s="1"/>
  <c r="O289" i="30"/>
  <c r="O301" i="30"/>
  <c r="L470" i="30"/>
  <c r="O470" i="30" s="1"/>
  <c r="L479" i="30"/>
  <c r="O479" i="30" s="1"/>
  <c r="O13" i="30"/>
  <c r="O212" i="30"/>
  <c r="L469" i="30"/>
  <c r="O469" i="30" s="1"/>
  <c r="L477" i="30"/>
  <c r="O477" i="30" s="1"/>
  <c r="O158" i="30"/>
  <c r="L75" i="30"/>
  <c r="O75" i="30" s="1"/>
  <c r="L487" i="30"/>
  <c r="O487" i="30" s="1"/>
  <c r="L478" i="30"/>
  <c r="O478" i="30" s="1"/>
  <c r="L80" i="30"/>
  <c r="O80" i="30" s="1"/>
  <c r="O149" i="30"/>
  <c r="O312" i="30"/>
  <c r="O288" i="30"/>
  <c r="O314" i="30"/>
  <c r="AG516" i="25"/>
  <c r="O541" i="30"/>
  <c r="AG493" i="25"/>
  <c r="M14" i="34"/>
  <c r="M15" i="34"/>
  <c r="AB40" i="17"/>
  <c r="X40" i="32"/>
  <c r="X92" i="32" s="1"/>
  <c r="X20" i="32"/>
  <c r="X72" i="32" s="1"/>
  <c r="AB20" i="17"/>
  <c r="AB11" i="17"/>
  <c r="AB24" i="17"/>
  <c r="AB42" i="17"/>
  <c r="X42" i="32"/>
  <c r="X94" i="32" s="1"/>
  <c r="X47" i="32"/>
  <c r="X99" i="32" s="1"/>
  <c r="AB47" i="17"/>
  <c r="L15" i="34"/>
  <c r="L14" i="34"/>
  <c r="D15" i="35"/>
  <c r="D14" i="35"/>
  <c r="AB32" i="17"/>
  <c r="X32" i="32"/>
  <c r="X84" i="32" s="1"/>
  <c r="AB12" i="17"/>
  <c r="X12" i="32"/>
  <c r="X64" i="32" s="1"/>
  <c r="H14" i="35"/>
  <c r="H15" i="35"/>
  <c r="AB9" i="17"/>
  <c r="X9" i="32"/>
  <c r="X61" i="32" s="1"/>
  <c r="L14" i="35"/>
  <c r="L15" i="35"/>
  <c r="E15" i="34"/>
  <c r="E14" i="34"/>
  <c r="F14" i="34"/>
  <c r="F15" i="34"/>
  <c r="S20" i="18"/>
  <c r="S20" i="32" s="1"/>
  <c r="S72" i="32" s="1"/>
  <c r="S30" i="18"/>
  <c r="S30" i="32" s="1"/>
  <c r="S82" i="32" s="1"/>
  <c r="S47" i="18"/>
  <c r="S47" i="32" s="1"/>
  <c r="S99" i="32" s="1"/>
  <c r="S17" i="18"/>
  <c r="S17" i="32" s="1"/>
  <c r="S69" i="32" s="1"/>
  <c r="S45" i="18"/>
  <c r="S45" i="32" s="1"/>
  <c r="S97" i="32" s="1"/>
  <c r="S24" i="18"/>
  <c r="S24" i="32" s="1"/>
  <c r="S76" i="32" s="1"/>
  <c r="S48" i="18"/>
  <c r="S48" i="32" s="1"/>
  <c r="S100" i="32" s="1"/>
  <c r="S44" i="18"/>
  <c r="S44" i="32" s="1"/>
  <c r="S96" i="32" s="1"/>
  <c r="S18" i="18"/>
  <c r="S18" i="32" s="1"/>
  <c r="S70" i="32" s="1"/>
  <c r="S46" i="18"/>
  <c r="S46" i="32" s="1"/>
  <c r="S98" i="32" s="1"/>
  <c r="S42" i="18"/>
  <c r="S42" i="32" s="1"/>
  <c r="S94" i="32" s="1"/>
  <c r="S37" i="18"/>
  <c r="S37" i="32" s="1"/>
  <c r="S89" i="32" s="1"/>
  <c r="S33" i="18"/>
  <c r="S33" i="32" s="1"/>
  <c r="S85" i="32" s="1"/>
  <c r="S35" i="18"/>
  <c r="S35" i="32" s="1"/>
  <c r="S87" i="32" s="1"/>
  <c r="S15" i="18"/>
  <c r="S15" i="32" s="1"/>
  <c r="S67" i="32" s="1"/>
  <c r="S11" i="18"/>
  <c r="S11" i="32" s="1"/>
  <c r="S63" i="32" s="1"/>
  <c r="S21" i="18"/>
  <c r="S21" i="32" s="1"/>
  <c r="S73" i="32" s="1"/>
  <c r="S8" i="18"/>
  <c r="S8" i="32" s="1"/>
  <c r="S60" i="32" s="1"/>
  <c r="S9" i="18"/>
  <c r="S9" i="32" s="1"/>
  <c r="S61" i="32" s="1"/>
  <c r="S27" i="18"/>
  <c r="S27" i="32" s="1"/>
  <c r="S79" i="32" s="1"/>
  <c r="S26" i="18"/>
  <c r="S26" i="32" s="1"/>
  <c r="S78" i="32" s="1"/>
  <c r="S31" i="18"/>
  <c r="S31" i="32" s="1"/>
  <c r="S83" i="32" s="1"/>
  <c r="S6" i="18"/>
  <c r="S6" i="32" s="1"/>
  <c r="S58" i="32" s="1"/>
  <c r="S40" i="18"/>
  <c r="S40" i="32" s="1"/>
  <c r="S92" i="32" s="1"/>
  <c r="S49" i="18"/>
  <c r="S49" i="32" s="1"/>
  <c r="S101" i="32" s="1"/>
  <c r="S38" i="18"/>
  <c r="S38" i="32" s="1"/>
  <c r="S90" i="32" s="1"/>
  <c r="S25" i="18"/>
  <c r="S25" i="32" s="1"/>
  <c r="S77" i="32" s="1"/>
  <c r="S23" i="18"/>
  <c r="S23" i="32" s="1"/>
  <c r="S75" i="32" s="1"/>
  <c r="S12" i="18"/>
  <c r="S12" i="32" s="1"/>
  <c r="S64" i="32" s="1"/>
  <c r="S50" i="18"/>
  <c r="S50" i="32" s="1"/>
  <c r="S102" i="32" s="1"/>
  <c r="S51" i="18"/>
  <c r="S51" i="32" s="1"/>
  <c r="S103" i="32" s="1"/>
  <c r="S10" i="18"/>
  <c r="S10" i="32" s="1"/>
  <c r="S62" i="32" s="1"/>
  <c r="S7" i="18"/>
  <c r="S7" i="32" s="1"/>
  <c r="S59" i="32" s="1"/>
  <c r="S39" i="18"/>
  <c r="S39" i="32" s="1"/>
  <c r="S91" i="32" s="1"/>
  <c r="S14" i="18"/>
  <c r="S14" i="32" s="1"/>
  <c r="S66" i="32" s="1"/>
  <c r="S29" i="18"/>
  <c r="S29" i="32" s="1"/>
  <c r="S81" i="32" s="1"/>
  <c r="S41" i="18"/>
  <c r="S41" i="32" s="1"/>
  <c r="S93" i="32" s="1"/>
  <c r="S16" i="18"/>
  <c r="S16" i="32" s="1"/>
  <c r="S68" i="32" s="1"/>
  <c r="S19" i="18"/>
  <c r="S19" i="32" s="1"/>
  <c r="S71" i="32" s="1"/>
  <c r="S43" i="18"/>
  <c r="S43" i="32" s="1"/>
  <c r="S95" i="32" s="1"/>
  <c r="S36" i="18"/>
  <c r="S36" i="32" s="1"/>
  <c r="S88" i="32" s="1"/>
  <c r="S32" i="18"/>
  <c r="S32" i="32" s="1"/>
  <c r="S84" i="32" s="1"/>
  <c r="S34" i="18"/>
  <c r="S34" i="32" s="1"/>
  <c r="S86" i="32" s="1"/>
  <c r="S22" i="18"/>
  <c r="S22" i="32" s="1"/>
  <c r="S74" i="32" s="1"/>
  <c r="S13" i="18"/>
  <c r="S13" i="32" s="1"/>
  <c r="S65" i="32" s="1"/>
  <c r="S28" i="18"/>
  <c r="S28" i="32" s="1"/>
  <c r="S80" i="32" s="1"/>
  <c r="S5" i="18"/>
  <c r="X48" i="32"/>
  <c r="X100" i="32" s="1"/>
  <c r="AB48" i="17"/>
  <c r="AB18" i="17"/>
  <c r="X41" i="32"/>
  <c r="X93" i="32" s="1"/>
  <c r="AB41" i="17"/>
  <c r="Q14" i="34"/>
  <c r="Q15" i="34"/>
  <c r="H9" i="34"/>
  <c r="H11" i="34"/>
  <c r="H7" i="34"/>
  <c r="H13" i="34" s="1"/>
  <c r="B15" i="34"/>
  <c r="B14" i="34"/>
  <c r="L514" i="30"/>
  <c r="O514" i="30" s="1"/>
  <c r="X23" i="32"/>
  <c r="X75" i="32" s="1"/>
  <c r="AB23" i="17"/>
  <c r="X10" i="32"/>
  <c r="X62" i="32" s="1"/>
  <c r="AB10" i="17"/>
  <c r="J14" i="34"/>
  <c r="J15" i="34"/>
  <c r="AB26" i="17"/>
  <c r="X26" i="32"/>
  <c r="X78" i="32" s="1"/>
  <c r="C7" i="34"/>
  <c r="C13" i="34" s="1"/>
  <c r="C11" i="34"/>
  <c r="C9" i="34"/>
  <c r="U21" i="33"/>
  <c r="U63" i="33" s="1"/>
  <c r="K7" i="35" s="1"/>
  <c r="M7" i="35" s="1"/>
  <c r="M13" i="35" s="1"/>
  <c r="AB39" i="17"/>
  <c r="X39" i="32"/>
  <c r="X91" i="32" s="1"/>
  <c r="G14" i="34"/>
  <c r="G15" i="34"/>
  <c r="AB25" i="17"/>
  <c r="U15" i="34"/>
  <c r="U14" i="34"/>
  <c r="AB45" i="17"/>
  <c r="X45" i="32"/>
  <c r="X97" i="32" s="1"/>
  <c r="T15" i="34"/>
  <c r="T14" i="34"/>
  <c r="K11" i="34"/>
  <c r="K9" i="34"/>
  <c r="K7" i="34"/>
  <c r="K13" i="34" s="1"/>
  <c r="Y53" i="17"/>
  <c r="X5" i="32"/>
  <c r="X57" i="32" s="1"/>
  <c r="AB5" i="17"/>
  <c r="L480" i="30"/>
  <c r="O480" i="30" s="1"/>
  <c r="O8" i="30"/>
  <c r="AG8" i="25"/>
  <c r="O311" i="30"/>
  <c r="L471" i="30"/>
  <c r="O471" i="30" s="1"/>
  <c r="L505" i="30"/>
  <c r="O505" i="30" s="1"/>
  <c r="O307" i="30"/>
  <c r="O5" i="30"/>
  <c r="AG5" i="25"/>
  <c r="L511" i="30"/>
  <c r="O511" i="30" s="1"/>
  <c r="O217" i="30"/>
  <c r="O330" i="30"/>
  <c r="O537" i="30"/>
  <c r="L550" i="30"/>
  <c r="O550" i="30" s="1"/>
  <c r="O11" i="30"/>
  <c r="AG11" i="25"/>
  <c r="O293" i="30"/>
  <c r="O283" i="30"/>
  <c r="O534" i="30"/>
  <c r="AG468" i="25"/>
  <c r="AG465" i="25"/>
  <c r="L496" i="30"/>
  <c r="O496" i="30" s="1"/>
  <c r="L488" i="30"/>
  <c r="O488" i="30" s="1"/>
  <c r="L474" i="30"/>
  <c r="O474" i="30" s="1"/>
  <c r="O317" i="30"/>
  <c r="L494" i="30"/>
  <c r="O494" i="30" s="1"/>
  <c r="L497" i="30"/>
  <c r="O497" i="30" s="1"/>
  <c r="L545" i="30"/>
  <c r="O545" i="30" s="1"/>
  <c r="L491" i="30"/>
  <c r="O491" i="30" s="1"/>
  <c r="AG513" i="25"/>
  <c r="AG473" i="25"/>
  <c r="AG543" i="25"/>
  <c r="AG475" i="25"/>
  <c r="O313" i="30"/>
  <c r="O533" i="30"/>
  <c r="L472" i="30"/>
  <c r="O472" i="30" s="1"/>
  <c r="L512" i="30"/>
  <c r="O512" i="30" s="1"/>
  <c r="O532" i="30"/>
  <c r="O329" i="30"/>
  <c r="O331" i="30"/>
  <c r="O535" i="30"/>
  <c r="M9" i="35"/>
  <c r="K15" i="35"/>
  <c r="K14" i="35"/>
  <c r="AG273" i="25"/>
  <c r="L273" i="30"/>
  <c r="O273" i="30" s="1"/>
  <c r="AG248" i="25"/>
  <c r="L248" i="30"/>
  <c r="O248" i="30" s="1"/>
  <c r="AG275" i="25"/>
  <c r="L275" i="30"/>
  <c r="O275" i="30" s="1"/>
  <c r="AG261" i="25"/>
  <c r="L261" i="30"/>
  <c r="O261" i="30" s="1"/>
  <c r="AG279" i="25"/>
  <c r="L279" i="30"/>
  <c r="O279" i="30" s="1"/>
  <c r="AG267" i="25"/>
  <c r="L267" i="30"/>
  <c r="O267" i="30" s="1"/>
  <c r="O542" i="30"/>
  <c r="AG250" i="25"/>
  <c r="L250" i="30"/>
  <c r="O250" i="30" s="1"/>
  <c r="AG241" i="25"/>
  <c r="L462" i="30"/>
  <c r="O462" i="30" s="1"/>
  <c r="L447" i="30"/>
  <c r="O447" i="30" s="1"/>
  <c r="L443" i="30"/>
  <c r="O443" i="30" s="1"/>
  <c r="L439" i="30"/>
  <c r="O439" i="30" s="1"/>
  <c r="L435" i="30"/>
  <c r="O435" i="30" s="1"/>
  <c r="L431" i="30"/>
  <c r="O431" i="30" s="1"/>
  <c r="L427" i="30"/>
  <c r="O427" i="30" s="1"/>
  <c r="L423" i="30"/>
  <c r="O423" i="30" s="1"/>
  <c r="L419" i="30"/>
  <c r="O419" i="30" s="1"/>
  <c r="L415" i="30"/>
  <c r="O415" i="30" s="1"/>
  <c r="L411" i="30"/>
  <c r="O411" i="30" s="1"/>
  <c r="L407" i="30"/>
  <c r="O407" i="30" s="1"/>
  <c r="L403" i="30"/>
  <c r="O403" i="30" s="1"/>
  <c r="L399" i="30"/>
  <c r="O399" i="30" s="1"/>
  <c r="L395" i="30"/>
  <c r="O395" i="30" s="1"/>
  <c r="L391" i="30"/>
  <c r="O391" i="30" s="1"/>
  <c r="L451" i="30"/>
  <c r="O451" i="30" s="1"/>
  <c r="L463" i="30"/>
  <c r="O463" i="30" s="1"/>
  <c r="L460" i="30"/>
  <c r="O460" i="30" s="1"/>
  <c r="L457" i="30"/>
  <c r="O457" i="30" s="1"/>
  <c r="L454" i="30"/>
  <c r="O454" i="30" s="1"/>
  <c r="L448" i="30"/>
  <c r="O448" i="30" s="1"/>
  <c r="L444" i="30"/>
  <c r="O444" i="30" s="1"/>
  <c r="L440" i="30"/>
  <c r="O440" i="30" s="1"/>
  <c r="L436" i="30"/>
  <c r="O436" i="30" s="1"/>
  <c r="L432" i="30"/>
  <c r="O432" i="30" s="1"/>
  <c r="L428" i="30"/>
  <c r="O428" i="30" s="1"/>
  <c r="L424" i="30"/>
  <c r="O424" i="30" s="1"/>
  <c r="L420" i="30"/>
  <c r="O420" i="30" s="1"/>
  <c r="L416" i="30"/>
  <c r="O416" i="30" s="1"/>
  <c r="L412" i="30"/>
  <c r="O412" i="30" s="1"/>
  <c r="L408" i="30"/>
  <c r="O408" i="30" s="1"/>
  <c r="L404" i="30"/>
  <c r="O404" i="30" s="1"/>
  <c r="L400" i="30"/>
  <c r="O400" i="30" s="1"/>
  <c r="L396" i="30"/>
  <c r="O396" i="30" s="1"/>
  <c r="L392" i="30"/>
  <c r="O392" i="30" s="1"/>
  <c r="L461" i="30"/>
  <c r="O461" i="30" s="1"/>
  <c r="L458" i="30"/>
  <c r="O458" i="30" s="1"/>
  <c r="L446" i="30"/>
  <c r="O446" i="30" s="1"/>
  <c r="L442" i="30"/>
  <c r="O442" i="30" s="1"/>
  <c r="L438" i="30"/>
  <c r="O438" i="30" s="1"/>
  <c r="L434" i="30"/>
  <c r="O434" i="30" s="1"/>
  <c r="L430" i="30"/>
  <c r="O430" i="30" s="1"/>
  <c r="L426" i="30"/>
  <c r="O426" i="30" s="1"/>
  <c r="L422" i="30"/>
  <c r="O422" i="30" s="1"/>
  <c r="L418" i="30"/>
  <c r="O418" i="30" s="1"/>
  <c r="L414" i="30"/>
  <c r="O414" i="30" s="1"/>
  <c r="L410" i="30"/>
  <c r="O410" i="30" s="1"/>
  <c r="L406" i="30"/>
  <c r="O406" i="30" s="1"/>
  <c r="L402" i="30"/>
  <c r="O402" i="30" s="1"/>
  <c r="L398" i="30"/>
  <c r="O398" i="30" s="1"/>
  <c r="L459" i="30"/>
  <c r="O459" i="30" s="1"/>
  <c r="L456" i="30"/>
  <c r="O456" i="30" s="1"/>
  <c r="L453" i="30"/>
  <c r="O453" i="30" s="1"/>
  <c r="L450" i="30"/>
  <c r="O450" i="30" s="1"/>
  <c r="L421" i="30"/>
  <c r="O421" i="30" s="1"/>
  <c r="L397" i="30"/>
  <c r="O397" i="30" s="1"/>
  <c r="L393" i="30"/>
  <c r="O393" i="30" s="1"/>
  <c r="L409" i="30"/>
  <c r="O409" i="30" s="1"/>
  <c r="L385" i="30"/>
  <c r="O385" i="30" s="1"/>
  <c r="L381" i="30"/>
  <c r="O381" i="30" s="1"/>
  <c r="L377" i="30"/>
  <c r="O377" i="30" s="1"/>
  <c r="L373" i="30"/>
  <c r="O373" i="30" s="1"/>
  <c r="L369" i="30"/>
  <c r="O369" i="30" s="1"/>
  <c r="L365" i="30"/>
  <c r="O365" i="30" s="1"/>
  <c r="L361" i="30"/>
  <c r="O361" i="30" s="1"/>
  <c r="L357" i="30"/>
  <c r="O357" i="30" s="1"/>
  <c r="L353" i="30"/>
  <c r="O353" i="30" s="1"/>
  <c r="L349" i="30"/>
  <c r="O349" i="30" s="1"/>
  <c r="L345" i="30"/>
  <c r="O345" i="30" s="1"/>
  <c r="L341" i="30"/>
  <c r="O341" i="30" s="1"/>
  <c r="L337" i="30"/>
  <c r="O337" i="30" s="1"/>
  <c r="L333" i="30"/>
  <c r="L449" i="30"/>
  <c r="O449" i="30" s="1"/>
  <c r="L429" i="30"/>
  <c r="O429" i="30" s="1"/>
  <c r="L389" i="30"/>
  <c r="O389" i="30" s="1"/>
  <c r="L452" i="30"/>
  <c r="O452" i="30" s="1"/>
  <c r="L445" i="30"/>
  <c r="O445" i="30" s="1"/>
  <c r="L417" i="30"/>
  <c r="O417" i="30" s="1"/>
  <c r="L401" i="30"/>
  <c r="O401" i="30" s="1"/>
  <c r="L386" i="30"/>
  <c r="O386" i="30" s="1"/>
  <c r="L382" i="30"/>
  <c r="O382" i="30" s="1"/>
  <c r="L378" i="30"/>
  <c r="O378" i="30" s="1"/>
  <c r="L374" i="30"/>
  <c r="O374" i="30" s="1"/>
  <c r="L370" i="30"/>
  <c r="O370" i="30" s="1"/>
  <c r="L366" i="30"/>
  <c r="O366" i="30" s="1"/>
  <c r="L362" i="30"/>
  <c r="O362" i="30" s="1"/>
  <c r="L358" i="30"/>
  <c r="O358" i="30" s="1"/>
  <c r="L354" i="30"/>
  <c r="O354" i="30" s="1"/>
  <c r="L350" i="30"/>
  <c r="O350" i="30" s="1"/>
  <c r="L346" i="30"/>
  <c r="O346" i="30" s="1"/>
  <c r="L342" i="30"/>
  <c r="O342" i="30" s="1"/>
  <c r="L338" i="30"/>
  <c r="O338" i="30" s="1"/>
  <c r="L334" i="30"/>
  <c r="O334" i="30" s="1"/>
  <c r="L455" i="30"/>
  <c r="O455" i="30" s="1"/>
  <c r="L441" i="30"/>
  <c r="O441" i="30" s="1"/>
  <c r="L394" i="30"/>
  <c r="O394" i="30" s="1"/>
  <c r="L437" i="30"/>
  <c r="O437" i="30" s="1"/>
  <c r="L425" i="30"/>
  <c r="O425" i="30" s="1"/>
  <c r="L390" i="30"/>
  <c r="O390" i="30" s="1"/>
  <c r="L387" i="30"/>
  <c r="O387" i="30" s="1"/>
  <c r="L383" i="30"/>
  <c r="O383" i="30" s="1"/>
  <c r="L379" i="30"/>
  <c r="O379" i="30" s="1"/>
  <c r="L375" i="30"/>
  <c r="O375" i="30" s="1"/>
  <c r="L371" i="30"/>
  <c r="O371" i="30" s="1"/>
  <c r="L367" i="30"/>
  <c r="O367" i="30" s="1"/>
  <c r="L363" i="30"/>
  <c r="O363" i="30" s="1"/>
  <c r="L359" i="30"/>
  <c r="O359" i="30" s="1"/>
  <c r="L355" i="30"/>
  <c r="O355" i="30" s="1"/>
  <c r="L351" i="30"/>
  <c r="O351" i="30" s="1"/>
  <c r="L347" i="30"/>
  <c r="O347" i="30" s="1"/>
  <c r="L343" i="30"/>
  <c r="O343" i="30" s="1"/>
  <c r="L339" i="30"/>
  <c r="O339" i="30" s="1"/>
  <c r="L335" i="30"/>
  <c r="O335" i="30" s="1"/>
  <c r="L413" i="30"/>
  <c r="O413" i="30" s="1"/>
  <c r="L405" i="30"/>
  <c r="O405" i="30" s="1"/>
  <c r="L433" i="30"/>
  <c r="O433" i="30" s="1"/>
  <c r="L388" i="30"/>
  <c r="O388" i="30" s="1"/>
  <c r="L384" i="30"/>
  <c r="O384" i="30" s="1"/>
  <c r="L380" i="30"/>
  <c r="O380" i="30" s="1"/>
  <c r="L376" i="30"/>
  <c r="O376" i="30" s="1"/>
  <c r="L372" i="30"/>
  <c r="O372" i="30" s="1"/>
  <c r="L368" i="30"/>
  <c r="O368" i="30" s="1"/>
  <c r="L364" i="30"/>
  <c r="O364" i="30" s="1"/>
  <c r="L360" i="30"/>
  <c r="O360" i="30" s="1"/>
  <c r="L356" i="30"/>
  <c r="O356" i="30" s="1"/>
  <c r="L352" i="30"/>
  <c r="O352" i="30" s="1"/>
  <c r="L348" i="30"/>
  <c r="O348" i="30" s="1"/>
  <c r="L344" i="30"/>
  <c r="O344" i="30" s="1"/>
  <c r="L340" i="30"/>
  <c r="O340" i="30" s="1"/>
  <c r="L336" i="30"/>
  <c r="O336" i="30" s="1"/>
  <c r="L241" i="30"/>
  <c r="AG254" i="25"/>
  <c r="L254" i="30"/>
  <c r="O254" i="30" s="1"/>
  <c r="AG256" i="25"/>
  <c r="L256" i="30"/>
  <c r="O256" i="30" s="1"/>
  <c r="AG244" i="25"/>
  <c r="L244" i="30"/>
  <c r="O244" i="30" s="1"/>
  <c r="AG269" i="25"/>
  <c r="L269" i="30"/>
  <c r="O269" i="30" s="1"/>
  <c r="AG262" i="25"/>
  <c r="L262" i="30"/>
  <c r="O262" i="30" s="1"/>
  <c r="AG274" i="25"/>
  <c r="L274" i="30"/>
  <c r="O274" i="30" s="1"/>
  <c r="AG264" i="25"/>
  <c r="L264" i="30"/>
  <c r="O264" i="30" s="1"/>
  <c r="AG252" i="25"/>
  <c r="L252" i="30"/>
  <c r="O252" i="30" s="1"/>
  <c r="AG277" i="25"/>
  <c r="L277" i="30"/>
  <c r="O277" i="30" s="1"/>
  <c r="AP6" i="25"/>
  <c r="AQ6" i="25" s="1"/>
  <c r="AC12" i="30"/>
  <c r="O464" i="30"/>
  <c r="AG257" i="25"/>
  <c r="L257" i="30"/>
  <c r="O257" i="30" s="1"/>
  <c r="AC11" i="30"/>
  <c r="AG258" i="25"/>
  <c r="L258" i="30"/>
  <c r="O258" i="30" s="1"/>
  <c r="AG265" i="25"/>
  <c r="L265" i="30"/>
  <c r="O265" i="30" s="1"/>
  <c r="AG268" i="25"/>
  <c r="L268" i="30"/>
  <c r="O268" i="30" s="1"/>
  <c r="AG271" i="25"/>
  <c r="L271" i="30"/>
  <c r="O271" i="30" s="1"/>
  <c r="AG272" i="25"/>
  <c r="L272" i="30"/>
  <c r="O272" i="30" s="1"/>
  <c r="AG278" i="25"/>
  <c r="L278" i="30"/>
  <c r="O278" i="30" s="1"/>
  <c r="AG247" i="25"/>
  <c r="L247" i="30"/>
  <c r="O247" i="30" s="1"/>
  <c r="AG249" i="25"/>
  <c r="L249" i="30"/>
  <c r="O249" i="30" s="1"/>
  <c r="AG276" i="25"/>
  <c r="L276" i="30"/>
  <c r="O276" i="30" s="1"/>
  <c r="AG253" i="25"/>
  <c r="L253" i="30"/>
  <c r="O253" i="30" s="1"/>
  <c r="AG260" i="25"/>
  <c r="L260" i="30"/>
  <c r="O260" i="30" s="1"/>
  <c r="AG246" i="25"/>
  <c r="L246" i="30"/>
  <c r="O246" i="30" s="1"/>
  <c r="AG243" i="25"/>
  <c r="L243" i="30"/>
  <c r="O243" i="30" s="1"/>
  <c r="AG242" i="25"/>
  <c r="L242" i="30"/>
  <c r="O242" i="30" s="1"/>
  <c r="AG251" i="25"/>
  <c r="L251" i="30"/>
  <c r="O251" i="30" s="1"/>
  <c r="AG255" i="25"/>
  <c r="L255" i="30"/>
  <c r="O255" i="30" s="1"/>
  <c r="AG270" i="25"/>
  <c r="L270" i="30"/>
  <c r="O270" i="30" s="1"/>
  <c r="AG266" i="25"/>
  <c r="L266" i="30"/>
  <c r="O266" i="30" s="1"/>
  <c r="AG259" i="25"/>
  <c r="L259" i="30"/>
  <c r="O259" i="30" s="1"/>
  <c r="AG245" i="25"/>
  <c r="L245" i="30"/>
  <c r="O245" i="30" s="1"/>
  <c r="AG263" i="25"/>
  <c r="L263" i="30"/>
  <c r="O263" i="30" s="1"/>
  <c r="Y43" i="21"/>
  <c r="AB5" i="21"/>
  <c r="AB43" i="21" s="1"/>
  <c r="Y43" i="22"/>
  <c r="AB5" i="22"/>
  <c r="G5" i="37" l="1"/>
  <c r="G10" i="37"/>
  <c r="K13" i="35"/>
  <c r="AB53" i="17"/>
  <c r="AP5" i="25"/>
  <c r="AQ5" i="25" s="1"/>
  <c r="N9" i="34"/>
  <c r="N7" i="34"/>
  <c r="N13" i="34" s="1"/>
  <c r="N11" i="34"/>
  <c r="C15" i="34"/>
  <c r="C14" i="34"/>
  <c r="H15" i="34"/>
  <c r="H14" i="34"/>
  <c r="S5" i="32"/>
  <c r="S57" i="32" s="1"/>
  <c r="S53" i="18"/>
  <c r="K14" i="34"/>
  <c r="K15" i="34"/>
  <c r="W12" i="30"/>
  <c r="T12" i="30"/>
  <c r="Z12" i="30" s="1"/>
  <c r="AH12" i="30" s="1"/>
  <c r="L15" i="30"/>
  <c r="L23" i="30"/>
  <c r="L16" i="30"/>
  <c r="L24" i="30"/>
  <c r="L17" i="30"/>
  <c r="L25" i="30"/>
  <c r="L14" i="30"/>
  <c r="L18" i="30"/>
  <c r="L19" i="30"/>
  <c r="L22" i="30"/>
  <c r="L20" i="30"/>
  <c r="L21" i="30"/>
  <c r="W11" i="30"/>
  <c r="T11" i="30"/>
  <c r="M15" i="35"/>
  <c r="M14" i="35"/>
  <c r="T9" i="30"/>
  <c r="O241" i="30"/>
  <c r="W9" i="30" s="1"/>
  <c r="T10" i="30"/>
  <c r="O333" i="30"/>
  <c r="W10" i="30" s="1"/>
  <c r="AP3" i="25"/>
  <c r="AC9" i="30"/>
  <c r="AA238" i="25"/>
  <c r="AA230" i="25"/>
  <c r="AG230" i="25" s="1"/>
  <c r="AA206" i="25"/>
  <c r="AA198" i="25"/>
  <c r="AA190" i="25"/>
  <c r="AG190" i="25" s="1"/>
  <c r="AA140" i="26"/>
  <c r="AA139" i="26"/>
  <c r="AA138" i="26"/>
  <c r="AA137" i="26"/>
  <c r="AA131" i="26"/>
  <c r="AA103" i="26"/>
  <c r="AA100" i="26"/>
  <c r="AA92" i="26"/>
  <c r="AA23" i="25"/>
  <c r="O23" i="30" s="1"/>
  <c r="AA19" i="26"/>
  <c r="AA15" i="25"/>
  <c r="O15" i="30" s="1"/>
  <c r="AA97" i="26"/>
  <c r="AA235" i="25"/>
  <c r="AA203" i="25"/>
  <c r="AG203" i="25" s="1"/>
  <c r="AA195" i="25"/>
  <c r="AA187" i="25"/>
  <c r="AA106" i="26"/>
  <c r="AA95" i="26"/>
  <c r="AA87" i="26"/>
  <c r="AA22" i="25"/>
  <c r="AA18" i="26"/>
  <c r="AA14" i="25"/>
  <c r="AG14" i="25" s="1"/>
  <c r="AA24" i="25"/>
  <c r="AA240" i="25"/>
  <c r="AG240" i="25" s="1"/>
  <c r="AA232" i="25"/>
  <c r="AG232" i="25" s="1"/>
  <c r="AA200" i="25"/>
  <c r="AA192" i="25"/>
  <c r="AG192" i="25" s="1"/>
  <c r="AA135" i="26"/>
  <c r="AA101" i="26"/>
  <c r="AA98" i="26"/>
  <c r="AA90" i="26"/>
  <c r="AA25" i="26"/>
  <c r="AA21" i="25"/>
  <c r="O21" i="30" s="1"/>
  <c r="AA17" i="26"/>
  <c r="AA233" i="25"/>
  <c r="AG233" i="25" s="1"/>
  <c r="AA193" i="25"/>
  <c r="AA134" i="26"/>
  <c r="AA20" i="26"/>
  <c r="AA237" i="25"/>
  <c r="AG237" i="25" s="1"/>
  <c r="AA205" i="25"/>
  <c r="AG205" i="25" s="1"/>
  <c r="AA197" i="25"/>
  <c r="AG197" i="25" s="1"/>
  <c r="AA189" i="25"/>
  <c r="AG189" i="25" s="1"/>
  <c r="AA132" i="26"/>
  <c r="AA104" i="26"/>
  <c r="AA93" i="26"/>
  <c r="AA85" i="26"/>
  <c r="AA24" i="26"/>
  <c r="AA20" i="25"/>
  <c r="O20" i="30" s="1"/>
  <c r="AA16" i="26"/>
  <c r="AA234" i="25"/>
  <c r="AG234" i="25" s="1"/>
  <c r="AA202" i="25"/>
  <c r="AG202" i="25" s="1"/>
  <c r="AA194" i="25"/>
  <c r="AG194" i="25" s="1"/>
  <c r="AA186" i="25"/>
  <c r="AG186" i="25" s="1"/>
  <c r="AA96" i="26"/>
  <c r="AA88" i="26"/>
  <c r="AA23" i="26"/>
  <c r="AA19" i="25"/>
  <c r="O19" i="30" s="1"/>
  <c r="AA15" i="26"/>
  <c r="AA185" i="25"/>
  <c r="AG185" i="25" s="1"/>
  <c r="AA89" i="26"/>
  <c r="AA239" i="25"/>
  <c r="AG239" i="25" s="1"/>
  <c r="AA231" i="25"/>
  <c r="AG231" i="25" s="1"/>
  <c r="AA199" i="25"/>
  <c r="AA191" i="25"/>
  <c r="AG191" i="25" s="1"/>
  <c r="AA136" i="26"/>
  <c r="AA133" i="26"/>
  <c r="AA130" i="26"/>
  <c r="AA102" i="26"/>
  <c r="AA99" i="26"/>
  <c r="AA91" i="26"/>
  <c r="AA22" i="26"/>
  <c r="AA18" i="25"/>
  <c r="AA14" i="26"/>
  <c r="AA16" i="25"/>
  <c r="O16" i="30" s="1"/>
  <c r="AA236" i="25"/>
  <c r="AG236" i="25" s="1"/>
  <c r="AA204" i="25"/>
  <c r="AG204" i="25" s="1"/>
  <c r="AA196" i="25"/>
  <c r="AG196" i="25" s="1"/>
  <c r="AA188" i="25"/>
  <c r="AG188" i="25" s="1"/>
  <c r="AA105" i="26"/>
  <c r="AA94" i="26"/>
  <c r="AA86" i="26"/>
  <c r="AA25" i="25"/>
  <c r="AA21" i="26"/>
  <c r="AA17" i="25"/>
  <c r="O17" i="30" s="1"/>
  <c r="AA201" i="25"/>
  <c r="AG201" i="25" s="1"/>
  <c r="AB43" i="22"/>
  <c r="AG195" i="25"/>
  <c r="AG187" i="25"/>
  <c r="AA131" i="25"/>
  <c r="AA123" i="25"/>
  <c r="AA67" i="25"/>
  <c r="AG193" i="25"/>
  <c r="AA137" i="25"/>
  <c r="AA129" i="25"/>
  <c r="AA121" i="25"/>
  <c r="AA73" i="25"/>
  <c r="AA65" i="25"/>
  <c r="AG200" i="25"/>
  <c r="AA136" i="25"/>
  <c r="AA128" i="25"/>
  <c r="AA120" i="25"/>
  <c r="AA72" i="25"/>
  <c r="AA64" i="25"/>
  <c r="AG24" i="25"/>
  <c r="AG235" i="25"/>
  <c r="AG199" i="25"/>
  <c r="AA135" i="25"/>
  <c r="AA127" i="25"/>
  <c r="AA119" i="25"/>
  <c r="AA71" i="25"/>
  <c r="AA63" i="25"/>
  <c r="AA132" i="25"/>
  <c r="AA124" i="25"/>
  <c r="AA68" i="25"/>
  <c r="AG238" i="25"/>
  <c r="AA70" i="25"/>
  <c r="AA125" i="25"/>
  <c r="AA122" i="25"/>
  <c r="AA134" i="25"/>
  <c r="AA69" i="25"/>
  <c r="AG22" i="25"/>
  <c r="AG198" i="25"/>
  <c r="AA133" i="25"/>
  <c r="AA66" i="25"/>
  <c r="AA130" i="25"/>
  <c r="AA62" i="25"/>
  <c r="AA126" i="25"/>
  <c r="AG206" i="25"/>
  <c r="AA118" i="25"/>
  <c r="O25" i="30" l="1"/>
  <c r="O24" i="30"/>
  <c r="O18" i="30"/>
  <c r="I9" i="34"/>
  <c r="I11" i="34"/>
  <c r="I7" i="34"/>
  <c r="I13" i="34" s="1"/>
  <c r="O22" i="30"/>
  <c r="AG15" i="25"/>
  <c r="N15" i="34"/>
  <c r="N14" i="34"/>
  <c r="O14" i="30"/>
  <c r="Z11" i="30"/>
  <c r="AH11" i="30" s="1"/>
  <c r="AG20" i="25"/>
  <c r="AG16" i="25"/>
  <c r="AG23" i="25"/>
  <c r="AG21" i="25"/>
  <c r="AG136" i="25"/>
  <c r="L136" i="30"/>
  <c r="O136" i="30" s="1"/>
  <c r="AP8" i="25"/>
  <c r="AQ8" i="25" s="1"/>
  <c r="AQ3" i="25"/>
  <c r="AG66" i="25"/>
  <c r="L66" i="30"/>
  <c r="O66" i="30" s="1"/>
  <c r="AG133" i="25"/>
  <c r="L133" i="30"/>
  <c r="O133" i="30" s="1"/>
  <c r="AG71" i="25"/>
  <c r="L71" i="30"/>
  <c r="O71" i="30" s="1"/>
  <c r="Z10" i="30"/>
  <c r="AH10" i="30" s="1"/>
  <c r="AG137" i="25"/>
  <c r="L236" i="30"/>
  <c r="O236" i="30" s="1"/>
  <c r="L204" i="30"/>
  <c r="O204" i="30" s="1"/>
  <c r="L196" i="30"/>
  <c r="O196" i="30" s="1"/>
  <c r="L188" i="30"/>
  <c r="O188" i="30" s="1"/>
  <c r="L233" i="30"/>
  <c r="O233" i="30" s="1"/>
  <c r="L201" i="30"/>
  <c r="O201" i="30" s="1"/>
  <c r="L193" i="30"/>
  <c r="O193" i="30" s="1"/>
  <c r="L238" i="30"/>
  <c r="O238" i="30" s="1"/>
  <c r="L230" i="30"/>
  <c r="O230" i="30" s="1"/>
  <c r="L206" i="30"/>
  <c r="O206" i="30" s="1"/>
  <c r="L198" i="30"/>
  <c r="O198" i="30" s="1"/>
  <c r="L190" i="30"/>
  <c r="O190" i="30" s="1"/>
  <c r="L235" i="30"/>
  <c r="O235" i="30" s="1"/>
  <c r="L203" i="30"/>
  <c r="O203" i="30" s="1"/>
  <c r="L195" i="30"/>
  <c r="O195" i="30" s="1"/>
  <c r="L187" i="30"/>
  <c r="O187" i="30" s="1"/>
  <c r="L234" i="30"/>
  <c r="O234" i="30" s="1"/>
  <c r="L237" i="30"/>
  <c r="O237" i="30" s="1"/>
  <c r="L232" i="30"/>
  <c r="O232" i="30" s="1"/>
  <c r="L199" i="30"/>
  <c r="O199" i="30" s="1"/>
  <c r="L191" i="30"/>
  <c r="O191" i="30" s="1"/>
  <c r="L202" i="30"/>
  <c r="O202" i="30" s="1"/>
  <c r="L194" i="30"/>
  <c r="O194" i="30" s="1"/>
  <c r="L186" i="30"/>
  <c r="O186" i="30" s="1"/>
  <c r="L240" i="30"/>
  <c r="O240" i="30" s="1"/>
  <c r="L231" i="30"/>
  <c r="O231" i="30" s="1"/>
  <c r="L205" i="30"/>
  <c r="O205" i="30" s="1"/>
  <c r="L197" i="30"/>
  <c r="O197" i="30" s="1"/>
  <c r="L189" i="30"/>
  <c r="O189" i="30" s="1"/>
  <c r="L185" i="30"/>
  <c r="O185" i="30" s="1"/>
  <c r="L239" i="30"/>
  <c r="O239" i="30" s="1"/>
  <c r="L200" i="30"/>
  <c r="O200" i="30" s="1"/>
  <c r="L192" i="30"/>
  <c r="O192" i="30" s="1"/>
  <c r="L137" i="30"/>
  <c r="O137" i="30" s="1"/>
  <c r="AG124" i="25"/>
  <c r="L124" i="30"/>
  <c r="O124" i="30" s="1"/>
  <c r="AG122" i="25"/>
  <c r="L122" i="30"/>
  <c r="O122" i="30" s="1"/>
  <c r="AG134" i="25"/>
  <c r="L134" i="30"/>
  <c r="O134" i="30" s="1"/>
  <c r="AG129" i="25"/>
  <c r="L129" i="30"/>
  <c r="O129" i="30" s="1"/>
  <c r="AG68" i="25"/>
  <c r="L68" i="30"/>
  <c r="O68" i="30" s="1"/>
  <c r="AG63" i="25"/>
  <c r="L63" i="30"/>
  <c r="O63" i="30" s="1"/>
  <c r="AG126" i="25"/>
  <c r="L126" i="30"/>
  <c r="O126" i="30" s="1"/>
  <c r="AG132" i="25"/>
  <c r="L132" i="30"/>
  <c r="O132" i="30" s="1"/>
  <c r="AG17" i="25"/>
  <c r="AG18" i="25"/>
  <c r="AG125" i="25"/>
  <c r="L125" i="30"/>
  <c r="O125" i="30" s="1"/>
  <c r="AG119" i="25"/>
  <c r="L119" i="30"/>
  <c r="O119" i="30" s="1"/>
  <c r="AG64" i="25"/>
  <c r="L64" i="30"/>
  <c r="O64" i="30" s="1"/>
  <c r="AG25" i="25"/>
  <c r="AG19" i="25"/>
  <c r="AG62" i="25"/>
  <c r="L62" i="30"/>
  <c r="O62" i="30" s="1"/>
  <c r="AG70" i="25"/>
  <c r="L70" i="30"/>
  <c r="O70" i="30" s="1"/>
  <c r="AG127" i="25"/>
  <c r="L127" i="30"/>
  <c r="O127" i="30" s="1"/>
  <c r="AG72" i="25"/>
  <c r="L72" i="30"/>
  <c r="O72" i="30" s="1"/>
  <c r="AG65" i="25"/>
  <c r="L65" i="30"/>
  <c r="O65" i="30" s="1"/>
  <c r="AG67" i="25"/>
  <c r="L67" i="30"/>
  <c r="O67" i="30" s="1"/>
  <c r="AG118" i="25"/>
  <c r="L118" i="30"/>
  <c r="O118" i="30" s="1"/>
  <c r="AG135" i="25"/>
  <c r="L135" i="30"/>
  <c r="O135" i="30" s="1"/>
  <c r="AG73" i="25"/>
  <c r="L73" i="30"/>
  <c r="O73" i="30" s="1"/>
  <c r="AG123" i="25"/>
  <c r="L123" i="30"/>
  <c r="O123" i="30" s="1"/>
  <c r="AG130" i="25"/>
  <c r="L130" i="30"/>
  <c r="O130" i="30" s="1"/>
  <c r="AG120" i="25"/>
  <c r="L120" i="30"/>
  <c r="O120" i="30" s="1"/>
  <c r="AG69" i="25"/>
  <c r="L69" i="30"/>
  <c r="O69" i="30" s="1"/>
  <c r="AG128" i="25"/>
  <c r="L128" i="30"/>
  <c r="O128" i="30" s="1"/>
  <c r="AG121" i="25"/>
  <c r="L121" i="30"/>
  <c r="O121" i="30" s="1"/>
  <c r="AG131" i="25"/>
  <c r="L131" i="30"/>
  <c r="O131" i="30" s="1"/>
  <c r="Z9" i="30"/>
  <c r="AH9" i="30" s="1"/>
  <c r="AP2" i="25"/>
  <c r="I14" i="34" l="1"/>
  <c r="I15" i="34"/>
  <c r="AC7" i="30"/>
  <c r="AP7" i="25"/>
  <c r="AQ2" i="25"/>
  <c r="AQ7" i="25" l="1"/>
  <c r="AP9" i="25"/>
  <c r="AQ9" i="25" s="1"/>
  <c r="O2" i="30"/>
  <c r="T7" i="30"/>
  <c r="W7" i="30"/>
  <c r="Z7" i="30" l="1"/>
  <c r="AH7" i="30" s="1"/>
  <c r="N26" i="30"/>
  <c r="J2" i="30" l="1"/>
  <c r="K2" i="30"/>
  <c r="M2" i="30"/>
  <c r="N2" i="30"/>
  <c r="J3" i="30"/>
  <c r="K3" i="30"/>
  <c r="M3" i="30"/>
  <c r="N3" i="30"/>
  <c r="J4" i="30"/>
  <c r="K4" i="30"/>
  <c r="M4" i="30"/>
  <c r="N4" i="30"/>
  <c r="J5" i="30"/>
  <c r="K5" i="30"/>
  <c r="M5" i="30"/>
  <c r="N5" i="30"/>
  <c r="J6" i="30"/>
  <c r="K6" i="30"/>
  <c r="M6" i="30"/>
  <c r="N6" i="30"/>
  <c r="J7" i="30"/>
  <c r="K7" i="30"/>
  <c r="M7" i="30"/>
  <c r="N7" i="30"/>
  <c r="R7" i="30"/>
  <c r="S7" i="30"/>
  <c r="U7" i="30"/>
  <c r="V7" i="30"/>
  <c r="X7" i="30"/>
  <c r="Y7" i="30"/>
  <c r="AA7" i="30"/>
  <c r="AB7" i="30"/>
  <c r="AD7" i="30"/>
  <c r="AE7" i="30"/>
  <c r="AF7" i="30"/>
  <c r="AG7" i="30"/>
  <c r="AI7" i="30"/>
  <c r="AJ7" i="30"/>
  <c r="J8" i="30"/>
  <c r="K8" i="30"/>
  <c r="M8" i="30"/>
  <c r="N8" i="30"/>
  <c r="J9" i="30"/>
  <c r="K9" i="30"/>
  <c r="M9" i="30"/>
  <c r="N9" i="30"/>
  <c r="S9" i="30"/>
  <c r="V9" i="30"/>
  <c r="Y9" i="30"/>
  <c r="AB9" i="30"/>
  <c r="AE9" i="30"/>
  <c r="AG9" i="30"/>
  <c r="AJ9" i="30"/>
  <c r="J10" i="30"/>
  <c r="K10" i="30"/>
  <c r="M10" i="30"/>
  <c r="N10" i="30"/>
  <c r="S10" i="30"/>
  <c r="V10" i="30"/>
  <c r="Y10" i="30"/>
  <c r="AB10" i="30"/>
  <c r="AE10" i="30"/>
  <c r="AG10" i="30"/>
  <c r="AJ10" i="30"/>
  <c r="J11" i="30"/>
  <c r="K11" i="30"/>
  <c r="M11" i="30"/>
  <c r="N11" i="30"/>
  <c r="S11" i="30"/>
  <c r="V11" i="30"/>
  <c r="Y11" i="30"/>
  <c r="AB11" i="30"/>
  <c r="AE11" i="30"/>
  <c r="AG11" i="30"/>
  <c r="AJ11" i="30"/>
  <c r="J12" i="30"/>
  <c r="K12" i="30"/>
  <c r="M12" i="30"/>
  <c r="N12" i="30"/>
  <c r="S12" i="30"/>
  <c r="V12" i="30"/>
  <c r="Y12" i="30"/>
  <c r="AB12" i="30"/>
  <c r="AG12" i="30"/>
  <c r="AJ12" i="30"/>
  <c r="J13" i="30"/>
  <c r="K13" i="30"/>
  <c r="M13" i="30"/>
  <c r="N13" i="30"/>
  <c r="J14" i="30"/>
  <c r="K14" i="30"/>
  <c r="M14" i="30"/>
  <c r="N14" i="30"/>
  <c r="J15" i="30"/>
  <c r="K15" i="30"/>
  <c r="M15" i="30"/>
  <c r="N15" i="30"/>
  <c r="J16" i="30"/>
  <c r="K16" i="30"/>
  <c r="M16" i="30"/>
  <c r="N16" i="30"/>
  <c r="J17" i="30"/>
  <c r="K17" i="30"/>
  <c r="M17" i="30"/>
  <c r="N17" i="30"/>
  <c r="J18" i="30"/>
  <c r="K18" i="30"/>
  <c r="M18" i="30"/>
  <c r="N18" i="30"/>
  <c r="J19" i="30"/>
  <c r="K19" i="30"/>
  <c r="M19" i="30"/>
  <c r="N19" i="30"/>
  <c r="J20" i="30"/>
  <c r="K20" i="30"/>
  <c r="M20" i="30"/>
  <c r="N20" i="30"/>
  <c r="J21" i="30"/>
  <c r="K21" i="30"/>
  <c r="M21" i="30"/>
  <c r="N21" i="30"/>
  <c r="J22" i="30"/>
  <c r="K22" i="30"/>
  <c r="M22" i="30"/>
  <c r="N22" i="30"/>
  <c r="J23" i="30"/>
  <c r="K23" i="30"/>
  <c r="M23" i="30"/>
  <c r="N23" i="30"/>
  <c r="J24" i="30"/>
  <c r="K24" i="30"/>
  <c r="M24" i="30"/>
  <c r="N24" i="30"/>
  <c r="J25" i="30"/>
  <c r="K25" i="30"/>
  <c r="M25" i="30"/>
  <c r="N25" i="30"/>
  <c r="J26" i="30"/>
  <c r="M26" i="30"/>
  <c r="J27" i="30"/>
  <c r="M27" i="30"/>
  <c r="J28" i="30"/>
  <c r="M28" i="30"/>
  <c r="J29" i="30"/>
  <c r="M29" i="30"/>
  <c r="J30" i="30"/>
  <c r="M30" i="30"/>
  <c r="J31" i="30"/>
  <c r="M31" i="30"/>
  <c r="J32" i="30"/>
  <c r="M32" i="30"/>
  <c r="J33" i="30"/>
  <c r="M33" i="30"/>
  <c r="J34" i="30"/>
  <c r="M34" i="30"/>
  <c r="J35" i="30"/>
  <c r="M35" i="30"/>
  <c r="J36" i="30"/>
  <c r="M36" i="30"/>
  <c r="J37" i="30"/>
  <c r="M37" i="30"/>
  <c r="K38" i="30"/>
  <c r="N38" i="30"/>
  <c r="K39" i="30"/>
  <c r="N39" i="30"/>
  <c r="K40" i="30"/>
  <c r="N40" i="30"/>
  <c r="K41" i="30"/>
  <c r="N41" i="30"/>
  <c r="K42" i="30"/>
  <c r="N42" i="30"/>
  <c r="K43" i="30"/>
  <c r="N43" i="30"/>
  <c r="K44" i="30"/>
  <c r="N44" i="30"/>
  <c r="K45" i="30"/>
  <c r="N45" i="30"/>
  <c r="K46" i="30"/>
  <c r="N46" i="30"/>
  <c r="K47" i="30"/>
  <c r="N47" i="30"/>
  <c r="K48" i="30"/>
  <c r="N48" i="30"/>
  <c r="K49" i="30"/>
  <c r="N49" i="30"/>
  <c r="J50" i="30"/>
  <c r="M50" i="30"/>
  <c r="J51" i="30"/>
  <c r="M51" i="30"/>
  <c r="J52" i="30"/>
  <c r="M52" i="30"/>
  <c r="J53" i="30"/>
  <c r="M53" i="30"/>
  <c r="J54" i="30"/>
  <c r="M54" i="30"/>
  <c r="J55" i="30"/>
  <c r="M55" i="30"/>
  <c r="J56" i="30"/>
  <c r="M56" i="30"/>
  <c r="J57" i="30"/>
  <c r="M57" i="30"/>
  <c r="J58" i="30"/>
  <c r="M58" i="30"/>
  <c r="J59" i="30"/>
  <c r="M59" i="30"/>
  <c r="J60" i="30"/>
  <c r="M60" i="30"/>
  <c r="J61" i="30"/>
  <c r="M61" i="30"/>
  <c r="K62" i="30"/>
  <c r="N62" i="30"/>
  <c r="K63" i="30"/>
  <c r="N63" i="30"/>
  <c r="K64" i="30"/>
  <c r="N64" i="30"/>
  <c r="K65" i="30"/>
  <c r="N65" i="30"/>
  <c r="K66" i="30"/>
  <c r="N66" i="30"/>
  <c r="K67" i="30"/>
  <c r="N67" i="30"/>
  <c r="K68" i="30"/>
  <c r="N68" i="30"/>
  <c r="K69" i="30"/>
  <c r="N69" i="30"/>
  <c r="K70" i="30"/>
  <c r="N70" i="30"/>
  <c r="K71" i="30"/>
  <c r="N71" i="30"/>
  <c r="K72" i="30"/>
  <c r="N72" i="30"/>
  <c r="K73" i="30"/>
  <c r="N73" i="30"/>
  <c r="K74" i="30"/>
  <c r="N74" i="30"/>
  <c r="K75" i="30"/>
  <c r="N75" i="30"/>
  <c r="K76" i="30"/>
  <c r="N76" i="30"/>
  <c r="K77" i="30"/>
  <c r="N77" i="30"/>
  <c r="K78" i="30"/>
  <c r="N78" i="30"/>
  <c r="K79" i="30"/>
  <c r="N79" i="30"/>
  <c r="K80" i="30"/>
  <c r="N80" i="30"/>
  <c r="K81" i="30"/>
  <c r="N81" i="30"/>
  <c r="K82" i="30"/>
  <c r="N82" i="30"/>
  <c r="K83" i="30"/>
  <c r="N83" i="30"/>
  <c r="K84" i="30"/>
  <c r="N84" i="30"/>
  <c r="K85" i="30"/>
  <c r="N85" i="30"/>
  <c r="K86" i="30"/>
  <c r="N86" i="30"/>
  <c r="K87" i="30"/>
  <c r="N87" i="30"/>
  <c r="K88" i="30"/>
  <c r="N88" i="30"/>
  <c r="K89" i="30"/>
  <c r="N89" i="30"/>
  <c r="K90" i="30"/>
  <c r="N90" i="30"/>
  <c r="K91" i="30"/>
  <c r="N91" i="30"/>
  <c r="K92" i="30"/>
  <c r="N92" i="30"/>
  <c r="K93" i="30"/>
  <c r="N93" i="30"/>
  <c r="J94" i="30"/>
  <c r="M94" i="30"/>
  <c r="J95" i="30"/>
  <c r="M95" i="30"/>
  <c r="J96" i="30"/>
  <c r="M96" i="30"/>
  <c r="J97" i="30"/>
  <c r="M97" i="30"/>
  <c r="J98" i="30"/>
  <c r="M98" i="30"/>
  <c r="J99" i="30"/>
  <c r="M99" i="30"/>
  <c r="J100" i="30"/>
  <c r="M100" i="30"/>
  <c r="J101" i="30"/>
  <c r="M101" i="30"/>
  <c r="J102" i="30"/>
  <c r="M102" i="30"/>
  <c r="J103" i="30"/>
  <c r="M103" i="30"/>
  <c r="J104" i="30"/>
  <c r="M104" i="30"/>
  <c r="J105" i="30"/>
  <c r="M105" i="30"/>
  <c r="J106" i="30"/>
  <c r="M106" i="30"/>
  <c r="J107" i="30"/>
  <c r="M107" i="30"/>
  <c r="J108" i="30"/>
  <c r="M108" i="30"/>
  <c r="J109" i="30"/>
  <c r="M109" i="30"/>
  <c r="J110" i="30"/>
  <c r="M110" i="30"/>
  <c r="J111" i="30"/>
  <c r="M111" i="30"/>
  <c r="J112" i="30"/>
  <c r="M112" i="30"/>
  <c r="J113" i="30"/>
  <c r="M113" i="30"/>
  <c r="J114" i="30"/>
  <c r="M114" i="30"/>
  <c r="J115" i="30"/>
  <c r="M115" i="30"/>
  <c r="J116" i="30"/>
  <c r="M116" i="30"/>
  <c r="J117" i="30"/>
  <c r="M117" i="30"/>
  <c r="K118" i="30"/>
  <c r="N118" i="30"/>
  <c r="K119" i="30"/>
  <c r="N119" i="30"/>
  <c r="K120" i="30"/>
  <c r="N120" i="30"/>
  <c r="K121" i="30"/>
  <c r="N121" i="30"/>
  <c r="K122" i="30"/>
  <c r="N122" i="30"/>
  <c r="K123" i="30"/>
  <c r="N123" i="30"/>
  <c r="K124" i="30"/>
  <c r="N124" i="30"/>
  <c r="K125" i="30"/>
  <c r="N125" i="30"/>
  <c r="K126" i="30"/>
  <c r="N126" i="30"/>
  <c r="K127" i="30"/>
  <c r="N127" i="30"/>
  <c r="K128" i="30"/>
  <c r="N128" i="30"/>
  <c r="K129" i="30"/>
  <c r="N129" i="30"/>
  <c r="K130" i="30"/>
  <c r="N130" i="30"/>
  <c r="K131" i="30"/>
  <c r="N131" i="30"/>
  <c r="K132" i="30"/>
  <c r="N132" i="30"/>
  <c r="K133" i="30"/>
  <c r="N133" i="30"/>
  <c r="K134" i="30"/>
  <c r="N134" i="30"/>
  <c r="K135" i="30"/>
  <c r="N135" i="30"/>
  <c r="K136" i="30"/>
  <c r="N136" i="30"/>
  <c r="K137" i="30"/>
  <c r="N137" i="30"/>
  <c r="K138" i="30"/>
  <c r="N138" i="30"/>
  <c r="K139" i="30"/>
  <c r="N139" i="30"/>
  <c r="K140" i="30"/>
  <c r="N140" i="30"/>
  <c r="K141" i="30"/>
  <c r="N141" i="30"/>
  <c r="K142" i="30"/>
  <c r="N142" i="30"/>
  <c r="K143" i="30"/>
  <c r="N143" i="30"/>
  <c r="K144" i="30"/>
  <c r="N144" i="30"/>
  <c r="K145" i="30"/>
  <c r="N145" i="30"/>
  <c r="K146" i="30"/>
  <c r="N146" i="30"/>
  <c r="K147" i="30"/>
  <c r="N147" i="30"/>
  <c r="K148" i="30"/>
  <c r="N148" i="30"/>
  <c r="K149" i="30"/>
  <c r="N149" i="30"/>
  <c r="K150" i="30"/>
  <c r="N150" i="30"/>
  <c r="K151" i="30"/>
  <c r="N151" i="30"/>
  <c r="K152" i="30"/>
  <c r="N152" i="30"/>
  <c r="K153" i="30"/>
  <c r="N153" i="30"/>
  <c r="K154" i="30"/>
  <c r="N154" i="30"/>
  <c r="K155" i="30"/>
  <c r="N155" i="30"/>
  <c r="K156" i="30"/>
  <c r="N156" i="30"/>
  <c r="K157" i="30"/>
  <c r="N157" i="30"/>
  <c r="K158" i="30"/>
  <c r="N158" i="30"/>
  <c r="K159" i="30"/>
  <c r="N159" i="30"/>
  <c r="K160" i="30"/>
  <c r="N160" i="30"/>
  <c r="J161" i="30"/>
  <c r="M161" i="30"/>
  <c r="J162" i="30"/>
  <c r="M162" i="30"/>
  <c r="J163" i="30"/>
  <c r="M163" i="30"/>
  <c r="J164" i="30"/>
  <c r="M164" i="30"/>
  <c r="J165" i="30"/>
  <c r="M165" i="30"/>
  <c r="J166" i="30"/>
  <c r="M166" i="30"/>
  <c r="J167" i="30"/>
  <c r="M167" i="30"/>
  <c r="J168" i="30"/>
  <c r="M168" i="30"/>
  <c r="J169" i="30"/>
  <c r="M169" i="30"/>
  <c r="J170" i="30"/>
  <c r="M170" i="30"/>
  <c r="J171" i="30"/>
  <c r="M171" i="30"/>
  <c r="J172" i="30"/>
  <c r="M172" i="30"/>
  <c r="J173" i="30"/>
  <c r="M173" i="30"/>
  <c r="J174" i="30"/>
  <c r="M174" i="30"/>
  <c r="J175" i="30"/>
  <c r="M175" i="30"/>
  <c r="J176" i="30"/>
  <c r="M176" i="30"/>
  <c r="J177" i="30"/>
  <c r="M177" i="30"/>
  <c r="J178" i="30"/>
  <c r="M178" i="30"/>
  <c r="J179" i="30"/>
  <c r="M179" i="30"/>
  <c r="J180" i="30"/>
  <c r="M180" i="30"/>
  <c r="J181" i="30"/>
  <c r="M181" i="30"/>
  <c r="J182" i="30"/>
  <c r="M182" i="30"/>
  <c r="J183" i="30"/>
  <c r="M183" i="30"/>
  <c r="J184" i="30"/>
  <c r="M184" i="30"/>
  <c r="K185" i="30"/>
  <c r="N185" i="30"/>
  <c r="K186" i="30"/>
  <c r="N186" i="30"/>
  <c r="K187" i="30"/>
  <c r="N187" i="30"/>
  <c r="K188" i="30"/>
  <c r="N188" i="30"/>
  <c r="K189" i="30"/>
  <c r="N189" i="30"/>
  <c r="K190" i="30"/>
  <c r="N190" i="30"/>
  <c r="K191" i="30"/>
  <c r="N191" i="30"/>
  <c r="K192" i="30"/>
  <c r="N192" i="30"/>
  <c r="K193" i="30"/>
  <c r="N193" i="30"/>
  <c r="K194" i="30"/>
  <c r="N194" i="30"/>
  <c r="K195" i="30"/>
  <c r="N195" i="30"/>
  <c r="K196" i="30"/>
  <c r="N196" i="30"/>
  <c r="K197" i="30"/>
  <c r="N197" i="30"/>
  <c r="K198" i="30"/>
  <c r="N198" i="30"/>
  <c r="K199" i="30"/>
  <c r="N199" i="30"/>
  <c r="K200" i="30"/>
  <c r="N200" i="30"/>
  <c r="K201" i="30"/>
  <c r="N201" i="30"/>
  <c r="K202" i="30"/>
  <c r="N202" i="30"/>
  <c r="K203" i="30"/>
  <c r="N203" i="30"/>
  <c r="K204" i="30"/>
  <c r="N204" i="30"/>
  <c r="K205" i="30"/>
  <c r="N205" i="30"/>
  <c r="K206" i="30"/>
  <c r="N206" i="30"/>
  <c r="K207" i="30"/>
  <c r="N207" i="30"/>
  <c r="K208" i="30"/>
  <c r="N208" i="30"/>
  <c r="K209" i="30"/>
  <c r="N209" i="30"/>
  <c r="K210" i="30"/>
  <c r="N210" i="30"/>
  <c r="K211" i="30"/>
  <c r="N211" i="30"/>
  <c r="K212" i="30"/>
  <c r="N212" i="30"/>
  <c r="K213" i="30"/>
  <c r="N213" i="30"/>
  <c r="K214" i="30"/>
  <c r="N214" i="30"/>
  <c r="K215" i="30"/>
  <c r="N215" i="30"/>
  <c r="K216" i="30"/>
  <c r="N216" i="30"/>
  <c r="K217" i="30"/>
  <c r="N217" i="30"/>
  <c r="J218" i="30"/>
  <c r="M218" i="30"/>
  <c r="J219" i="30"/>
  <c r="M219" i="30"/>
  <c r="J220" i="30"/>
  <c r="M220" i="30"/>
  <c r="J221" i="30"/>
  <c r="M221" i="30"/>
  <c r="J222" i="30"/>
  <c r="M222" i="30"/>
  <c r="J223" i="30"/>
  <c r="M223" i="30"/>
  <c r="J224" i="30"/>
  <c r="M224" i="30"/>
  <c r="J225" i="30"/>
  <c r="M225" i="30"/>
  <c r="J226" i="30"/>
  <c r="M226" i="30"/>
  <c r="J227" i="30"/>
  <c r="M227" i="30"/>
  <c r="J228" i="30"/>
  <c r="M228" i="30"/>
  <c r="J229" i="30"/>
  <c r="M229" i="30"/>
  <c r="K230" i="30"/>
  <c r="N230" i="30"/>
  <c r="K231" i="30"/>
  <c r="N231" i="30"/>
  <c r="K232" i="30"/>
  <c r="N232" i="30"/>
  <c r="K233" i="30"/>
  <c r="N233" i="30"/>
  <c r="K234" i="30"/>
  <c r="N234" i="30"/>
  <c r="K235" i="30"/>
  <c r="N235" i="30"/>
  <c r="K236" i="30"/>
  <c r="N236" i="30"/>
  <c r="K237" i="30"/>
  <c r="N237" i="30"/>
  <c r="K238" i="30"/>
  <c r="N238" i="30"/>
  <c r="K239" i="30"/>
  <c r="N239" i="30"/>
  <c r="K240" i="30"/>
  <c r="N240" i="30"/>
  <c r="K241" i="30"/>
  <c r="N241" i="30"/>
  <c r="K242" i="30"/>
  <c r="N242" i="30"/>
  <c r="K243" i="30"/>
  <c r="N243" i="30"/>
  <c r="K244" i="30"/>
  <c r="N244" i="30"/>
  <c r="K245" i="30"/>
  <c r="N245" i="30"/>
  <c r="K246" i="30"/>
  <c r="N246" i="30"/>
  <c r="K247" i="30"/>
  <c r="N247" i="30"/>
  <c r="K248" i="30"/>
  <c r="N248" i="30"/>
  <c r="K249" i="30"/>
  <c r="N249" i="30"/>
  <c r="K250" i="30"/>
  <c r="N250" i="30"/>
  <c r="K251" i="30"/>
  <c r="N251" i="30"/>
  <c r="K252" i="30"/>
  <c r="N252" i="30"/>
  <c r="K253" i="30"/>
  <c r="N253" i="30"/>
  <c r="K254" i="30"/>
  <c r="N254" i="30"/>
  <c r="K255" i="30"/>
  <c r="N255" i="30"/>
  <c r="K256" i="30"/>
  <c r="N256" i="30"/>
  <c r="K257" i="30"/>
  <c r="N257" i="30"/>
  <c r="K258" i="30"/>
  <c r="N258" i="30"/>
  <c r="K259" i="30"/>
  <c r="N259" i="30"/>
  <c r="K260" i="30"/>
  <c r="N260" i="30"/>
  <c r="K261" i="30"/>
  <c r="N261" i="30"/>
  <c r="K262" i="30"/>
  <c r="N262" i="30"/>
  <c r="K263" i="30"/>
  <c r="N263" i="30"/>
  <c r="K264" i="30"/>
  <c r="N264" i="30"/>
  <c r="K265" i="30"/>
  <c r="N265" i="30"/>
  <c r="K266" i="30"/>
  <c r="N266" i="30"/>
  <c r="K267" i="30"/>
  <c r="N267" i="30"/>
  <c r="K268" i="30"/>
  <c r="N268" i="30"/>
  <c r="K269" i="30"/>
  <c r="N269" i="30"/>
  <c r="K270" i="30"/>
  <c r="N270" i="30"/>
  <c r="K271" i="30"/>
  <c r="N271" i="30"/>
  <c r="K272" i="30"/>
  <c r="N272" i="30"/>
  <c r="K273" i="30"/>
  <c r="N273" i="30"/>
  <c r="K274" i="30"/>
  <c r="N274" i="30"/>
  <c r="K275" i="30"/>
  <c r="N275" i="30"/>
  <c r="K276" i="30"/>
  <c r="N276" i="30"/>
  <c r="K277" i="30"/>
  <c r="N277" i="30"/>
  <c r="K278" i="30"/>
  <c r="N278" i="30"/>
  <c r="K279" i="30"/>
  <c r="N279" i="30"/>
  <c r="K280" i="30"/>
  <c r="N280" i="30"/>
  <c r="K281" i="30"/>
  <c r="N281" i="30"/>
  <c r="K282" i="30"/>
  <c r="N282" i="30"/>
  <c r="K283" i="30"/>
  <c r="N283" i="30"/>
  <c r="K284" i="30"/>
  <c r="N284" i="30"/>
  <c r="K285" i="30"/>
  <c r="N285" i="30"/>
  <c r="K286" i="30"/>
  <c r="N286" i="30"/>
  <c r="K287" i="30"/>
  <c r="N287" i="30"/>
  <c r="K288" i="30"/>
  <c r="N288" i="30"/>
  <c r="K289" i="30"/>
  <c r="N289" i="30"/>
  <c r="K290" i="30"/>
  <c r="N290" i="30"/>
  <c r="K291" i="30"/>
  <c r="N291" i="30"/>
  <c r="K292" i="30"/>
  <c r="N292" i="30"/>
  <c r="K293" i="30"/>
  <c r="N293" i="30"/>
  <c r="K294" i="30"/>
  <c r="N294" i="30"/>
  <c r="K295" i="30"/>
  <c r="N295" i="30"/>
  <c r="K296" i="30"/>
  <c r="N296" i="30"/>
  <c r="K297" i="30"/>
  <c r="N297" i="30"/>
  <c r="K298" i="30"/>
  <c r="N298" i="30"/>
  <c r="K299" i="30"/>
  <c r="N299" i="30"/>
  <c r="K300" i="30"/>
  <c r="N300" i="30"/>
  <c r="K301" i="30"/>
  <c r="N301" i="30"/>
  <c r="K302" i="30"/>
  <c r="N302" i="30"/>
  <c r="K303" i="30"/>
  <c r="N303" i="30"/>
  <c r="K304" i="30"/>
  <c r="N304" i="30"/>
  <c r="K305" i="30"/>
  <c r="N305" i="30"/>
  <c r="K306" i="30"/>
  <c r="N306" i="30"/>
  <c r="K307" i="30"/>
  <c r="N307" i="30"/>
  <c r="K308" i="30"/>
  <c r="N308" i="30"/>
  <c r="K309" i="30"/>
  <c r="N309" i="30"/>
  <c r="K310" i="30"/>
  <c r="N310" i="30"/>
  <c r="K311" i="30"/>
  <c r="N311" i="30"/>
  <c r="K312" i="30"/>
  <c r="N312" i="30"/>
  <c r="K313" i="30"/>
  <c r="N313" i="30"/>
  <c r="K314" i="30"/>
  <c r="N314" i="30"/>
  <c r="K315" i="30"/>
  <c r="N315" i="30"/>
  <c r="K316" i="30"/>
  <c r="N316" i="30"/>
  <c r="K317" i="30"/>
  <c r="N317" i="30"/>
  <c r="K318" i="30"/>
  <c r="N318" i="30"/>
  <c r="K319" i="30"/>
  <c r="N319" i="30"/>
  <c r="K320" i="30"/>
  <c r="N320" i="30"/>
  <c r="K321" i="30"/>
  <c r="N321" i="30"/>
  <c r="K322" i="30"/>
  <c r="N322" i="30"/>
  <c r="K323" i="30"/>
  <c r="N323" i="30"/>
  <c r="K324" i="30"/>
  <c r="N324" i="30"/>
  <c r="K325" i="30"/>
  <c r="N325" i="30"/>
  <c r="K326" i="30"/>
  <c r="N326" i="30"/>
  <c r="K327" i="30"/>
  <c r="N327" i="30"/>
  <c r="K328" i="30"/>
  <c r="N328" i="30"/>
  <c r="K329" i="30"/>
  <c r="N329" i="30"/>
  <c r="K330" i="30"/>
  <c r="N330" i="30"/>
  <c r="K331" i="30"/>
  <c r="N331" i="30"/>
  <c r="K332" i="30"/>
  <c r="N332" i="30"/>
  <c r="K333" i="30"/>
  <c r="N333" i="30"/>
  <c r="K334" i="30"/>
  <c r="N334" i="30"/>
  <c r="K335" i="30"/>
  <c r="N335" i="30"/>
  <c r="K336" i="30"/>
  <c r="N336" i="30"/>
  <c r="K337" i="30"/>
  <c r="N337" i="30"/>
  <c r="K338" i="30"/>
  <c r="N338" i="30"/>
  <c r="K339" i="30"/>
  <c r="N339" i="30"/>
  <c r="K340" i="30"/>
  <c r="N340" i="30"/>
  <c r="K341" i="30"/>
  <c r="N341" i="30"/>
  <c r="K342" i="30"/>
  <c r="N342" i="30"/>
  <c r="K343" i="30"/>
  <c r="N343" i="30"/>
  <c r="K344" i="30"/>
  <c r="N344" i="30"/>
  <c r="K345" i="30"/>
  <c r="N345" i="30"/>
  <c r="K346" i="30"/>
  <c r="N346" i="30"/>
  <c r="K347" i="30"/>
  <c r="N347" i="30"/>
  <c r="K348" i="30"/>
  <c r="N348" i="30"/>
  <c r="K349" i="30"/>
  <c r="N349" i="30"/>
  <c r="K350" i="30"/>
  <c r="N350" i="30"/>
  <c r="K351" i="30"/>
  <c r="N351" i="30"/>
  <c r="K352" i="30"/>
  <c r="N352" i="30"/>
  <c r="K353" i="30"/>
  <c r="N353" i="30"/>
  <c r="K354" i="30"/>
  <c r="N354" i="30"/>
  <c r="K355" i="30"/>
  <c r="N355" i="30"/>
  <c r="K356" i="30"/>
  <c r="N356" i="30"/>
  <c r="K357" i="30"/>
  <c r="N357" i="30"/>
  <c r="K358" i="30"/>
  <c r="N358" i="30"/>
  <c r="K359" i="30"/>
  <c r="N359" i="30"/>
  <c r="K360" i="30"/>
  <c r="N360" i="30"/>
  <c r="K361" i="30"/>
  <c r="N361" i="30"/>
  <c r="K362" i="30"/>
  <c r="N362" i="30"/>
  <c r="K363" i="30"/>
  <c r="N363" i="30"/>
  <c r="K364" i="30"/>
  <c r="N364" i="30"/>
  <c r="K365" i="30"/>
  <c r="N365" i="30"/>
  <c r="K366" i="30"/>
  <c r="N366" i="30"/>
  <c r="K367" i="30"/>
  <c r="N367" i="30"/>
  <c r="K368" i="30"/>
  <c r="N368" i="30"/>
  <c r="K369" i="30"/>
  <c r="N369" i="30"/>
  <c r="K370" i="30"/>
  <c r="N370" i="30"/>
  <c r="K371" i="30"/>
  <c r="N371" i="30"/>
  <c r="K372" i="30"/>
  <c r="N372" i="30"/>
  <c r="K373" i="30"/>
  <c r="N373" i="30"/>
  <c r="K374" i="30"/>
  <c r="N374" i="30"/>
  <c r="K375" i="30"/>
  <c r="N375" i="30"/>
  <c r="K376" i="30"/>
  <c r="N376" i="30"/>
  <c r="K377" i="30"/>
  <c r="N377" i="30"/>
  <c r="K378" i="30"/>
  <c r="N378" i="30"/>
  <c r="K379" i="30"/>
  <c r="N379" i="30"/>
  <c r="K380" i="30"/>
  <c r="N380" i="30"/>
  <c r="K381" i="30"/>
  <c r="N381" i="30"/>
  <c r="K382" i="30"/>
  <c r="N382" i="30"/>
  <c r="K383" i="30"/>
  <c r="N383" i="30"/>
  <c r="K384" i="30"/>
  <c r="N384" i="30"/>
  <c r="K385" i="30"/>
  <c r="N385" i="30"/>
  <c r="K386" i="30"/>
  <c r="N386" i="30"/>
  <c r="K387" i="30"/>
  <c r="N387" i="30"/>
  <c r="K388" i="30"/>
  <c r="N388" i="30"/>
  <c r="K389" i="30"/>
  <c r="N389" i="30"/>
  <c r="K390" i="30"/>
  <c r="N390" i="30"/>
  <c r="K391" i="30"/>
  <c r="N391" i="30"/>
  <c r="K392" i="30"/>
  <c r="N392" i="30"/>
  <c r="K393" i="30"/>
  <c r="N393" i="30"/>
  <c r="K394" i="30"/>
  <c r="N394" i="30"/>
  <c r="K395" i="30"/>
  <c r="N395" i="30"/>
  <c r="K396" i="30"/>
  <c r="N396" i="30"/>
  <c r="K397" i="30"/>
  <c r="N397" i="30"/>
  <c r="K398" i="30"/>
  <c r="N398" i="30"/>
  <c r="K399" i="30"/>
  <c r="N399" i="30"/>
  <c r="K400" i="30"/>
  <c r="N400" i="30"/>
  <c r="K401" i="30"/>
  <c r="N401" i="30"/>
  <c r="K402" i="30"/>
  <c r="N402" i="30"/>
  <c r="K403" i="30"/>
  <c r="N403" i="30"/>
  <c r="K404" i="30"/>
  <c r="N404" i="30"/>
  <c r="K405" i="30"/>
  <c r="N405" i="30"/>
  <c r="K406" i="30"/>
  <c r="N406" i="30"/>
  <c r="K407" i="30"/>
  <c r="N407" i="30"/>
  <c r="K408" i="30"/>
  <c r="N408" i="30"/>
  <c r="K409" i="30"/>
  <c r="N409" i="30"/>
  <c r="K410" i="30"/>
  <c r="N410" i="30"/>
  <c r="K411" i="30"/>
  <c r="N411" i="30"/>
  <c r="K412" i="30"/>
  <c r="N412" i="30"/>
  <c r="K413" i="30"/>
  <c r="N413" i="30"/>
  <c r="K414" i="30"/>
  <c r="N414" i="30"/>
  <c r="K415" i="30"/>
  <c r="N415" i="30"/>
  <c r="K416" i="30"/>
  <c r="N416" i="30"/>
  <c r="K417" i="30"/>
  <c r="N417" i="30"/>
  <c r="K418" i="30"/>
  <c r="N418" i="30"/>
  <c r="K419" i="30"/>
  <c r="N419" i="30"/>
  <c r="K420" i="30"/>
  <c r="N420" i="30"/>
  <c r="K421" i="30"/>
  <c r="N421" i="30"/>
  <c r="K422" i="30"/>
  <c r="N422" i="30"/>
  <c r="K423" i="30"/>
  <c r="N423" i="30"/>
  <c r="K424" i="30"/>
  <c r="N424" i="30"/>
  <c r="K425" i="30"/>
  <c r="N425" i="30"/>
  <c r="K426" i="30"/>
  <c r="N426" i="30"/>
  <c r="K427" i="30"/>
  <c r="N427" i="30"/>
  <c r="K428" i="30"/>
  <c r="N428" i="30"/>
  <c r="K429" i="30"/>
  <c r="N429" i="30"/>
  <c r="K430" i="30"/>
  <c r="N430" i="30"/>
  <c r="K431" i="30"/>
  <c r="N431" i="30"/>
  <c r="K432" i="30"/>
  <c r="N432" i="30"/>
  <c r="K433" i="30"/>
  <c r="N433" i="30"/>
  <c r="K434" i="30"/>
  <c r="N434" i="30"/>
  <c r="K435" i="30"/>
  <c r="N435" i="30"/>
  <c r="K436" i="30"/>
  <c r="N436" i="30"/>
  <c r="K437" i="30"/>
  <c r="N437" i="30"/>
  <c r="K438" i="30"/>
  <c r="N438" i="30"/>
  <c r="K439" i="30"/>
  <c r="N439" i="30"/>
  <c r="K440" i="30"/>
  <c r="N440" i="30"/>
  <c r="K441" i="30"/>
  <c r="N441" i="30"/>
  <c r="K442" i="30"/>
  <c r="N442" i="30"/>
  <c r="K443" i="30"/>
  <c r="N443" i="30"/>
  <c r="K444" i="30"/>
  <c r="N444" i="30"/>
  <c r="K445" i="30"/>
  <c r="N445" i="30"/>
  <c r="K446" i="30"/>
  <c r="N446" i="30"/>
  <c r="K447" i="30"/>
  <c r="N447" i="30"/>
  <c r="K448" i="30"/>
  <c r="N448" i="30"/>
  <c r="K449" i="30"/>
  <c r="N449" i="30"/>
  <c r="K450" i="30"/>
  <c r="N450" i="30"/>
  <c r="K451" i="30"/>
  <c r="N451" i="30"/>
  <c r="K452" i="30"/>
  <c r="N452" i="30"/>
  <c r="K453" i="30"/>
  <c r="N453" i="30"/>
  <c r="K454" i="30"/>
  <c r="N454" i="30"/>
  <c r="K455" i="30"/>
  <c r="N455" i="30"/>
  <c r="K456" i="30"/>
  <c r="N456" i="30"/>
  <c r="K457" i="30"/>
  <c r="N457" i="30"/>
  <c r="K458" i="30"/>
  <c r="N458" i="30"/>
  <c r="K459" i="30"/>
  <c r="N459" i="30"/>
  <c r="K460" i="30"/>
  <c r="N460" i="30"/>
  <c r="K461" i="30"/>
  <c r="N461" i="30"/>
  <c r="K462" i="30"/>
  <c r="N462" i="30"/>
  <c r="K463" i="30"/>
  <c r="N463" i="30"/>
  <c r="K464" i="30"/>
  <c r="N464" i="30"/>
  <c r="K465" i="30"/>
  <c r="N465" i="30"/>
  <c r="K466" i="30"/>
  <c r="N466" i="30"/>
  <c r="K467" i="30"/>
  <c r="N467" i="30"/>
  <c r="K468" i="30"/>
  <c r="N468" i="30"/>
  <c r="K469" i="30"/>
  <c r="N469" i="30"/>
  <c r="K470" i="30"/>
  <c r="N470" i="30"/>
  <c r="K471" i="30"/>
  <c r="N471" i="30"/>
  <c r="K472" i="30"/>
  <c r="N472" i="30"/>
  <c r="K473" i="30"/>
  <c r="N473" i="30"/>
  <c r="K474" i="30"/>
  <c r="N474" i="30"/>
  <c r="K475" i="30"/>
  <c r="N475" i="30"/>
  <c r="K476" i="30"/>
  <c r="N476" i="30"/>
  <c r="K477" i="30"/>
  <c r="N477" i="30"/>
  <c r="K478" i="30"/>
  <c r="N478" i="30"/>
  <c r="K479" i="30"/>
  <c r="N479" i="30"/>
  <c r="K480" i="30"/>
  <c r="N480" i="30"/>
  <c r="K481" i="30"/>
  <c r="N481" i="30"/>
  <c r="K482" i="30"/>
  <c r="N482" i="30"/>
  <c r="K483" i="30"/>
  <c r="N483" i="30"/>
  <c r="K484" i="30"/>
  <c r="N484" i="30"/>
  <c r="K485" i="30"/>
  <c r="N485" i="30"/>
  <c r="K486" i="30"/>
  <c r="N486" i="30"/>
  <c r="K487" i="30"/>
  <c r="N487" i="30"/>
  <c r="K488" i="30"/>
  <c r="N488" i="30"/>
  <c r="K489" i="30"/>
  <c r="N489" i="30"/>
  <c r="K490" i="30"/>
  <c r="N490" i="30"/>
  <c r="K491" i="30"/>
  <c r="N491" i="30"/>
  <c r="K492" i="30"/>
  <c r="N492" i="30"/>
  <c r="K493" i="30"/>
  <c r="N493" i="30"/>
  <c r="K494" i="30"/>
  <c r="N494" i="30"/>
  <c r="K495" i="30"/>
  <c r="N495" i="30"/>
  <c r="K496" i="30"/>
  <c r="N496" i="30"/>
  <c r="K497" i="30"/>
  <c r="N497" i="30"/>
  <c r="K498" i="30"/>
  <c r="N498" i="30"/>
  <c r="K499" i="30"/>
  <c r="N499" i="30"/>
  <c r="K500" i="30"/>
  <c r="N500" i="30"/>
  <c r="K501" i="30"/>
  <c r="N501" i="30"/>
  <c r="K502" i="30"/>
  <c r="N502" i="30"/>
  <c r="K503" i="30"/>
  <c r="N503" i="30"/>
  <c r="K504" i="30"/>
  <c r="N504" i="30"/>
  <c r="K505" i="30"/>
  <c r="N505" i="30"/>
  <c r="K506" i="30"/>
  <c r="N506" i="30"/>
  <c r="K507" i="30"/>
  <c r="N507" i="30"/>
  <c r="K508" i="30"/>
  <c r="N508" i="30"/>
  <c r="K509" i="30"/>
  <c r="N509" i="30"/>
  <c r="K510" i="30"/>
  <c r="N510" i="30"/>
  <c r="K511" i="30"/>
  <c r="N511" i="30"/>
  <c r="K512" i="30"/>
  <c r="N512" i="30"/>
  <c r="K513" i="30"/>
  <c r="N513" i="30"/>
  <c r="K514" i="30"/>
  <c r="N514" i="30"/>
  <c r="K515" i="30"/>
  <c r="N515" i="30"/>
  <c r="K516" i="30"/>
  <c r="N516" i="30"/>
  <c r="K517" i="30"/>
  <c r="N517" i="30"/>
  <c r="K518" i="30"/>
  <c r="N518" i="30"/>
  <c r="K519" i="30"/>
  <c r="N519" i="30"/>
  <c r="K520" i="30"/>
  <c r="N520" i="30"/>
  <c r="K521" i="30"/>
  <c r="N521" i="30"/>
  <c r="K522" i="30"/>
  <c r="N522" i="30"/>
  <c r="K523" i="30"/>
  <c r="N523" i="30"/>
  <c r="K524" i="30"/>
  <c r="N524" i="30"/>
  <c r="K525" i="30"/>
  <c r="N525" i="30"/>
  <c r="K526" i="30"/>
  <c r="N526" i="30"/>
  <c r="K527" i="30"/>
  <c r="N527" i="30"/>
  <c r="K528" i="30"/>
  <c r="N528" i="30"/>
  <c r="K529" i="30"/>
  <c r="N529" i="30"/>
  <c r="K530" i="30"/>
  <c r="N530" i="30"/>
  <c r="K531" i="30"/>
  <c r="N531" i="30"/>
  <c r="K532" i="30"/>
  <c r="N532" i="30"/>
  <c r="K533" i="30"/>
  <c r="N533" i="30"/>
  <c r="K534" i="30"/>
  <c r="N534" i="30"/>
  <c r="K535" i="30"/>
  <c r="N535" i="30"/>
  <c r="K536" i="30"/>
  <c r="N536" i="30"/>
  <c r="K537" i="30"/>
  <c r="N537" i="30"/>
  <c r="K538" i="30"/>
  <c r="N538" i="30"/>
  <c r="K539" i="30"/>
  <c r="N539" i="30"/>
  <c r="K540" i="30"/>
  <c r="N540" i="30"/>
  <c r="K541" i="30"/>
  <c r="N541" i="30"/>
  <c r="K542" i="30"/>
  <c r="N542" i="30"/>
  <c r="K543" i="30"/>
  <c r="N543" i="30"/>
  <c r="K544" i="30"/>
  <c r="N544" i="30"/>
  <c r="K545" i="30"/>
  <c r="N545" i="30"/>
  <c r="K546" i="30"/>
  <c r="N546" i="30"/>
  <c r="K547" i="30"/>
  <c r="N547" i="30"/>
  <c r="K548" i="30"/>
  <c r="N548" i="30"/>
  <c r="K549" i="30"/>
  <c r="N549" i="30"/>
  <c r="K550" i="30"/>
  <c r="N550" i="30"/>
  <c r="K551" i="30"/>
  <c r="N551" i="30"/>
  <c r="K552" i="30"/>
  <c r="N552" i="30"/>
  <c r="K553" i="30"/>
  <c r="N553" i="30"/>
  <c r="D48" i="5"/>
  <c r="E48" i="5"/>
  <c r="F48" i="5"/>
  <c r="D49" i="5"/>
  <c r="E49" i="5"/>
  <c r="F49" i="5"/>
  <c r="Y2" i="25"/>
  <c r="Z2" i="25"/>
  <c r="AE2" i="25"/>
  <c r="AF2" i="25"/>
  <c r="AK2" i="25"/>
  <c r="AL2" i="25"/>
  <c r="AU2" i="25"/>
  <c r="AV2" i="25"/>
  <c r="Y3" i="25"/>
  <c r="Z3" i="25"/>
  <c r="AE3" i="25"/>
  <c r="AF3" i="25"/>
  <c r="AK3" i="25"/>
  <c r="AL3" i="25"/>
  <c r="AU3" i="25"/>
  <c r="AV3" i="25"/>
  <c r="Y4" i="25"/>
  <c r="Z4" i="25"/>
  <c r="AE4" i="25"/>
  <c r="AF4" i="25"/>
  <c r="AK4" i="25"/>
  <c r="AL4" i="25"/>
  <c r="AU4" i="25"/>
  <c r="AV4" i="25"/>
  <c r="Y5" i="25"/>
  <c r="Z5" i="25"/>
  <c r="AE5" i="25"/>
  <c r="AF5" i="25"/>
  <c r="AK5" i="25"/>
  <c r="AL5" i="25"/>
  <c r="AU5" i="25"/>
  <c r="AV5" i="25"/>
  <c r="Y6" i="25"/>
  <c r="Z6" i="25"/>
  <c r="AE6" i="25"/>
  <c r="AF6" i="25"/>
  <c r="AK6" i="25"/>
  <c r="AL6" i="25"/>
  <c r="AU6" i="25"/>
  <c r="AV6" i="25"/>
  <c r="Y7" i="25"/>
  <c r="Z7" i="25"/>
  <c r="AE7" i="25"/>
  <c r="AF7" i="25"/>
  <c r="AK7" i="25"/>
  <c r="AL7" i="25"/>
  <c r="AU7" i="25"/>
  <c r="AV7" i="25"/>
  <c r="Y8" i="25"/>
  <c r="Z8" i="25"/>
  <c r="AE8" i="25"/>
  <c r="AF8" i="25"/>
  <c r="AK8" i="25"/>
  <c r="AL8" i="25"/>
  <c r="AU8" i="25"/>
  <c r="AV8" i="25"/>
  <c r="Y9" i="25"/>
  <c r="Z9" i="25"/>
  <c r="AE9" i="25"/>
  <c r="AF9" i="25"/>
  <c r="AK9" i="25"/>
  <c r="AL9" i="25"/>
  <c r="AU9" i="25"/>
  <c r="AV9" i="25"/>
  <c r="Y10" i="25"/>
  <c r="Z10" i="25"/>
  <c r="AE10" i="25"/>
  <c r="AF10" i="25"/>
  <c r="Y11" i="25"/>
  <c r="Z11" i="25"/>
  <c r="AE11" i="25"/>
  <c r="AF11" i="25"/>
  <c r="Y12" i="25"/>
  <c r="Z12" i="25"/>
  <c r="AE12" i="25"/>
  <c r="AF12" i="25"/>
  <c r="Y13" i="25"/>
  <c r="Z13" i="25"/>
  <c r="AE13" i="25"/>
  <c r="AF13" i="25"/>
  <c r="Y14" i="25"/>
  <c r="Z14" i="25"/>
  <c r="AE14" i="25"/>
  <c r="AF14" i="25"/>
  <c r="Y15" i="25"/>
  <c r="Z15" i="25"/>
  <c r="AE15" i="25"/>
  <c r="AF15" i="25"/>
  <c r="Y16" i="25"/>
  <c r="Z16" i="25"/>
  <c r="AE16" i="25"/>
  <c r="AF16" i="25"/>
  <c r="Y17" i="25"/>
  <c r="Z17" i="25"/>
  <c r="AE17" i="25"/>
  <c r="AF17" i="25"/>
  <c r="Y18" i="25"/>
  <c r="Z18" i="25"/>
  <c r="AE18" i="25"/>
  <c r="AF18" i="25"/>
  <c r="Y19" i="25"/>
  <c r="Z19" i="25"/>
  <c r="AE19" i="25"/>
  <c r="AF19" i="25"/>
  <c r="Y20" i="25"/>
  <c r="Z20" i="25"/>
  <c r="AE20" i="25"/>
  <c r="AF20" i="25"/>
  <c r="Y21" i="25"/>
  <c r="Z21" i="25"/>
  <c r="AE21" i="25"/>
  <c r="AF21" i="25"/>
  <c r="Y22" i="25"/>
  <c r="Z22" i="25"/>
  <c r="AE22" i="25"/>
  <c r="AF22" i="25"/>
  <c r="Y23" i="25"/>
  <c r="Z23" i="25"/>
  <c r="AE23" i="25"/>
  <c r="AF23" i="25"/>
  <c r="Y24" i="25"/>
  <c r="Z24" i="25"/>
  <c r="AE24" i="25"/>
  <c r="AF24" i="25"/>
  <c r="Y25" i="25"/>
  <c r="Z25" i="25"/>
  <c r="AE25" i="25"/>
  <c r="AF25" i="25"/>
  <c r="Y26" i="25"/>
  <c r="AE26" i="25"/>
  <c r="Y27" i="25"/>
  <c r="AE27" i="25"/>
  <c r="Y28" i="25"/>
  <c r="AE28" i="25"/>
  <c r="Y29" i="25"/>
  <c r="AE29" i="25"/>
  <c r="Y30" i="25"/>
  <c r="AE30" i="25"/>
  <c r="Y31" i="25"/>
  <c r="AE31" i="25"/>
  <c r="Y32" i="25"/>
  <c r="AE32" i="25"/>
  <c r="Y33" i="25"/>
  <c r="AE33" i="25"/>
  <c r="Y34" i="25"/>
  <c r="AE34" i="25"/>
  <c r="Y35" i="25"/>
  <c r="AE35" i="25"/>
  <c r="Y36" i="25"/>
  <c r="AE36" i="25"/>
  <c r="Y37" i="25"/>
  <c r="AE37" i="25"/>
  <c r="Z38" i="25"/>
  <c r="AF38" i="25"/>
  <c r="Z39" i="25"/>
  <c r="AF39" i="25"/>
  <c r="Z40" i="25"/>
  <c r="AF40" i="25"/>
  <c r="Z41" i="25"/>
  <c r="AF41" i="25"/>
  <c r="Z42" i="25"/>
  <c r="AF42" i="25"/>
  <c r="Z43" i="25"/>
  <c r="AF43" i="25"/>
  <c r="Z44" i="25"/>
  <c r="AF44" i="25"/>
  <c r="Z45" i="25"/>
  <c r="AF45" i="25"/>
  <c r="Z46" i="25"/>
  <c r="AF46" i="25"/>
  <c r="Z47" i="25"/>
  <c r="AF47" i="25"/>
  <c r="Z48" i="25"/>
  <c r="AF48" i="25"/>
  <c r="Z49" i="25"/>
  <c r="AF49" i="25"/>
  <c r="Y50" i="25"/>
  <c r="AE50" i="25"/>
  <c r="Y51" i="25"/>
  <c r="AE51" i="25"/>
  <c r="Y52" i="25"/>
  <c r="AE52" i="25"/>
  <c r="Y53" i="25"/>
  <c r="AE53" i="25"/>
  <c r="Y54" i="25"/>
  <c r="AE54" i="25"/>
  <c r="Y55" i="25"/>
  <c r="AE55" i="25"/>
  <c r="Y56" i="25"/>
  <c r="AE56" i="25"/>
  <c r="Y57" i="25"/>
  <c r="AE57" i="25"/>
  <c r="Y58" i="25"/>
  <c r="AE58" i="25"/>
  <c r="Y59" i="25"/>
  <c r="AE59" i="25"/>
  <c r="Y60" i="25"/>
  <c r="AE60" i="25"/>
  <c r="Y61" i="25"/>
  <c r="AE61" i="25"/>
  <c r="Z62" i="25"/>
  <c r="AF62" i="25"/>
  <c r="Z63" i="25"/>
  <c r="AF63" i="25"/>
  <c r="Z64" i="25"/>
  <c r="AF64" i="25"/>
  <c r="Z65" i="25"/>
  <c r="AF65" i="25"/>
  <c r="Z66" i="25"/>
  <c r="AF66" i="25"/>
  <c r="Z67" i="25"/>
  <c r="AF67" i="25"/>
  <c r="Z68" i="25"/>
  <c r="AF68" i="25"/>
  <c r="Z69" i="25"/>
  <c r="AF69" i="25"/>
  <c r="Z70" i="25"/>
  <c r="AF70" i="25"/>
  <c r="Z71" i="25"/>
  <c r="AF71" i="25"/>
  <c r="Z72" i="25"/>
  <c r="AF72" i="25"/>
  <c r="Z73" i="25"/>
  <c r="AF73" i="25"/>
  <c r="Z74" i="25"/>
  <c r="AF74" i="25"/>
  <c r="Z75" i="25"/>
  <c r="AF75" i="25"/>
  <c r="Z76" i="25"/>
  <c r="AF76" i="25"/>
  <c r="Z77" i="25"/>
  <c r="AF77" i="25"/>
  <c r="Z78" i="25"/>
  <c r="AF78" i="25"/>
  <c r="Z79" i="25"/>
  <c r="AF79" i="25"/>
  <c r="Z80" i="25"/>
  <c r="AF80" i="25"/>
  <c r="Z81" i="25"/>
  <c r="AF81" i="25"/>
  <c r="Z82" i="25"/>
  <c r="AF82" i="25"/>
  <c r="Z83" i="25"/>
  <c r="AF83" i="25"/>
  <c r="Z84" i="25"/>
  <c r="AF84" i="25"/>
  <c r="Z85" i="25"/>
  <c r="AF85" i="25"/>
  <c r="Z86" i="25"/>
  <c r="AF86" i="25"/>
  <c r="Z87" i="25"/>
  <c r="AF87" i="25"/>
  <c r="Z88" i="25"/>
  <c r="AF88" i="25"/>
  <c r="Z89" i="25"/>
  <c r="AF89" i="25"/>
  <c r="Z90" i="25"/>
  <c r="AF90" i="25"/>
  <c r="Z91" i="25"/>
  <c r="AF91" i="25"/>
  <c r="Z92" i="25"/>
  <c r="AF92" i="25"/>
  <c r="Z93" i="25"/>
  <c r="AF93" i="25"/>
  <c r="Y94" i="25"/>
  <c r="AE94" i="25"/>
  <c r="Y95" i="25"/>
  <c r="AE95" i="25"/>
  <c r="Y96" i="25"/>
  <c r="AE96" i="25"/>
  <c r="Y97" i="25"/>
  <c r="AE97" i="25"/>
  <c r="Y98" i="25"/>
  <c r="AE98" i="25"/>
  <c r="Y99" i="25"/>
  <c r="AE99" i="25"/>
  <c r="Y100" i="25"/>
  <c r="AE100" i="25"/>
  <c r="Y101" i="25"/>
  <c r="AE101" i="25"/>
  <c r="Y102" i="25"/>
  <c r="AE102" i="25"/>
  <c r="Y103" i="25"/>
  <c r="AE103" i="25"/>
  <c r="Y104" i="25"/>
  <c r="AE104" i="25"/>
  <c r="Y105" i="25"/>
  <c r="AE105" i="25"/>
  <c r="Y106" i="25"/>
  <c r="AE106" i="25"/>
  <c r="Y107" i="25"/>
  <c r="AE107" i="25"/>
  <c r="Y108" i="25"/>
  <c r="AE108" i="25"/>
  <c r="Y109" i="25"/>
  <c r="AE109" i="25"/>
  <c r="Y110" i="25"/>
  <c r="AE110" i="25"/>
  <c r="Y111" i="25"/>
  <c r="AE111" i="25"/>
  <c r="Y112" i="25"/>
  <c r="AE112" i="25"/>
  <c r="Y113" i="25"/>
  <c r="AE113" i="25"/>
  <c r="Y114" i="25"/>
  <c r="AE114" i="25"/>
  <c r="Y115" i="25"/>
  <c r="AE115" i="25"/>
  <c r="Y116" i="25"/>
  <c r="AE116" i="25"/>
  <c r="Y117" i="25"/>
  <c r="AE117" i="25"/>
  <c r="Z118" i="25"/>
  <c r="AF118" i="25"/>
  <c r="Z119" i="25"/>
  <c r="AF119" i="25"/>
  <c r="Z120" i="25"/>
  <c r="AF120" i="25"/>
  <c r="Z121" i="25"/>
  <c r="AF121" i="25"/>
  <c r="Z122" i="25"/>
  <c r="AF122" i="25"/>
  <c r="Z123" i="25"/>
  <c r="AF123" i="25"/>
  <c r="Z124" i="25"/>
  <c r="AF124" i="25"/>
  <c r="Z125" i="25"/>
  <c r="AF125" i="25"/>
  <c r="Z126" i="25"/>
  <c r="AF126" i="25"/>
  <c r="Z127" i="25"/>
  <c r="AF127" i="25"/>
  <c r="Z128" i="25"/>
  <c r="AF128" i="25"/>
  <c r="Z129" i="25"/>
  <c r="AF129" i="25"/>
  <c r="Z130" i="25"/>
  <c r="AF130" i="25"/>
  <c r="Z131" i="25"/>
  <c r="AF131" i="25"/>
  <c r="Z132" i="25"/>
  <c r="AF132" i="25"/>
  <c r="Z133" i="25"/>
  <c r="AF133" i="25"/>
  <c r="Z134" i="25"/>
  <c r="AF134" i="25"/>
  <c r="Z135" i="25"/>
  <c r="AF135" i="25"/>
  <c r="Z136" i="25"/>
  <c r="AF136" i="25"/>
  <c r="Z137" i="25"/>
  <c r="AF137" i="25"/>
  <c r="Z138" i="25"/>
  <c r="AF138" i="25"/>
  <c r="Z139" i="25"/>
  <c r="AF139" i="25"/>
  <c r="Z140" i="25"/>
  <c r="AF140" i="25"/>
  <c r="Z141" i="25"/>
  <c r="AF141" i="25"/>
  <c r="Z142" i="25"/>
  <c r="AF142" i="25"/>
  <c r="Z143" i="25"/>
  <c r="AF143" i="25"/>
  <c r="Z144" i="25"/>
  <c r="AF144" i="25"/>
  <c r="Z145" i="25"/>
  <c r="AF145" i="25"/>
  <c r="Z146" i="25"/>
  <c r="AF146" i="25"/>
  <c r="Z147" i="25"/>
  <c r="AF147" i="25"/>
  <c r="Z148" i="25"/>
  <c r="AF148" i="25"/>
  <c r="Z149" i="25"/>
  <c r="AF149" i="25"/>
  <c r="Z150" i="25"/>
  <c r="AF150" i="25"/>
  <c r="Z151" i="25"/>
  <c r="AF151" i="25"/>
  <c r="Z152" i="25"/>
  <c r="AF152" i="25"/>
  <c r="Z153" i="25"/>
  <c r="AF153" i="25"/>
  <c r="Z154" i="25"/>
  <c r="AF154" i="25"/>
  <c r="Z155" i="25"/>
  <c r="AF155" i="25"/>
  <c r="Z156" i="25"/>
  <c r="AF156" i="25"/>
  <c r="Z157" i="25"/>
  <c r="AF157" i="25"/>
  <c r="Z158" i="25"/>
  <c r="AF158" i="25"/>
  <c r="Z159" i="25"/>
  <c r="AF159" i="25"/>
  <c r="Z160" i="25"/>
  <c r="AF160" i="25"/>
  <c r="Y161" i="25"/>
  <c r="AE161" i="25"/>
  <c r="Y162" i="25"/>
  <c r="AE162" i="25"/>
  <c r="Y163" i="25"/>
  <c r="AE163" i="25"/>
  <c r="Y164" i="25"/>
  <c r="AE164" i="25"/>
  <c r="Y165" i="25"/>
  <c r="AE165" i="25"/>
  <c r="Y166" i="25"/>
  <c r="AE166" i="25"/>
  <c r="Y167" i="25"/>
  <c r="AE167" i="25"/>
  <c r="Y168" i="25"/>
  <c r="AE168" i="25"/>
  <c r="Y169" i="25"/>
  <c r="AE169" i="25"/>
  <c r="Y170" i="25"/>
  <c r="AE170" i="25"/>
  <c r="Y171" i="25"/>
  <c r="AE171" i="25"/>
  <c r="Y172" i="25"/>
  <c r="AE172" i="25"/>
  <c r="Y173" i="25"/>
  <c r="AE173" i="25"/>
  <c r="Y174" i="25"/>
  <c r="AE174" i="25"/>
  <c r="Y175" i="25"/>
  <c r="AE175" i="25"/>
  <c r="Y176" i="25"/>
  <c r="AE176" i="25"/>
  <c r="Y177" i="25"/>
  <c r="AE177" i="25"/>
  <c r="Y178" i="25"/>
  <c r="AE178" i="25"/>
  <c r="Y179" i="25"/>
  <c r="AE179" i="25"/>
  <c r="Y180" i="25"/>
  <c r="AE180" i="25"/>
  <c r="Y181" i="25"/>
  <c r="AE181" i="25"/>
  <c r="Y182" i="25"/>
  <c r="AE182" i="25"/>
  <c r="Y183" i="25"/>
  <c r="AE183" i="25"/>
  <c r="Y184" i="25"/>
  <c r="AE184" i="25"/>
  <c r="Z185" i="25"/>
  <c r="AF185" i="25"/>
  <c r="Z186" i="25"/>
  <c r="AF186" i="25"/>
  <c r="Z187" i="25"/>
  <c r="AF187" i="25"/>
  <c r="Z188" i="25"/>
  <c r="AF188" i="25"/>
  <c r="Z189" i="25"/>
  <c r="AF189" i="25"/>
  <c r="Z190" i="25"/>
  <c r="AF190" i="25"/>
  <c r="Z191" i="25"/>
  <c r="AF191" i="25"/>
  <c r="Z192" i="25"/>
  <c r="AF192" i="25"/>
  <c r="Z193" i="25"/>
  <c r="AF193" i="25"/>
  <c r="Z194" i="25"/>
  <c r="AF194" i="25"/>
  <c r="Z195" i="25"/>
  <c r="AF195" i="25"/>
  <c r="Z196" i="25"/>
  <c r="AF196" i="25"/>
  <c r="Z197" i="25"/>
  <c r="AF197" i="25"/>
  <c r="Z198" i="25"/>
  <c r="AF198" i="25"/>
  <c r="Z199" i="25"/>
  <c r="AF199" i="25"/>
  <c r="Z200" i="25"/>
  <c r="AF200" i="25"/>
  <c r="Z201" i="25"/>
  <c r="AF201" i="25"/>
  <c r="Z202" i="25"/>
  <c r="AF202" i="25"/>
  <c r="Z203" i="25"/>
  <c r="AF203" i="25"/>
  <c r="Z204" i="25"/>
  <c r="AF204" i="25"/>
  <c r="Z205" i="25"/>
  <c r="AF205" i="25"/>
  <c r="Z206" i="25"/>
  <c r="AF206" i="25"/>
  <c r="Z207" i="25"/>
  <c r="AF207" i="25"/>
  <c r="Z208" i="25"/>
  <c r="AF208" i="25"/>
  <c r="Z209" i="25"/>
  <c r="AF209" i="25"/>
  <c r="Z210" i="25"/>
  <c r="AF210" i="25"/>
  <c r="Z211" i="25"/>
  <c r="AF211" i="25"/>
  <c r="Z212" i="25"/>
  <c r="AF212" i="25"/>
  <c r="Z213" i="25"/>
  <c r="AF213" i="25"/>
  <c r="Z214" i="25"/>
  <c r="AF214" i="25"/>
  <c r="Z215" i="25"/>
  <c r="AF215" i="25"/>
  <c r="Z216" i="25"/>
  <c r="AF216" i="25"/>
  <c r="Z217" i="25"/>
  <c r="AF217" i="25"/>
  <c r="Y218" i="25"/>
  <c r="AE218" i="25"/>
  <c r="Y219" i="25"/>
  <c r="AE219" i="25"/>
  <c r="Y220" i="25"/>
  <c r="AE220" i="25"/>
  <c r="Y221" i="25"/>
  <c r="AE221" i="25"/>
  <c r="Y222" i="25"/>
  <c r="AE222" i="25"/>
  <c r="Y223" i="25"/>
  <c r="AE223" i="25"/>
  <c r="Y224" i="25"/>
  <c r="AE224" i="25"/>
  <c r="Y225" i="25"/>
  <c r="AE225" i="25"/>
  <c r="Y226" i="25"/>
  <c r="AE226" i="25"/>
  <c r="Y227" i="25"/>
  <c r="AE227" i="25"/>
  <c r="Y228" i="25"/>
  <c r="AE228" i="25"/>
  <c r="Y229" i="25"/>
  <c r="AE229" i="25"/>
  <c r="Z230" i="25"/>
  <c r="AF230" i="25"/>
  <c r="Z231" i="25"/>
  <c r="AF231" i="25"/>
  <c r="Z232" i="25"/>
  <c r="AF232" i="25"/>
  <c r="Z233" i="25"/>
  <c r="AF233" i="25"/>
  <c r="Z234" i="25"/>
  <c r="AF234" i="25"/>
  <c r="Z235" i="25"/>
  <c r="AF235" i="25"/>
  <c r="Z236" i="25"/>
  <c r="AF236" i="25"/>
  <c r="Z237" i="25"/>
  <c r="AF237" i="25"/>
  <c r="Z238" i="25"/>
  <c r="AF238" i="25"/>
  <c r="Z239" i="25"/>
  <c r="AF239" i="25"/>
  <c r="Z240" i="25"/>
  <c r="AF240" i="25"/>
  <c r="Z241" i="25"/>
  <c r="AF241" i="25"/>
  <c r="Z242" i="25"/>
  <c r="AF242" i="25"/>
  <c r="Z243" i="25"/>
  <c r="AF243" i="25"/>
  <c r="Z244" i="25"/>
  <c r="AF244" i="25"/>
  <c r="Z245" i="25"/>
  <c r="AF245" i="25"/>
  <c r="Z246" i="25"/>
  <c r="AF246" i="25"/>
  <c r="Z247" i="25"/>
  <c r="AF247" i="25"/>
  <c r="Z248" i="25"/>
  <c r="AF248" i="25"/>
  <c r="Z249" i="25"/>
  <c r="AF249" i="25"/>
  <c r="Z250" i="25"/>
  <c r="AF250" i="25"/>
  <c r="Z251" i="25"/>
  <c r="AF251" i="25"/>
  <c r="Z252" i="25"/>
  <c r="AF252" i="25"/>
  <c r="Z253" i="25"/>
  <c r="AF253" i="25"/>
  <c r="Z254" i="25"/>
  <c r="AF254" i="25"/>
  <c r="Z255" i="25"/>
  <c r="AF255" i="25"/>
  <c r="Z256" i="25"/>
  <c r="AF256" i="25"/>
  <c r="Z257" i="25"/>
  <c r="AF257" i="25"/>
  <c r="Z258" i="25"/>
  <c r="AF258" i="25"/>
  <c r="Z259" i="25"/>
  <c r="AF259" i="25"/>
  <c r="Z260" i="25"/>
  <c r="AF260" i="25"/>
  <c r="Z261" i="25"/>
  <c r="AF261" i="25"/>
  <c r="Z262" i="25"/>
  <c r="AF262" i="25"/>
  <c r="Z263" i="25"/>
  <c r="AF263" i="25"/>
  <c r="Z264" i="25"/>
  <c r="AF264" i="25"/>
  <c r="Z265" i="25"/>
  <c r="AF265" i="25"/>
  <c r="Z266" i="25"/>
  <c r="AF266" i="25"/>
  <c r="Z267" i="25"/>
  <c r="AF267" i="25"/>
  <c r="Z268" i="25"/>
  <c r="AF268" i="25"/>
  <c r="Z269" i="25"/>
  <c r="AF269" i="25"/>
  <c r="Z270" i="25"/>
  <c r="AF270" i="25"/>
  <c r="Z271" i="25"/>
  <c r="AF271" i="25"/>
  <c r="Z272" i="25"/>
  <c r="AF272" i="25"/>
  <c r="Z273" i="25"/>
  <c r="AF273" i="25"/>
  <c r="Z274" i="25"/>
  <c r="AF274" i="25"/>
  <c r="Z275" i="25"/>
  <c r="AF275" i="25"/>
  <c r="Z276" i="25"/>
  <c r="AF276" i="25"/>
  <c r="Z277" i="25"/>
  <c r="AF277" i="25"/>
  <c r="Z278" i="25"/>
  <c r="AF278" i="25"/>
  <c r="Z279" i="25"/>
  <c r="AF279" i="25"/>
  <c r="Z280" i="25"/>
  <c r="AF280" i="25"/>
  <c r="Z281" i="25"/>
  <c r="AF281" i="25"/>
  <c r="Z282" i="25"/>
  <c r="AF282" i="25"/>
  <c r="Z283" i="25"/>
  <c r="AF283" i="25"/>
  <c r="Z284" i="25"/>
  <c r="AF284" i="25"/>
  <c r="Z285" i="25"/>
  <c r="AF285" i="25"/>
  <c r="Z286" i="25"/>
  <c r="AF286" i="25"/>
  <c r="Z287" i="25"/>
  <c r="AF287" i="25"/>
  <c r="Z288" i="25"/>
  <c r="AF288" i="25"/>
  <c r="Z289" i="25"/>
  <c r="AF289" i="25"/>
  <c r="Z290" i="25"/>
  <c r="AF290" i="25"/>
  <c r="Z291" i="25"/>
  <c r="AF291" i="25"/>
  <c r="Z292" i="25"/>
  <c r="AF292" i="25"/>
  <c r="Z293" i="25"/>
  <c r="AF293" i="25"/>
  <c r="Z294" i="25"/>
  <c r="AF294" i="25"/>
  <c r="Z295" i="25"/>
  <c r="AF295" i="25"/>
  <c r="Z296" i="25"/>
  <c r="AF296" i="25"/>
  <c r="Z297" i="25"/>
  <c r="AF297" i="25"/>
  <c r="Z298" i="25"/>
  <c r="AF298" i="25"/>
  <c r="Z299" i="25"/>
  <c r="AF299" i="25"/>
  <c r="Z300" i="25"/>
  <c r="AF300" i="25"/>
  <c r="Z301" i="25"/>
  <c r="AF301" i="25"/>
  <c r="Z302" i="25"/>
  <c r="AF302" i="25"/>
  <c r="Z303" i="25"/>
  <c r="AF303" i="25"/>
  <c r="Z304" i="25"/>
  <c r="AF304" i="25"/>
  <c r="Z305" i="25"/>
  <c r="AF305" i="25"/>
  <c r="Z306" i="25"/>
  <c r="AF306" i="25"/>
  <c r="Z307" i="25"/>
  <c r="AF307" i="25"/>
  <c r="Z308" i="25"/>
  <c r="AF308" i="25"/>
  <c r="Z309" i="25"/>
  <c r="AF309" i="25"/>
  <c r="Z310" i="25"/>
  <c r="AF310" i="25"/>
  <c r="Z311" i="25"/>
  <c r="AF311" i="25"/>
  <c r="Z312" i="25"/>
  <c r="AF312" i="25"/>
  <c r="Z313" i="25"/>
  <c r="AF313" i="25"/>
  <c r="Z314" i="25"/>
  <c r="AF314" i="25"/>
  <c r="Z315" i="25"/>
  <c r="AF315" i="25"/>
  <c r="Z316" i="25"/>
  <c r="AF316" i="25"/>
  <c r="Z317" i="25"/>
  <c r="AF317" i="25"/>
  <c r="Z318" i="25"/>
  <c r="AF318" i="25"/>
  <c r="Z319" i="25"/>
  <c r="AF319" i="25"/>
  <c r="Z320" i="25"/>
  <c r="AF320" i="25"/>
  <c r="Z321" i="25"/>
  <c r="AF321" i="25"/>
  <c r="Z322" i="25"/>
  <c r="AF322" i="25"/>
  <c r="Z323" i="25"/>
  <c r="AF323" i="25"/>
  <c r="Z324" i="25"/>
  <c r="AF324" i="25"/>
  <c r="Z325" i="25"/>
  <c r="AF325" i="25"/>
  <c r="Z326" i="25"/>
  <c r="AF326" i="25"/>
  <c r="Z327" i="25"/>
  <c r="AF327" i="25"/>
  <c r="Z328" i="25"/>
  <c r="AF328" i="25"/>
  <c r="Z329" i="25"/>
  <c r="AF329" i="25"/>
  <c r="Z330" i="25"/>
  <c r="AF330" i="25"/>
  <c r="Z331" i="25"/>
  <c r="AF331" i="25"/>
  <c r="Z332" i="25"/>
  <c r="AF332" i="25"/>
  <c r="Z333" i="25"/>
  <c r="AF333" i="25"/>
  <c r="Z334" i="25"/>
  <c r="AF334" i="25"/>
  <c r="Z335" i="25"/>
  <c r="AF335" i="25"/>
  <c r="Z336" i="25"/>
  <c r="AF336" i="25"/>
  <c r="Z337" i="25"/>
  <c r="AF337" i="25"/>
  <c r="Z338" i="25"/>
  <c r="AF338" i="25"/>
  <c r="Z339" i="25"/>
  <c r="AF339" i="25"/>
  <c r="Z340" i="25"/>
  <c r="AF340" i="25"/>
  <c r="Z341" i="25"/>
  <c r="AF341" i="25"/>
  <c r="Z342" i="25"/>
  <c r="AF342" i="25"/>
  <c r="Z343" i="25"/>
  <c r="AF343" i="25"/>
  <c r="Z344" i="25"/>
  <c r="AF344" i="25"/>
  <c r="Z345" i="25"/>
  <c r="AF345" i="25"/>
  <c r="Z346" i="25"/>
  <c r="AF346" i="25"/>
  <c r="Z347" i="25"/>
  <c r="AF347" i="25"/>
  <c r="Z348" i="25"/>
  <c r="AF348" i="25"/>
  <c r="Z349" i="25"/>
  <c r="AF349" i="25"/>
  <c r="Z350" i="25"/>
  <c r="AF350" i="25"/>
  <c r="Z351" i="25"/>
  <c r="AF351" i="25"/>
  <c r="Z352" i="25"/>
  <c r="AF352" i="25"/>
  <c r="Z353" i="25"/>
  <c r="AF353" i="25"/>
  <c r="Z354" i="25"/>
  <c r="AF354" i="25"/>
  <c r="Z355" i="25"/>
  <c r="AF355" i="25"/>
  <c r="Z356" i="25"/>
  <c r="AF356" i="25"/>
  <c r="Z357" i="25"/>
  <c r="AF357" i="25"/>
  <c r="Z358" i="25"/>
  <c r="AF358" i="25"/>
  <c r="Z359" i="25"/>
  <c r="AF359" i="25"/>
  <c r="Z360" i="25"/>
  <c r="AF360" i="25"/>
  <c r="Z361" i="25"/>
  <c r="AF361" i="25"/>
  <c r="Z362" i="25"/>
  <c r="AF362" i="25"/>
  <c r="Z363" i="25"/>
  <c r="AF363" i="25"/>
  <c r="Z364" i="25"/>
  <c r="AF364" i="25"/>
  <c r="Z365" i="25"/>
  <c r="AF365" i="25"/>
  <c r="Z366" i="25"/>
  <c r="AF366" i="25"/>
  <c r="Z367" i="25"/>
  <c r="AF367" i="25"/>
  <c r="Z368" i="25"/>
  <c r="AF368" i="25"/>
  <c r="Z369" i="25"/>
  <c r="AF369" i="25"/>
  <c r="Z370" i="25"/>
  <c r="AF370" i="25"/>
  <c r="Z371" i="25"/>
  <c r="AF371" i="25"/>
  <c r="Z372" i="25"/>
  <c r="AF372" i="25"/>
  <c r="Z373" i="25"/>
  <c r="AF373" i="25"/>
  <c r="Z374" i="25"/>
  <c r="AF374" i="25"/>
  <c r="Z375" i="25"/>
  <c r="AF375" i="25"/>
  <c r="Z376" i="25"/>
  <c r="AF376" i="25"/>
  <c r="Z377" i="25"/>
  <c r="AF377" i="25"/>
  <c r="Z378" i="25"/>
  <c r="AF378" i="25"/>
  <c r="Z379" i="25"/>
  <c r="AF379" i="25"/>
  <c r="Z380" i="25"/>
  <c r="AF380" i="25"/>
  <c r="Z381" i="25"/>
  <c r="AF381" i="25"/>
  <c r="Z382" i="25"/>
  <c r="AF382" i="25"/>
  <c r="Z383" i="25"/>
  <c r="AF383" i="25"/>
  <c r="Z384" i="25"/>
  <c r="AF384" i="25"/>
  <c r="Z385" i="25"/>
  <c r="AF385" i="25"/>
  <c r="Z386" i="25"/>
  <c r="AF386" i="25"/>
  <c r="Z387" i="25"/>
  <c r="AF387" i="25"/>
  <c r="Z388" i="25"/>
  <c r="AF388" i="25"/>
  <c r="Z389" i="25"/>
  <c r="AF389" i="25"/>
  <c r="Z390" i="25"/>
  <c r="AF390" i="25"/>
  <c r="Z391" i="25"/>
  <c r="AF391" i="25"/>
  <c r="Z392" i="25"/>
  <c r="AF392" i="25"/>
  <c r="Z393" i="25"/>
  <c r="AF393" i="25"/>
  <c r="Z394" i="25"/>
  <c r="AF394" i="25"/>
  <c r="Z395" i="25"/>
  <c r="AF395" i="25"/>
  <c r="Z396" i="25"/>
  <c r="AF396" i="25"/>
  <c r="Z397" i="25"/>
  <c r="AF397" i="25"/>
  <c r="Z398" i="25"/>
  <c r="AF398" i="25"/>
  <c r="Z399" i="25"/>
  <c r="AF399" i="25"/>
  <c r="Z400" i="25"/>
  <c r="AF400" i="25"/>
  <c r="Z401" i="25"/>
  <c r="AF401" i="25"/>
  <c r="Z402" i="25"/>
  <c r="AF402" i="25"/>
  <c r="Z403" i="25"/>
  <c r="AF403" i="25"/>
  <c r="Z404" i="25"/>
  <c r="AF404" i="25"/>
  <c r="Z405" i="25"/>
  <c r="AF405" i="25"/>
  <c r="Z406" i="25"/>
  <c r="AF406" i="25"/>
  <c r="Z407" i="25"/>
  <c r="AF407" i="25"/>
  <c r="Z408" i="25"/>
  <c r="AF408" i="25"/>
  <c r="Z409" i="25"/>
  <c r="AF409" i="25"/>
  <c r="Z410" i="25"/>
  <c r="AF410" i="25"/>
  <c r="Z411" i="25"/>
  <c r="AF411" i="25"/>
  <c r="Z412" i="25"/>
  <c r="AF412" i="25"/>
  <c r="Z413" i="25"/>
  <c r="AF413" i="25"/>
  <c r="Z414" i="25"/>
  <c r="AF414" i="25"/>
  <c r="Z415" i="25"/>
  <c r="AF415" i="25"/>
  <c r="Z416" i="25"/>
  <c r="AF416" i="25"/>
  <c r="Z417" i="25"/>
  <c r="AF417" i="25"/>
  <c r="Z418" i="25"/>
  <c r="AF418" i="25"/>
  <c r="Z419" i="25"/>
  <c r="AF419" i="25"/>
  <c r="Z420" i="25"/>
  <c r="AF420" i="25"/>
  <c r="Z421" i="25"/>
  <c r="AF421" i="25"/>
  <c r="Z422" i="25"/>
  <c r="AF422" i="25"/>
  <c r="Z423" i="25"/>
  <c r="AF423" i="25"/>
  <c r="Z424" i="25"/>
  <c r="AF424" i="25"/>
  <c r="Z425" i="25"/>
  <c r="AF425" i="25"/>
  <c r="Z426" i="25"/>
  <c r="AF426" i="25"/>
  <c r="Z427" i="25"/>
  <c r="AF427" i="25"/>
  <c r="Z428" i="25"/>
  <c r="AF428" i="25"/>
  <c r="Z429" i="25"/>
  <c r="AF429" i="25"/>
  <c r="Z430" i="25"/>
  <c r="AF430" i="25"/>
  <c r="Z431" i="25"/>
  <c r="AF431" i="25"/>
  <c r="Z432" i="25"/>
  <c r="AF432" i="25"/>
  <c r="Z433" i="25"/>
  <c r="AF433" i="25"/>
  <c r="Z434" i="25"/>
  <c r="AF434" i="25"/>
  <c r="Z435" i="25"/>
  <c r="AF435" i="25"/>
  <c r="Z436" i="25"/>
  <c r="AF436" i="25"/>
  <c r="Z437" i="25"/>
  <c r="AF437" i="25"/>
  <c r="Z438" i="25"/>
  <c r="AF438" i="25"/>
  <c r="Z439" i="25"/>
  <c r="AF439" i="25"/>
  <c r="Z440" i="25"/>
  <c r="AF440" i="25"/>
  <c r="Z441" i="25"/>
  <c r="AF441" i="25"/>
  <c r="Z442" i="25"/>
  <c r="AF442" i="25"/>
  <c r="Z443" i="25"/>
  <c r="AF443" i="25"/>
  <c r="Z444" i="25"/>
  <c r="AF444" i="25"/>
  <c r="Z445" i="25"/>
  <c r="AF445" i="25"/>
  <c r="Z446" i="25"/>
  <c r="AF446" i="25"/>
  <c r="Z447" i="25"/>
  <c r="AF447" i="25"/>
  <c r="Z448" i="25"/>
  <c r="AF448" i="25"/>
  <c r="Z449" i="25"/>
  <c r="AF449" i="25"/>
  <c r="Z450" i="25"/>
  <c r="AF450" i="25"/>
  <c r="Z451" i="25"/>
  <c r="AF451" i="25"/>
  <c r="Z452" i="25"/>
  <c r="AF452" i="25"/>
  <c r="Z453" i="25"/>
  <c r="AF453" i="25"/>
  <c r="Z454" i="25"/>
  <c r="AF454" i="25"/>
  <c r="Z455" i="25"/>
  <c r="AF455" i="25"/>
  <c r="Z456" i="25"/>
  <c r="AF456" i="25"/>
  <c r="Z457" i="25"/>
  <c r="AF457" i="25"/>
  <c r="Z458" i="25"/>
  <c r="AF458" i="25"/>
  <c r="Z459" i="25"/>
  <c r="AF459" i="25"/>
  <c r="Z460" i="25"/>
  <c r="AF460" i="25"/>
  <c r="Z461" i="25"/>
  <c r="AF461" i="25"/>
  <c r="Z462" i="25"/>
  <c r="AF462" i="25"/>
  <c r="Z463" i="25"/>
  <c r="AF463" i="25"/>
  <c r="Z464" i="25"/>
  <c r="AF464" i="25"/>
  <c r="Z465" i="25"/>
  <c r="AF465" i="25"/>
  <c r="Z466" i="25"/>
  <c r="AF466" i="25"/>
  <c r="Z467" i="25"/>
  <c r="AF467" i="25"/>
  <c r="Z468" i="25"/>
  <c r="AF468" i="25"/>
  <c r="Z469" i="25"/>
  <c r="AF469" i="25"/>
  <c r="Z470" i="25"/>
  <c r="AF470" i="25"/>
  <c r="Z471" i="25"/>
  <c r="AF471" i="25"/>
  <c r="Z472" i="25"/>
  <c r="AF472" i="25"/>
  <c r="Z473" i="25"/>
  <c r="AF473" i="25"/>
  <c r="Z474" i="25"/>
  <c r="AF474" i="25"/>
  <c r="Z475" i="25"/>
  <c r="AF475" i="25"/>
  <c r="Z476" i="25"/>
  <c r="AF476" i="25"/>
  <c r="Z477" i="25"/>
  <c r="AF477" i="25"/>
  <c r="Z478" i="25"/>
  <c r="AF478" i="25"/>
  <c r="Z479" i="25"/>
  <c r="AF479" i="25"/>
  <c r="Z480" i="25"/>
  <c r="AF480" i="25"/>
  <c r="Z481" i="25"/>
  <c r="AF481" i="25"/>
  <c r="Z482" i="25"/>
  <c r="AF482" i="25"/>
  <c r="Z483" i="25"/>
  <c r="AF483" i="25"/>
  <c r="Z484" i="25"/>
  <c r="AF484" i="25"/>
  <c r="Z485" i="25"/>
  <c r="AF485" i="25"/>
  <c r="Z486" i="25"/>
  <c r="AF486" i="25"/>
  <c r="Z487" i="25"/>
  <c r="AF487" i="25"/>
  <c r="Z488" i="25"/>
  <c r="AF488" i="25"/>
  <c r="Z489" i="25"/>
  <c r="AF489" i="25"/>
  <c r="Z490" i="25"/>
  <c r="AF490" i="25"/>
  <c r="Z491" i="25"/>
  <c r="AF491" i="25"/>
  <c r="Z492" i="25"/>
  <c r="AF492" i="25"/>
  <c r="Z493" i="25"/>
  <c r="AF493" i="25"/>
  <c r="Z494" i="25"/>
  <c r="AF494" i="25"/>
  <c r="Z495" i="25"/>
  <c r="AF495" i="25"/>
  <c r="Z496" i="25"/>
  <c r="AF496" i="25"/>
  <c r="Z497" i="25"/>
  <c r="AF497" i="25"/>
  <c r="Z498" i="25"/>
  <c r="AF498" i="25"/>
  <c r="Z499" i="25"/>
  <c r="AF499" i="25"/>
  <c r="Z500" i="25"/>
  <c r="AF500" i="25"/>
  <c r="Z501" i="25"/>
  <c r="AF501" i="25"/>
  <c r="Z502" i="25"/>
  <c r="AF502" i="25"/>
  <c r="Z503" i="25"/>
  <c r="AF503" i="25"/>
  <c r="Z504" i="25"/>
  <c r="AF504" i="25"/>
  <c r="Z505" i="25"/>
  <c r="AF505" i="25"/>
  <c r="Z506" i="25"/>
  <c r="AF506" i="25"/>
  <c r="Z507" i="25"/>
  <c r="AF507" i="25"/>
  <c r="Z508" i="25"/>
  <c r="AF508" i="25"/>
  <c r="Z509" i="25"/>
  <c r="AF509" i="25"/>
  <c r="Z510" i="25"/>
  <c r="AF510" i="25"/>
  <c r="Z511" i="25"/>
  <c r="AF511" i="25"/>
  <c r="Z512" i="25"/>
  <c r="AF512" i="25"/>
  <c r="Z513" i="25"/>
  <c r="AF513" i="25"/>
  <c r="Z514" i="25"/>
  <c r="AF514" i="25"/>
  <c r="Z515" i="25"/>
  <c r="AF515" i="25"/>
  <c r="Z516" i="25"/>
  <c r="AF516" i="25"/>
  <c r="Z517" i="25"/>
  <c r="AF517" i="25"/>
  <c r="Z518" i="25"/>
  <c r="AF518" i="25"/>
  <c r="Z519" i="25"/>
  <c r="AF519" i="25"/>
  <c r="Z520" i="25"/>
  <c r="AF520" i="25"/>
  <c r="Z521" i="25"/>
  <c r="AF521" i="25"/>
  <c r="Z522" i="25"/>
  <c r="AF522" i="25"/>
  <c r="Z523" i="25"/>
  <c r="AF523" i="25"/>
  <c r="Z524" i="25"/>
  <c r="AF524" i="25"/>
  <c r="Z525" i="25"/>
  <c r="AF525" i="25"/>
  <c r="Z526" i="25"/>
  <c r="AF526" i="25"/>
  <c r="Z527" i="25"/>
  <c r="AF527" i="25"/>
  <c r="Z528" i="25"/>
  <c r="AF528" i="25"/>
  <c r="Z529" i="25"/>
  <c r="AF529" i="25"/>
  <c r="Z530" i="25"/>
  <c r="AF530" i="25"/>
  <c r="Z531" i="25"/>
  <c r="AF531" i="25"/>
  <c r="Z532" i="25"/>
  <c r="AF532" i="25"/>
  <c r="Z533" i="25"/>
  <c r="AF533" i="25"/>
  <c r="Z534" i="25"/>
  <c r="AF534" i="25"/>
  <c r="Z535" i="25"/>
  <c r="AF535" i="25"/>
  <c r="Z536" i="25"/>
  <c r="AF536" i="25"/>
  <c r="Z537" i="25"/>
  <c r="AF537" i="25"/>
  <c r="Z538" i="25"/>
  <c r="AF538" i="25"/>
  <c r="Z539" i="25"/>
  <c r="AF539" i="25"/>
  <c r="Z540" i="25"/>
  <c r="AF540" i="25"/>
  <c r="Z541" i="25"/>
  <c r="AF541" i="25"/>
  <c r="Z542" i="25"/>
  <c r="AF542" i="25"/>
  <c r="Z543" i="25"/>
  <c r="AF543" i="25"/>
  <c r="Z544" i="25"/>
  <c r="AF544" i="25"/>
  <c r="Z545" i="25"/>
  <c r="AF545" i="25"/>
  <c r="Z546" i="25"/>
  <c r="AF546" i="25"/>
  <c r="Z547" i="25"/>
  <c r="AF547" i="25"/>
  <c r="Z548" i="25"/>
  <c r="AF548" i="25"/>
  <c r="Z549" i="25"/>
  <c r="AF549" i="25"/>
  <c r="Z550" i="25"/>
  <c r="AF550" i="25"/>
  <c r="Z551" i="25"/>
  <c r="AF551" i="25"/>
  <c r="Z552" i="25"/>
  <c r="AF552" i="25"/>
  <c r="Z553" i="25"/>
  <c r="AF553" i="25"/>
  <c r="D7" i="34"/>
  <c r="R7" i="34"/>
  <c r="S7" i="34"/>
  <c r="V7" i="34"/>
  <c r="W7" i="34"/>
  <c r="X7" i="34"/>
  <c r="D9" i="34"/>
  <c r="R9" i="34"/>
  <c r="S9" i="34"/>
  <c r="V9" i="34"/>
  <c r="W9" i="34"/>
  <c r="X9" i="34"/>
  <c r="D11" i="34"/>
  <c r="R11" i="34"/>
  <c r="S11" i="34"/>
  <c r="V11" i="34"/>
  <c r="W11" i="34"/>
  <c r="X11" i="34"/>
  <c r="D13" i="34"/>
  <c r="R13" i="34"/>
  <c r="S13" i="34"/>
  <c r="V13" i="34"/>
  <c r="W13" i="34"/>
  <c r="X13" i="34"/>
  <c r="D14" i="34"/>
  <c r="R14" i="34"/>
  <c r="S14" i="34"/>
  <c r="V14" i="34"/>
  <c r="W14" i="34"/>
  <c r="X14" i="34"/>
  <c r="D15" i="34"/>
  <c r="R15" i="34"/>
  <c r="S15" i="34"/>
  <c r="V15" i="34"/>
  <c r="W15" i="34"/>
  <c r="X15" i="34"/>
  <c r="Y2" i="26"/>
  <c r="Z2" i="26"/>
  <c r="AD2" i="26"/>
  <c r="AE2" i="26"/>
  <c r="Y3" i="26"/>
  <c r="Z3" i="26"/>
  <c r="AD3" i="26"/>
  <c r="AE3" i="26"/>
  <c r="AJ3" i="26"/>
  <c r="Y4" i="26"/>
  <c r="Z4" i="26"/>
  <c r="AD4" i="26"/>
  <c r="AE4" i="26"/>
  <c r="Y5" i="26"/>
  <c r="Z5" i="26"/>
  <c r="AD5" i="26"/>
  <c r="AE5" i="26"/>
  <c r="AJ5" i="26"/>
  <c r="Y6" i="26"/>
  <c r="Z6" i="26"/>
  <c r="AD6" i="26"/>
  <c r="AE6" i="26"/>
  <c r="AJ6" i="26"/>
  <c r="Y7" i="26"/>
  <c r="Z7" i="26"/>
  <c r="AD7" i="26"/>
  <c r="AE7" i="26"/>
  <c r="AJ7" i="26"/>
  <c r="Y8" i="26"/>
  <c r="Z8" i="26"/>
  <c r="AD8" i="26"/>
  <c r="AE8" i="26"/>
  <c r="AJ8" i="26"/>
  <c r="Y9" i="26"/>
  <c r="Z9" i="26"/>
  <c r="AD9" i="26"/>
  <c r="AE9" i="26"/>
  <c r="Y10" i="26"/>
  <c r="Z10" i="26"/>
  <c r="AD10" i="26"/>
  <c r="AE10" i="26"/>
  <c r="Y11" i="26"/>
  <c r="Z11" i="26"/>
  <c r="AD11" i="26"/>
  <c r="AE11" i="26"/>
  <c r="Y12" i="26"/>
  <c r="Z12" i="26"/>
  <c r="AD12" i="26"/>
  <c r="AE12" i="26"/>
  <c r="Y13" i="26"/>
  <c r="Z13" i="26"/>
  <c r="AD13" i="26"/>
  <c r="AE13" i="26"/>
  <c r="Y14" i="26"/>
  <c r="Z14" i="26"/>
  <c r="AD14" i="26"/>
  <c r="AE14" i="26"/>
  <c r="Y15" i="26"/>
  <c r="Z15" i="26"/>
  <c r="AD15" i="26"/>
  <c r="AE15" i="26"/>
  <c r="Y16" i="26"/>
  <c r="Z16" i="26"/>
  <c r="AD16" i="26"/>
  <c r="AE16" i="26"/>
  <c r="Y17" i="26"/>
  <c r="Z17" i="26"/>
  <c r="AD17" i="26"/>
  <c r="AE17" i="26"/>
  <c r="Y18" i="26"/>
  <c r="Z18" i="26"/>
  <c r="AD18" i="26"/>
  <c r="AE18" i="26"/>
  <c r="Y19" i="26"/>
  <c r="Z19" i="26"/>
  <c r="AD19" i="26"/>
  <c r="AE19" i="26"/>
  <c r="Y20" i="26"/>
  <c r="Z20" i="26"/>
  <c r="AD20" i="26"/>
  <c r="AE20" i="26"/>
  <c r="Y21" i="26"/>
  <c r="Z21" i="26"/>
  <c r="AD21" i="26"/>
  <c r="AE21" i="26"/>
  <c r="Y22" i="26"/>
  <c r="Z22" i="26"/>
  <c r="AD22" i="26"/>
  <c r="AE22" i="26"/>
  <c r="Y23" i="26"/>
  <c r="Z23" i="26"/>
  <c r="AD23" i="26"/>
  <c r="AE23" i="26"/>
  <c r="Y24" i="26"/>
  <c r="Z24" i="26"/>
  <c r="AD24" i="26"/>
  <c r="AE24" i="26"/>
  <c r="Y25" i="26"/>
  <c r="Z25" i="26"/>
  <c r="AD25" i="26"/>
  <c r="AE25" i="26"/>
  <c r="Y26" i="26"/>
  <c r="AD26" i="26"/>
  <c r="Y27" i="26"/>
  <c r="AD27" i="26"/>
  <c r="Y28" i="26"/>
  <c r="AD28" i="26"/>
  <c r="Y29" i="26"/>
  <c r="AD29" i="26"/>
  <c r="Y30" i="26"/>
  <c r="AD30" i="26"/>
  <c r="Y31" i="26"/>
  <c r="AD31" i="26"/>
  <c r="Y32" i="26"/>
  <c r="AD32" i="26"/>
  <c r="Y33" i="26"/>
  <c r="AD33" i="26"/>
  <c r="Y34" i="26"/>
  <c r="AD34" i="26"/>
  <c r="Y35" i="26"/>
  <c r="AD35" i="26"/>
  <c r="Y36" i="26"/>
  <c r="AD36" i="26"/>
  <c r="Y37" i="26"/>
  <c r="AD37" i="26"/>
  <c r="Z38" i="26"/>
  <c r="AE38" i="26"/>
  <c r="Z39" i="26"/>
  <c r="AE39" i="26"/>
  <c r="Z40" i="26"/>
  <c r="AE40" i="26"/>
  <c r="Z41" i="26"/>
  <c r="AE41" i="26"/>
  <c r="Z42" i="26"/>
  <c r="AE42" i="26"/>
  <c r="Z43" i="26"/>
  <c r="AE43" i="26"/>
  <c r="Z44" i="26"/>
  <c r="AE44" i="26"/>
  <c r="Z45" i="26"/>
  <c r="AE45" i="26"/>
  <c r="Z46" i="26"/>
  <c r="AE46" i="26"/>
  <c r="Z47" i="26"/>
  <c r="AE47" i="26"/>
  <c r="Z48" i="26"/>
  <c r="AE48" i="26"/>
  <c r="Z49" i="26"/>
  <c r="AE49" i="26"/>
  <c r="Z50" i="26"/>
  <c r="AE50" i="26"/>
  <c r="Z51" i="26"/>
  <c r="AE51" i="26"/>
  <c r="Z52" i="26"/>
  <c r="AE52" i="26"/>
  <c r="Z53" i="26"/>
  <c r="AE53" i="26"/>
  <c r="Z54" i="26"/>
  <c r="AE54" i="26"/>
  <c r="Z55" i="26"/>
  <c r="AE55" i="26"/>
  <c r="Z56" i="26"/>
  <c r="AE56" i="26"/>
  <c r="Z57" i="26"/>
  <c r="AE57" i="26"/>
  <c r="Z58" i="26"/>
  <c r="AE58" i="26"/>
  <c r="Z59" i="26"/>
  <c r="AE59" i="26"/>
  <c r="Z60" i="26"/>
  <c r="AE60" i="26"/>
  <c r="Y61" i="26"/>
  <c r="AD61" i="26"/>
  <c r="Y62" i="26"/>
  <c r="AD62" i="26"/>
  <c r="Y63" i="26"/>
  <c r="AD63" i="26"/>
  <c r="Y64" i="26"/>
  <c r="AD64" i="26"/>
  <c r="Y65" i="26"/>
  <c r="AD65" i="26"/>
  <c r="Y66" i="26"/>
  <c r="AD66" i="26"/>
  <c r="Y67" i="26"/>
  <c r="AD67" i="26"/>
  <c r="Y68" i="26"/>
  <c r="AD68" i="26"/>
  <c r="Y69" i="26"/>
  <c r="AD69" i="26"/>
  <c r="Y70" i="26"/>
  <c r="AD70" i="26"/>
  <c r="Y71" i="26"/>
  <c r="AD71" i="26"/>
  <c r="Y72" i="26"/>
  <c r="AD72" i="26"/>
  <c r="Y73" i="26"/>
  <c r="AD73" i="26"/>
  <c r="Y74" i="26"/>
  <c r="AD74" i="26"/>
  <c r="Y75" i="26"/>
  <c r="AD75" i="26"/>
  <c r="Y76" i="26"/>
  <c r="AD76" i="26"/>
  <c r="Y77" i="26"/>
  <c r="AD77" i="26"/>
  <c r="Y78" i="26"/>
  <c r="AD78" i="26"/>
  <c r="Y79" i="26"/>
  <c r="AD79" i="26"/>
  <c r="Y80" i="26"/>
  <c r="AD80" i="26"/>
  <c r="Y81" i="26"/>
  <c r="AD81" i="26"/>
  <c r="Y82" i="26"/>
  <c r="AD82" i="26"/>
  <c r="Y83" i="26"/>
  <c r="AD83" i="26"/>
  <c r="Y84" i="26"/>
  <c r="AD84" i="26"/>
  <c r="Z85" i="26"/>
  <c r="AE85" i="26"/>
  <c r="Z86" i="26"/>
  <c r="AE86" i="26"/>
  <c r="Z87" i="26"/>
  <c r="AE87" i="26"/>
  <c r="Z88" i="26"/>
  <c r="AE88" i="26"/>
  <c r="Z89" i="26"/>
  <c r="AE89" i="26"/>
  <c r="Z90" i="26"/>
  <c r="AE90" i="26"/>
  <c r="Z91" i="26"/>
  <c r="AE91" i="26"/>
  <c r="Z92" i="26"/>
  <c r="AE92" i="26"/>
  <c r="Z93" i="26"/>
  <c r="AE93" i="26"/>
  <c r="Z94" i="26"/>
  <c r="AE94" i="26"/>
  <c r="Z95" i="26"/>
  <c r="AE95" i="26"/>
  <c r="Z96" i="26"/>
  <c r="AE96" i="26"/>
  <c r="Z97" i="26"/>
  <c r="AE97" i="26"/>
  <c r="Z98" i="26"/>
  <c r="AE98" i="26"/>
  <c r="Z99" i="26"/>
  <c r="AE99" i="26"/>
  <c r="Z100" i="26"/>
  <c r="AE100" i="26"/>
  <c r="Z101" i="26"/>
  <c r="AE101" i="26"/>
  <c r="Z102" i="26"/>
  <c r="AE102" i="26"/>
  <c r="Z103" i="26"/>
  <c r="AE103" i="26"/>
  <c r="Z104" i="26"/>
  <c r="AE104" i="26"/>
  <c r="Z105" i="26"/>
  <c r="AE105" i="26"/>
  <c r="Z106" i="26"/>
  <c r="AE106" i="26"/>
  <c r="Z107" i="26"/>
  <c r="AE107" i="26"/>
  <c r="Z108" i="26"/>
  <c r="AE108" i="26"/>
  <c r="Z109" i="26"/>
  <c r="AE109" i="26"/>
  <c r="Z110" i="26"/>
  <c r="AE110" i="26"/>
  <c r="Z111" i="26"/>
  <c r="AE111" i="26"/>
  <c r="Z112" i="26"/>
  <c r="AE112" i="26"/>
  <c r="Z113" i="26"/>
  <c r="AE113" i="26"/>
  <c r="Z114" i="26"/>
  <c r="AE114" i="26"/>
  <c r="Z115" i="26"/>
  <c r="AE115" i="26"/>
  <c r="Z116" i="26"/>
  <c r="AE116" i="26"/>
  <c r="Z117" i="26"/>
  <c r="AE117" i="26"/>
  <c r="Y118" i="26"/>
  <c r="AD118" i="26"/>
  <c r="Y119" i="26"/>
  <c r="AD119" i="26"/>
  <c r="Y120" i="26"/>
  <c r="AD120" i="26"/>
  <c r="Y121" i="26"/>
  <c r="AD121" i="26"/>
  <c r="Y122" i="26"/>
  <c r="AD122" i="26"/>
  <c r="Y123" i="26"/>
  <c r="AD123" i="26"/>
  <c r="Y124" i="26"/>
  <c r="AD124" i="26"/>
  <c r="Y125" i="26"/>
  <c r="AD125" i="26"/>
  <c r="Y126" i="26"/>
  <c r="AD126" i="26"/>
  <c r="Y127" i="26"/>
  <c r="AD127" i="26"/>
  <c r="Y128" i="26"/>
  <c r="AD128" i="26"/>
  <c r="Y129" i="26"/>
  <c r="AD129" i="26"/>
  <c r="Z130" i="26"/>
  <c r="AE130" i="26"/>
  <c r="Z131" i="26"/>
  <c r="AE131" i="26"/>
  <c r="Z132" i="26"/>
  <c r="AE132" i="26"/>
  <c r="Z133" i="26"/>
  <c r="AE133" i="26"/>
  <c r="Z134" i="26"/>
  <c r="AE134" i="26"/>
  <c r="Z135" i="26"/>
  <c r="AE135" i="26"/>
  <c r="Z136" i="26"/>
  <c r="AE136" i="26"/>
  <c r="Z137" i="26"/>
  <c r="AE137" i="26"/>
  <c r="Z138" i="26"/>
  <c r="AE138" i="26"/>
  <c r="Z139" i="26"/>
  <c r="AE139" i="26"/>
  <c r="Z140" i="26"/>
  <c r="AE140" i="26"/>
  <c r="Z141" i="26"/>
  <c r="AE141" i="26"/>
  <c r="Z142" i="26"/>
  <c r="AE142" i="26"/>
  <c r="Z143" i="26"/>
  <c r="AE143" i="26"/>
  <c r="Z144" i="26"/>
  <c r="AE144" i="26"/>
  <c r="Z145" i="26"/>
  <c r="AE145" i="26"/>
  <c r="Z146" i="26"/>
  <c r="AE146" i="26"/>
  <c r="Z147" i="26"/>
  <c r="AE147" i="26"/>
  <c r="Z148" i="26"/>
  <c r="AE148" i="26"/>
  <c r="Z149" i="26"/>
  <c r="AE149" i="26"/>
  <c r="Z150" i="26"/>
  <c r="AE150" i="26"/>
  <c r="Z151" i="26"/>
  <c r="AE151" i="26"/>
  <c r="Z152" i="26"/>
  <c r="AE152" i="26"/>
  <c r="Z153" i="26"/>
  <c r="AE153" i="26"/>
  <c r="Z154" i="26"/>
  <c r="AE154" i="26"/>
  <c r="Z155" i="26"/>
  <c r="AE155" i="26"/>
  <c r="Z156" i="26"/>
  <c r="AE156" i="26"/>
  <c r="Z157" i="26"/>
  <c r="AE157" i="26"/>
  <c r="Z158" i="26"/>
  <c r="AE158" i="26"/>
  <c r="Z159" i="26"/>
  <c r="AE159" i="26"/>
  <c r="Z160" i="26"/>
  <c r="AE160" i="26"/>
  <c r="Z161" i="26"/>
  <c r="AE161" i="26"/>
  <c r="Z162" i="26"/>
  <c r="AE162" i="26"/>
  <c r="Z163" i="26"/>
  <c r="AE163" i="26"/>
  <c r="Z164" i="26"/>
  <c r="AE164" i="26"/>
  <c r="Z165" i="26"/>
  <c r="AE165" i="26"/>
  <c r="Z166" i="26"/>
  <c r="AE166" i="26"/>
  <c r="Z167" i="26"/>
  <c r="AE167" i="26"/>
  <c r="Z168" i="26"/>
  <c r="AE168" i="26"/>
  <c r="Z169" i="26"/>
  <c r="AE169" i="26"/>
  <c r="Z170" i="26"/>
  <c r="AE170" i="26"/>
  <c r="Z171" i="26"/>
  <c r="AE171" i="26"/>
  <c r="Z172" i="26"/>
  <c r="AE172" i="26"/>
  <c r="Z173" i="26"/>
  <c r="AE173" i="26"/>
  <c r="Z174" i="26"/>
  <c r="AE174" i="26"/>
  <c r="Z175" i="26"/>
  <c r="AE175" i="26"/>
  <c r="Z176" i="26"/>
  <c r="AE176" i="26"/>
  <c r="Z177" i="26"/>
  <c r="AE177" i="26"/>
  <c r="Z178" i="26"/>
  <c r="AE178" i="26"/>
  <c r="Z179" i="26"/>
  <c r="AE179" i="26"/>
  <c r="Z180" i="26"/>
  <c r="AE180" i="26"/>
  <c r="Z181" i="26"/>
  <c r="AE181" i="26"/>
  <c r="Z182" i="26"/>
  <c r="AE182" i="26"/>
  <c r="Z183" i="26"/>
  <c r="AE183" i="26"/>
  <c r="Z184" i="26"/>
  <c r="AE184" i="26"/>
  <c r="Z185" i="26"/>
  <c r="AE185" i="26"/>
  <c r="Z186" i="26"/>
  <c r="AE186" i="26"/>
  <c r="Z187" i="26"/>
  <c r="AE187" i="26"/>
  <c r="Z188" i="26"/>
  <c r="AE188" i="26"/>
  <c r="Z189" i="26"/>
  <c r="AE189" i="26"/>
  <c r="Z190" i="26"/>
  <c r="AE190" i="26"/>
  <c r="Z191" i="26"/>
  <c r="AE191" i="26"/>
  <c r="Z192" i="26"/>
  <c r="AE192" i="26"/>
  <c r="Z193" i="26"/>
  <c r="AE193" i="26"/>
  <c r="Z194" i="26"/>
  <c r="AE194" i="26"/>
  <c r="Z195" i="26"/>
  <c r="AE195" i="26"/>
  <c r="Z196" i="26"/>
  <c r="AE196" i="26"/>
  <c r="Z197" i="26"/>
  <c r="AE197" i="26"/>
  <c r="Z198" i="26"/>
  <c r="AE198" i="26"/>
  <c r="Z199" i="26"/>
  <c r="AE199" i="26"/>
  <c r="Z200" i="26"/>
  <c r="AE200" i="26"/>
  <c r="Z201" i="26"/>
  <c r="AE201" i="26"/>
  <c r="Z202" i="26"/>
  <c r="AE202" i="26"/>
  <c r="Z203" i="26"/>
  <c r="AE203" i="26"/>
  <c r="Z204" i="26"/>
  <c r="AE204" i="26"/>
  <c r="Z205" i="26"/>
  <c r="AE205" i="26"/>
  <c r="Z206" i="26"/>
  <c r="AE206" i="26"/>
  <c r="Z207" i="26"/>
  <c r="AE207" i="26"/>
  <c r="Z208" i="26"/>
  <c r="AE208" i="26"/>
  <c r="Z209" i="26"/>
  <c r="AE209" i="26"/>
  <c r="Z210" i="26"/>
  <c r="AE210" i="26"/>
  <c r="Z211" i="26"/>
  <c r="AE211" i="26"/>
  <c r="Z212" i="26"/>
  <c r="AE212" i="26"/>
  <c r="Z213" i="26"/>
  <c r="AE213" i="26"/>
  <c r="Z214" i="26"/>
  <c r="AE214" i="26"/>
  <c r="Z215" i="26"/>
  <c r="AE215" i="26"/>
  <c r="Z216" i="26"/>
  <c r="AE216" i="26"/>
  <c r="Z217" i="26"/>
  <c r="AE217" i="26"/>
  <c r="Z218" i="26"/>
  <c r="AE218" i="26"/>
  <c r="Z219" i="26"/>
  <c r="AE219" i="26"/>
  <c r="Z220" i="26"/>
  <c r="AE220" i="26"/>
  <c r="Z221" i="26"/>
  <c r="AE221" i="26"/>
  <c r="Z222" i="26"/>
  <c r="AE222" i="26"/>
  <c r="Z223" i="26"/>
  <c r="AE223" i="26"/>
  <c r="Z224" i="26"/>
  <c r="AE224" i="26"/>
  <c r="Z225" i="26"/>
  <c r="AE225" i="26"/>
  <c r="Z226" i="26"/>
  <c r="AE226" i="26"/>
  <c r="Z227" i="26"/>
  <c r="AE227" i="26"/>
  <c r="Z228" i="26"/>
  <c r="AE228" i="26"/>
  <c r="Z229" i="26"/>
  <c r="AE229" i="26"/>
  <c r="Z230" i="26"/>
  <c r="AE230" i="26"/>
  <c r="Z231" i="26"/>
  <c r="AE231" i="26"/>
  <c r="Z232" i="26"/>
  <c r="AE232" i="26"/>
  <c r="Z233" i="26"/>
  <c r="AE233" i="26"/>
  <c r="Z234" i="26"/>
  <c r="AE234" i="26"/>
  <c r="Z235" i="26"/>
  <c r="AE235" i="26"/>
  <c r="Z236" i="26"/>
  <c r="AE236" i="26"/>
  <c r="Z237" i="26"/>
  <c r="AE237" i="26"/>
  <c r="Z238" i="26"/>
  <c r="AE238" i="26"/>
  <c r="Z239" i="26"/>
  <c r="AE239" i="26"/>
  <c r="Z240" i="26"/>
  <c r="AE240" i="26"/>
  <c r="Z241" i="26"/>
  <c r="AE241" i="26"/>
  <c r="Z242" i="26"/>
  <c r="AE242" i="26"/>
  <c r="Z243" i="26"/>
  <c r="AE243" i="26"/>
  <c r="Z244" i="26"/>
  <c r="AE244" i="26"/>
  <c r="Z245" i="26"/>
  <c r="AE245" i="26"/>
  <c r="Z246" i="26"/>
  <c r="AE246" i="26"/>
  <c r="Z247" i="26"/>
  <c r="AE247" i="26"/>
  <c r="Z248" i="26"/>
  <c r="AE248" i="26"/>
  <c r="Z249" i="26"/>
  <c r="AE249" i="26"/>
  <c r="Z250" i="26"/>
  <c r="AE250" i="26"/>
  <c r="Z251" i="26"/>
  <c r="AE251" i="26"/>
  <c r="Z252" i="26"/>
  <c r="AE252" i="26"/>
  <c r="Z253" i="26"/>
  <c r="AE253" i="26"/>
  <c r="Z254" i="26"/>
  <c r="AE254" i="26"/>
  <c r="Z255" i="26"/>
  <c r="AE255" i="26"/>
  <c r="Z256" i="26"/>
  <c r="AE256" i="26"/>
  <c r="Z257" i="26"/>
  <c r="AE257" i="26"/>
  <c r="Z258" i="26"/>
  <c r="AE258" i="26"/>
  <c r="Z259" i="26"/>
  <c r="AE259" i="26"/>
  <c r="Z260" i="26"/>
  <c r="AE260" i="26"/>
  <c r="Z261" i="26"/>
  <c r="AE261" i="26"/>
  <c r="Z262" i="26"/>
  <c r="AE262" i="26"/>
  <c r="Z263" i="26"/>
  <c r="AE263" i="26"/>
  <c r="Z264" i="26"/>
  <c r="AE264" i="26"/>
  <c r="Z265" i="26"/>
  <c r="AE265" i="26"/>
  <c r="Z266" i="26"/>
  <c r="AE266" i="26"/>
  <c r="Z267" i="26"/>
  <c r="AE267" i="26"/>
  <c r="Z268" i="26"/>
  <c r="AE268" i="26"/>
  <c r="Z269" i="26"/>
  <c r="AE269" i="26"/>
  <c r="Z270" i="26"/>
  <c r="AE270" i="26"/>
  <c r="Z271" i="26"/>
  <c r="AE271" i="26"/>
  <c r="Z272" i="26"/>
  <c r="AE272" i="26"/>
  <c r="Z273" i="26"/>
  <c r="AE273" i="26"/>
  <c r="Z274" i="26"/>
  <c r="AE274" i="26"/>
  <c r="Z275" i="26"/>
  <c r="AE275" i="26"/>
  <c r="Z276" i="26"/>
  <c r="AE276" i="26"/>
  <c r="Z277" i="26"/>
  <c r="AE277" i="26"/>
  <c r="Z278" i="26"/>
  <c r="AE278" i="26"/>
  <c r="Z279" i="26"/>
  <c r="AE279" i="26"/>
  <c r="Z280" i="26"/>
  <c r="AE280" i="26"/>
  <c r="Z281" i="26"/>
  <c r="AE281" i="26"/>
  <c r="Z282" i="26"/>
  <c r="AE282" i="26"/>
  <c r="Z283" i="26"/>
  <c r="AE283" i="26"/>
  <c r="Z284" i="26"/>
  <c r="AE284" i="26"/>
  <c r="Z285" i="26"/>
  <c r="AE285" i="26"/>
  <c r="Z286" i="26"/>
  <c r="AE286" i="26"/>
  <c r="Z287" i="26"/>
  <c r="AE287" i="26"/>
  <c r="Z288" i="26"/>
  <c r="AE288" i="26"/>
  <c r="Z289" i="26"/>
  <c r="AE289" i="26"/>
  <c r="Z290" i="26"/>
  <c r="AE290" i="26"/>
  <c r="Z291" i="26"/>
  <c r="AE291" i="26"/>
  <c r="Z292" i="26"/>
  <c r="AE292" i="26"/>
  <c r="Z293" i="26"/>
  <c r="AE293" i="26"/>
  <c r="Z294" i="26"/>
  <c r="AE294" i="26"/>
  <c r="Z295" i="26"/>
  <c r="AE295" i="26"/>
  <c r="Z296" i="26"/>
  <c r="AE296" i="26"/>
  <c r="Z297" i="26"/>
  <c r="AE297" i="26"/>
  <c r="Z298" i="26"/>
  <c r="AE298" i="26"/>
  <c r="Z299" i="26"/>
  <c r="AE299" i="26"/>
  <c r="Z300" i="26"/>
  <c r="AE300" i="26"/>
  <c r="Z301" i="26"/>
  <c r="AE301" i="26"/>
  <c r="Z302" i="26"/>
  <c r="AE302" i="26"/>
  <c r="Z303" i="26"/>
  <c r="AE303" i="26"/>
  <c r="Z304" i="26"/>
  <c r="AE304" i="26"/>
  <c r="Z305" i="26"/>
  <c r="AE305" i="26"/>
  <c r="Z306" i="26"/>
  <c r="AE306" i="26"/>
  <c r="Z307" i="26"/>
  <c r="AE307" i="26"/>
  <c r="Z308" i="26"/>
  <c r="AE308" i="26"/>
  <c r="Z309" i="26"/>
  <c r="AE309" i="26"/>
  <c r="Z310" i="26"/>
  <c r="AE310" i="26"/>
  <c r="Z311" i="26"/>
  <c r="AE311" i="26"/>
  <c r="Z312" i="26"/>
  <c r="AE312" i="26"/>
  <c r="Z313" i="26"/>
  <c r="AE313" i="26"/>
  <c r="Z314" i="26"/>
  <c r="AE314" i="26"/>
  <c r="Z315" i="26"/>
  <c r="AE315" i="26"/>
  <c r="Z316" i="26"/>
  <c r="AE316" i="26"/>
  <c r="Z317" i="26"/>
  <c r="AE317" i="26"/>
  <c r="Z318" i="26"/>
  <c r="AE318" i="26"/>
  <c r="Z319" i="26"/>
  <c r="AE319" i="26"/>
  <c r="Z320" i="26"/>
  <c r="AE320" i="26"/>
  <c r="Z321" i="26"/>
  <c r="AE321" i="26"/>
  <c r="Z322" i="26"/>
  <c r="AE322" i="26"/>
  <c r="Z323" i="26"/>
  <c r="AE323" i="26"/>
  <c r="Z324" i="26"/>
  <c r="AE324" i="26"/>
  <c r="Z325" i="26"/>
  <c r="AE325" i="26"/>
  <c r="Z326" i="26"/>
  <c r="AE326" i="26"/>
  <c r="Z327" i="26"/>
  <c r="AE327" i="26"/>
  <c r="Z328" i="26"/>
  <c r="AE328" i="26"/>
  <c r="Z329" i="26"/>
  <c r="AE329" i="26"/>
  <c r="Z330" i="26"/>
  <c r="AE330" i="26"/>
  <c r="Z331" i="26"/>
  <c r="AE331" i="26"/>
  <c r="Z332" i="26"/>
  <c r="AE332" i="26"/>
  <c r="Z333" i="26"/>
  <c r="AE333" i="26"/>
  <c r="Z334" i="26"/>
  <c r="AE334" i="26"/>
  <c r="Z335" i="26"/>
  <c r="AE335" i="26"/>
  <c r="Z336" i="26"/>
  <c r="AE336" i="26"/>
  <c r="Z337" i="26"/>
  <c r="AE337" i="26"/>
  <c r="E5" i="37"/>
  <c r="F5" i="37"/>
  <c r="H5" i="37"/>
  <c r="I5" i="37"/>
  <c r="R5" i="37"/>
  <c r="U5" i="37"/>
  <c r="E6" i="37"/>
  <c r="F6" i="37"/>
  <c r="H6" i="37"/>
  <c r="I6" i="37"/>
  <c r="R6" i="37"/>
  <c r="U6" i="37"/>
  <c r="E7" i="37"/>
  <c r="F7" i="37"/>
  <c r="H7" i="37"/>
  <c r="I7" i="37"/>
  <c r="R7" i="37"/>
  <c r="U7" i="37"/>
  <c r="E8" i="37"/>
  <c r="F8" i="37"/>
  <c r="H8" i="37"/>
  <c r="I8" i="37"/>
  <c r="R8" i="37"/>
  <c r="U8" i="37"/>
  <c r="E9" i="37"/>
  <c r="H9" i="37"/>
  <c r="R9" i="37"/>
  <c r="U9" i="37"/>
  <c r="F10" i="37"/>
  <c r="I10" i="37"/>
  <c r="R10" i="37"/>
  <c r="U10" i="37"/>
  <c r="F11" i="37"/>
  <c r="I11" i="37"/>
  <c r="R11" i="37"/>
  <c r="U11" i="37"/>
  <c r="E12" i="37"/>
  <c r="H12" i="37"/>
  <c r="R12" i="37"/>
  <c r="U12" i="37"/>
  <c r="F13" i="37"/>
  <c r="I13" i="37"/>
  <c r="R13" i="37"/>
  <c r="U13" i="37"/>
  <c r="F14" i="37"/>
  <c r="I14" i="37"/>
  <c r="R14" i="37"/>
  <c r="U14" i="37"/>
  <c r="E15" i="37"/>
  <c r="H15" i="37"/>
  <c r="R15" i="37"/>
  <c r="U15" i="37"/>
  <c r="R16" i="37"/>
  <c r="U16" i="37"/>
  <c r="R17" i="37"/>
  <c r="U17" i="37"/>
  <c r="R18" i="37"/>
  <c r="U18" i="37"/>
  <c r="R19" i="37"/>
  <c r="U19" i="37"/>
  <c r="R20" i="37"/>
  <c r="U20" i="37"/>
  <c r="R21" i="37"/>
  <c r="U21" i="37"/>
  <c r="R22" i="37"/>
  <c r="U22" i="37"/>
  <c r="R23" i="37"/>
  <c r="U23" i="37"/>
  <c r="R24" i="37"/>
  <c r="U24" i="37"/>
  <c r="R25" i="37"/>
  <c r="U25" i="37"/>
  <c r="R26" i="37"/>
  <c r="U26" i="37"/>
  <c r="R27" i="37"/>
  <c r="U27" i="37"/>
  <c r="R28" i="37"/>
  <c r="U28" i="37"/>
  <c r="R29" i="37"/>
  <c r="U29" i="37"/>
  <c r="R30" i="37"/>
  <c r="U30" i="37"/>
  <c r="R31" i="37"/>
  <c r="U31" i="37"/>
  <c r="R32" i="37"/>
  <c r="U32" i="37"/>
  <c r="R33" i="37"/>
  <c r="U33" i="37"/>
  <c r="Q34" i="37"/>
  <c r="T34" i="37"/>
  <c r="Q35" i="37"/>
  <c r="T35" i="37"/>
  <c r="N7" i="15"/>
  <c r="AJ7" i="15"/>
  <c r="AK7" i="15"/>
  <c r="N8" i="15"/>
  <c r="AJ8" i="15"/>
  <c r="AK8" i="15"/>
  <c r="N11" i="15"/>
  <c r="AJ11" i="15"/>
  <c r="AK11" i="15"/>
  <c r="N12" i="15"/>
  <c r="AJ12" i="15"/>
  <c r="AK12" i="15"/>
  <c r="N13" i="15"/>
  <c r="AJ13" i="15"/>
  <c r="AK13" i="15"/>
  <c r="N14" i="15"/>
  <c r="AJ14" i="15"/>
  <c r="AK14" i="15"/>
  <c r="N17" i="15"/>
  <c r="AJ17" i="15"/>
  <c r="AK17" i="15"/>
  <c r="N18" i="15"/>
  <c r="AJ18" i="15"/>
  <c r="AK18" i="15"/>
  <c r="N19" i="15"/>
  <c r="AJ19" i="15"/>
  <c r="AK19" i="15"/>
  <c r="N20" i="15"/>
  <c r="AJ20" i="15"/>
  <c r="AK20" i="15"/>
  <c r="N21" i="15"/>
  <c r="AJ21" i="15"/>
  <c r="AK21" i="15"/>
  <c r="N22" i="15"/>
  <c r="AJ22" i="15"/>
  <c r="AK22" i="15"/>
  <c r="N23" i="15"/>
  <c r="AJ23" i="15"/>
  <c r="AK23" i="15"/>
  <c r="N24" i="15"/>
  <c r="AJ24" i="15"/>
  <c r="AK24" i="15"/>
  <c r="N25" i="15"/>
  <c r="AJ25" i="15"/>
  <c r="AK25" i="15"/>
  <c r="N26" i="15"/>
  <c r="AJ26" i="15"/>
  <c r="AK26" i="15"/>
  <c r="N27" i="15"/>
  <c r="AJ27" i="15"/>
  <c r="AK27" i="15"/>
  <c r="N28" i="15"/>
  <c r="AJ28" i="15"/>
  <c r="AK28" i="15"/>
  <c r="N29" i="15"/>
  <c r="AJ29" i="15"/>
  <c r="AK29" i="15"/>
  <c r="N30" i="15"/>
  <c r="AJ30" i="15"/>
  <c r="AK30" i="15"/>
  <c r="N31" i="15"/>
  <c r="AJ31" i="15"/>
  <c r="AK31" i="15"/>
  <c r="N32" i="15"/>
  <c r="AJ32" i="15"/>
  <c r="AK32" i="15"/>
  <c r="N33" i="15"/>
  <c r="AJ33" i="15"/>
  <c r="AK33" i="15"/>
  <c r="N34" i="15"/>
  <c r="AJ34" i="15"/>
  <c r="AK34" i="15"/>
  <c r="N35" i="15"/>
  <c r="AJ35" i="15"/>
  <c r="AK35" i="15"/>
  <c r="N36" i="15"/>
  <c r="AJ36" i="15"/>
  <c r="AK36" i="15"/>
  <c r="N37" i="15"/>
  <c r="AJ37" i="15"/>
  <c r="AK37" i="15"/>
  <c r="N38" i="15"/>
  <c r="AJ38" i="15"/>
  <c r="AK38" i="15"/>
  <c r="N39" i="15"/>
  <c r="AJ39" i="15"/>
  <c r="AK39" i="15"/>
  <c r="N40" i="15"/>
  <c r="AJ40" i="15"/>
  <c r="AK40" i="15"/>
  <c r="N41" i="15"/>
  <c r="AJ41" i="15"/>
  <c r="AK41" i="15"/>
  <c r="N42" i="15"/>
  <c r="AJ42" i="15"/>
  <c r="AK42" i="15"/>
  <c r="N43" i="15"/>
  <c r="AJ43" i="15"/>
  <c r="AK43" i="15"/>
  <c r="N44" i="15"/>
  <c r="AJ44" i="15"/>
  <c r="AK44" i="15"/>
  <c r="N45" i="15"/>
  <c r="AJ45" i="15"/>
  <c r="AK45" i="15"/>
  <c r="N46" i="15"/>
  <c r="AJ46" i="15"/>
  <c r="AK46" i="15"/>
  <c r="N47" i="15"/>
  <c r="AJ47" i="15"/>
  <c r="AK47" i="15"/>
  <c r="N48" i="15"/>
  <c r="AJ48" i="15"/>
  <c r="AK48" i="15"/>
  <c r="N49" i="15"/>
  <c r="AJ49" i="15"/>
  <c r="AK49" i="15"/>
  <c r="N50" i="15"/>
  <c r="AJ50" i="15"/>
  <c r="AK50" i="15"/>
  <c r="N51" i="15"/>
  <c r="AJ51" i="15"/>
  <c r="AK51" i="15"/>
  <c r="N55" i="15"/>
  <c r="AJ55" i="15"/>
  <c r="AK55" i="15"/>
  <c r="N60" i="15"/>
  <c r="AJ60" i="15"/>
  <c r="AK60" i="15"/>
  <c r="L63" i="15"/>
  <c r="N63" i="15"/>
  <c r="L64" i="15"/>
  <c r="N64" i="15"/>
  <c r="N65" i="15"/>
  <c r="L66" i="15"/>
  <c r="L67" i="15"/>
  <c r="L68" i="15"/>
  <c r="L69" i="15"/>
  <c r="L70" i="15"/>
  <c r="N5" i="32"/>
  <c r="AB5" i="32"/>
  <c r="AC5" i="32"/>
  <c r="AF5" i="32"/>
  <c r="AG5" i="32"/>
  <c r="N6" i="32"/>
  <c r="AB6" i="32"/>
  <c r="AC6" i="32"/>
  <c r="AF6" i="32"/>
  <c r="AG6" i="32"/>
  <c r="N7" i="32"/>
  <c r="AB7" i="32"/>
  <c r="AC7" i="32"/>
  <c r="AF7" i="32"/>
  <c r="AG7" i="32"/>
  <c r="N8" i="32"/>
  <c r="AB8" i="32"/>
  <c r="AC8" i="32"/>
  <c r="AF8" i="32"/>
  <c r="AG8" i="32"/>
  <c r="N9" i="32"/>
  <c r="AB9" i="32"/>
  <c r="AC9" i="32"/>
  <c r="AF9" i="32"/>
  <c r="AG9" i="32"/>
  <c r="N10" i="32"/>
  <c r="AB10" i="32"/>
  <c r="AC10" i="32"/>
  <c r="AF10" i="32"/>
  <c r="AG10" i="32"/>
  <c r="N11" i="32"/>
  <c r="AB11" i="32"/>
  <c r="AC11" i="32"/>
  <c r="AF11" i="32"/>
  <c r="AG11" i="32"/>
  <c r="N12" i="32"/>
  <c r="AB12" i="32"/>
  <c r="AC12" i="32"/>
  <c r="AF12" i="32"/>
  <c r="AG12" i="32"/>
  <c r="N13" i="32"/>
  <c r="AB13" i="32"/>
  <c r="AC13" i="32"/>
  <c r="AF13" i="32"/>
  <c r="AG13" i="32"/>
  <c r="N14" i="32"/>
  <c r="AB14" i="32"/>
  <c r="AC14" i="32"/>
  <c r="AF14" i="32"/>
  <c r="AG14" i="32"/>
  <c r="N15" i="32"/>
  <c r="AB15" i="32"/>
  <c r="AC15" i="32"/>
  <c r="AF15" i="32"/>
  <c r="AG15" i="32"/>
  <c r="N16" i="32"/>
  <c r="AB16" i="32"/>
  <c r="AC16" i="32"/>
  <c r="AF16" i="32"/>
  <c r="AG16" i="32"/>
  <c r="N17" i="32"/>
  <c r="AB17" i="32"/>
  <c r="AC17" i="32"/>
  <c r="AF17" i="32"/>
  <c r="AG17" i="32"/>
  <c r="N18" i="32"/>
  <c r="AB18" i="32"/>
  <c r="AC18" i="32"/>
  <c r="AF18" i="32"/>
  <c r="AG18" i="32"/>
  <c r="N19" i="32"/>
  <c r="AB19" i="32"/>
  <c r="AC19" i="32"/>
  <c r="AF19" i="32"/>
  <c r="AG19" i="32"/>
  <c r="N20" i="32"/>
  <c r="AB20" i="32"/>
  <c r="AC20" i="32"/>
  <c r="AF20" i="32"/>
  <c r="AG20" i="32"/>
  <c r="N21" i="32"/>
  <c r="AB21" i="32"/>
  <c r="AC21" i="32"/>
  <c r="AF21" i="32"/>
  <c r="AG21" i="32"/>
  <c r="N22" i="32"/>
  <c r="AB22" i="32"/>
  <c r="AC22" i="32"/>
  <c r="AF22" i="32"/>
  <c r="AG22" i="32"/>
  <c r="N23" i="32"/>
  <c r="AB23" i="32"/>
  <c r="AC23" i="32"/>
  <c r="AF23" i="32"/>
  <c r="AG23" i="32"/>
  <c r="N24" i="32"/>
  <c r="AB24" i="32"/>
  <c r="AC24" i="32"/>
  <c r="AF24" i="32"/>
  <c r="AG24" i="32"/>
  <c r="N25" i="32"/>
  <c r="AB25" i="32"/>
  <c r="AC25" i="32"/>
  <c r="AF25" i="32"/>
  <c r="AG25" i="32"/>
  <c r="N26" i="32"/>
  <c r="AB26" i="32"/>
  <c r="AC26" i="32"/>
  <c r="AF26" i="32"/>
  <c r="AG26" i="32"/>
  <c r="N27" i="32"/>
  <c r="AB27" i="32"/>
  <c r="AC27" i="32"/>
  <c r="AF27" i="32"/>
  <c r="AG27" i="32"/>
  <c r="N28" i="32"/>
  <c r="AB28" i="32"/>
  <c r="AC28" i="32"/>
  <c r="AF28" i="32"/>
  <c r="AG28" i="32"/>
  <c r="N29" i="32"/>
  <c r="AB29" i="32"/>
  <c r="AC29" i="32"/>
  <c r="AF29" i="32"/>
  <c r="AG29" i="32"/>
  <c r="N30" i="32"/>
  <c r="AB30" i="32"/>
  <c r="AC30" i="32"/>
  <c r="AF30" i="32"/>
  <c r="AG30" i="32"/>
  <c r="N31" i="32"/>
  <c r="AB31" i="32"/>
  <c r="AC31" i="32"/>
  <c r="AF31" i="32"/>
  <c r="AG31" i="32"/>
  <c r="N32" i="32"/>
  <c r="AB32" i="32"/>
  <c r="AC32" i="32"/>
  <c r="AF32" i="32"/>
  <c r="AG32" i="32"/>
  <c r="N33" i="32"/>
  <c r="AB33" i="32"/>
  <c r="AC33" i="32"/>
  <c r="AF33" i="32"/>
  <c r="AG33" i="32"/>
  <c r="N34" i="32"/>
  <c r="AB34" i="32"/>
  <c r="AC34" i="32"/>
  <c r="AF34" i="32"/>
  <c r="AG34" i="32"/>
  <c r="N35" i="32"/>
  <c r="AB35" i="32"/>
  <c r="AC35" i="32"/>
  <c r="AF35" i="32"/>
  <c r="AG35" i="32"/>
  <c r="N36" i="32"/>
  <c r="AB36" i="32"/>
  <c r="AC36" i="32"/>
  <c r="AF36" i="32"/>
  <c r="AG36" i="32"/>
  <c r="N37" i="32"/>
  <c r="AB37" i="32"/>
  <c r="AC37" i="32"/>
  <c r="AF37" i="32"/>
  <c r="AG37" i="32"/>
  <c r="N38" i="32"/>
  <c r="AB38" i="32"/>
  <c r="AC38" i="32"/>
  <c r="AF38" i="32"/>
  <c r="AG38" i="32"/>
  <c r="N39" i="32"/>
  <c r="AB39" i="32"/>
  <c r="AC39" i="32"/>
  <c r="AF39" i="32"/>
  <c r="AG39" i="32"/>
  <c r="N40" i="32"/>
  <c r="AB40" i="32"/>
  <c r="AC40" i="32"/>
  <c r="AF40" i="32"/>
  <c r="AG40" i="32"/>
  <c r="N41" i="32"/>
  <c r="AB41" i="32"/>
  <c r="AC41" i="32"/>
  <c r="AF41" i="32"/>
  <c r="AG41" i="32"/>
  <c r="N42" i="32"/>
  <c r="AB42" i="32"/>
  <c r="AC42" i="32"/>
  <c r="AF42" i="32"/>
  <c r="AG42" i="32"/>
  <c r="N43" i="32"/>
  <c r="AB43" i="32"/>
  <c r="AC43" i="32"/>
  <c r="AF43" i="32"/>
  <c r="AG43" i="32"/>
  <c r="N44" i="32"/>
  <c r="AB44" i="32"/>
  <c r="AC44" i="32"/>
  <c r="AF44" i="32"/>
  <c r="AG44" i="32"/>
  <c r="N45" i="32"/>
  <c r="AB45" i="32"/>
  <c r="AC45" i="32"/>
  <c r="AF45" i="32"/>
  <c r="AG45" i="32"/>
  <c r="N46" i="32"/>
  <c r="AB46" i="32"/>
  <c r="AC46" i="32"/>
  <c r="AF46" i="32"/>
  <c r="AG46" i="32"/>
  <c r="N47" i="32"/>
  <c r="AB47" i="32"/>
  <c r="AC47" i="32"/>
  <c r="AF47" i="32"/>
  <c r="AG47" i="32"/>
  <c r="N48" i="32"/>
  <c r="AB48" i="32"/>
  <c r="AC48" i="32"/>
  <c r="AF48" i="32"/>
  <c r="AG48" i="32"/>
  <c r="N49" i="32"/>
  <c r="AB49" i="32"/>
  <c r="AC49" i="32"/>
  <c r="AF49" i="32"/>
  <c r="AG49" i="32"/>
  <c r="N50" i="32"/>
  <c r="AB50" i="32"/>
  <c r="AC50" i="32"/>
  <c r="AF50" i="32"/>
  <c r="AG50" i="32"/>
  <c r="N51" i="32"/>
  <c r="AB51" i="32"/>
  <c r="AC51" i="32"/>
  <c r="AF51" i="32"/>
  <c r="AG51" i="32"/>
  <c r="N57" i="32"/>
  <c r="AB57" i="32"/>
  <c r="AC57" i="32"/>
  <c r="AF57" i="32"/>
  <c r="AG57" i="32"/>
  <c r="N58" i="32"/>
  <c r="AB58" i="32"/>
  <c r="AC58" i="32"/>
  <c r="AF58" i="32"/>
  <c r="AG58" i="32"/>
  <c r="N59" i="32"/>
  <c r="AB59" i="32"/>
  <c r="AC59" i="32"/>
  <c r="AF59" i="32"/>
  <c r="AG59" i="32"/>
  <c r="N60" i="32"/>
  <c r="AB60" i="32"/>
  <c r="AC60" i="32"/>
  <c r="AF60" i="32"/>
  <c r="AG60" i="32"/>
  <c r="N61" i="32"/>
  <c r="AB61" i="32"/>
  <c r="AC61" i="32"/>
  <c r="AF61" i="32"/>
  <c r="AG61" i="32"/>
  <c r="N62" i="32"/>
  <c r="AB62" i="32"/>
  <c r="AC62" i="32"/>
  <c r="AF62" i="32"/>
  <c r="AG62" i="32"/>
  <c r="N63" i="32"/>
  <c r="AB63" i="32"/>
  <c r="AC63" i="32"/>
  <c r="AF63" i="32"/>
  <c r="AG63" i="32"/>
  <c r="N64" i="32"/>
  <c r="AB64" i="32"/>
  <c r="AC64" i="32"/>
  <c r="AF64" i="32"/>
  <c r="AG64" i="32"/>
  <c r="N65" i="32"/>
  <c r="AB65" i="32"/>
  <c r="AC65" i="32"/>
  <c r="AF65" i="32"/>
  <c r="AG65" i="32"/>
  <c r="N66" i="32"/>
  <c r="AB66" i="32"/>
  <c r="AC66" i="32"/>
  <c r="AF66" i="32"/>
  <c r="AG66" i="32"/>
  <c r="N67" i="32"/>
  <c r="AB67" i="32"/>
  <c r="AC67" i="32"/>
  <c r="AF67" i="32"/>
  <c r="AG67" i="32"/>
  <c r="N68" i="32"/>
  <c r="AB68" i="32"/>
  <c r="AC68" i="32"/>
  <c r="AF68" i="32"/>
  <c r="AG68" i="32"/>
  <c r="N69" i="32"/>
  <c r="AB69" i="32"/>
  <c r="AC69" i="32"/>
  <c r="AF69" i="32"/>
  <c r="AG69" i="32"/>
  <c r="N70" i="32"/>
  <c r="AB70" i="32"/>
  <c r="AC70" i="32"/>
  <c r="AF70" i="32"/>
  <c r="AG70" i="32"/>
  <c r="N71" i="32"/>
  <c r="AB71" i="32"/>
  <c r="AC71" i="32"/>
  <c r="AF71" i="32"/>
  <c r="AG71" i="32"/>
  <c r="N72" i="32"/>
  <c r="AB72" i="32"/>
  <c r="AC72" i="32"/>
  <c r="AF72" i="32"/>
  <c r="AG72" i="32"/>
  <c r="N73" i="32"/>
  <c r="AB73" i="32"/>
  <c r="AC73" i="32"/>
  <c r="AF73" i="32"/>
  <c r="AG73" i="32"/>
  <c r="N74" i="32"/>
  <c r="AB74" i="32"/>
  <c r="AC74" i="32"/>
  <c r="AF74" i="32"/>
  <c r="AG74" i="32"/>
  <c r="N75" i="32"/>
  <c r="AB75" i="32"/>
  <c r="AC75" i="32"/>
  <c r="AF75" i="32"/>
  <c r="AG75" i="32"/>
  <c r="N76" i="32"/>
  <c r="AB76" i="32"/>
  <c r="AC76" i="32"/>
  <c r="AF76" i="32"/>
  <c r="AG76" i="32"/>
  <c r="N77" i="32"/>
  <c r="AB77" i="32"/>
  <c r="AC77" i="32"/>
  <c r="AF77" i="32"/>
  <c r="AG77" i="32"/>
  <c r="N78" i="32"/>
  <c r="AB78" i="32"/>
  <c r="AC78" i="32"/>
  <c r="AF78" i="32"/>
  <c r="AG78" i="32"/>
  <c r="N79" i="32"/>
  <c r="AB79" i="32"/>
  <c r="AC79" i="32"/>
  <c r="AF79" i="32"/>
  <c r="AG79" i="32"/>
  <c r="N80" i="32"/>
  <c r="AB80" i="32"/>
  <c r="AC80" i="32"/>
  <c r="AF80" i="32"/>
  <c r="AG80" i="32"/>
  <c r="N81" i="32"/>
  <c r="AB81" i="32"/>
  <c r="AC81" i="32"/>
  <c r="AF81" i="32"/>
  <c r="AG81" i="32"/>
  <c r="N82" i="32"/>
  <c r="AB82" i="32"/>
  <c r="AC82" i="32"/>
  <c r="AF82" i="32"/>
  <c r="AG82" i="32"/>
  <c r="N83" i="32"/>
  <c r="AB83" i="32"/>
  <c r="AC83" i="32"/>
  <c r="AF83" i="32"/>
  <c r="AG83" i="32"/>
  <c r="N84" i="32"/>
  <c r="AB84" i="32"/>
  <c r="AC84" i="32"/>
  <c r="AF84" i="32"/>
  <c r="AG84" i="32"/>
  <c r="N85" i="32"/>
  <c r="AB85" i="32"/>
  <c r="AC85" i="32"/>
  <c r="AF85" i="32"/>
  <c r="AG85" i="32"/>
  <c r="N86" i="32"/>
  <c r="AB86" i="32"/>
  <c r="AC86" i="32"/>
  <c r="AF86" i="32"/>
  <c r="AG86" i="32"/>
  <c r="N87" i="32"/>
  <c r="AB87" i="32"/>
  <c r="AC87" i="32"/>
  <c r="AF87" i="32"/>
  <c r="AG87" i="32"/>
  <c r="N88" i="32"/>
  <c r="AB88" i="32"/>
  <c r="AC88" i="32"/>
  <c r="AF88" i="32"/>
  <c r="AG88" i="32"/>
  <c r="N89" i="32"/>
  <c r="AB89" i="32"/>
  <c r="AC89" i="32"/>
  <c r="AF89" i="32"/>
  <c r="AG89" i="32"/>
  <c r="N90" i="32"/>
  <c r="AB90" i="32"/>
  <c r="AC90" i="32"/>
  <c r="AF90" i="32"/>
  <c r="AG90" i="32"/>
  <c r="N91" i="32"/>
  <c r="AB91" i="32"/>
  <c r="AC91" i="32"/>
  <c r="AF91" i="32"/>
  <c r="AG91" i="32"/>
  <c r="N92" i="32"/>
  <c r="AB92" i="32"/>
  <c r="AC92" i="32"/>
  <c r="AF92" i="32"/>
  <c r="AG92" i="32"/>
  <c r="N93" i="32"/>
  <c r="AB93" i="32"/>
  <c r="AC93" i="32"/>
  <c r="AF93" i="32"/>
  <c r="AG93" i="32"/>
  <c r="N94" i="32"/>
  <c r="AB94" i="32"/>
  <c r="AC94" i="32"/>
  <c r="AF94" i="32"/>
  <c r="AG94" i="32"/>
  <c r="N95" i="32"/>
  <c r="AB95" i="32"/>
  <c r="AC95" i="32"/>
  <c r="AF95" i="32"/>
  <c r="AG95" i="32"/>
  <c r="N96" i="32"/>
  <c r="AB96" i="32"/>
  <c r="AC96" i="32"/>
  <c r="AF96" i="32"/>
  <c r="AG96" i="32"/>
  <c r="N97" i="32"/>
  <c r="AB97" i="32"/>
  <c r="AC97" i="32"/>
  <c r="AF97" i="32"/>
  <c r="AG97" i="32"/>
  <c r="N98" i="32"/>
  <c r="AB98" i="32"/>
  <c r="AC98" i="32"/>
  <c r="AF98" i="32"/>
  <c r="AG98" i="32"/>
  <c r="N99" i="32"/>
  <c r="AB99" i="32"/>
  <c r="AC99" i="32"/>
  <c r="AF99" i="32"/>
  <c r="AG99" i="32"/>
  <c r="N100" i="32"/>
  <c r="AB100" i="32"/>
  <c r="AC100" i="32"/>
  <c r="AF100" i="32"/>
  <c r="AG100" i="32"/>
  <c r="N101" i="32"/>
  <c r="AB101" i="32"/>
  <c r="AC101" i="32"/>
  <c r="AF101" i="32"/>
  <c r="AG101" i="32"/>
  <c r="N102" i="32"/>
  <c r="AB102" i="32"/>
  <c r="AC102" i="32"/>
  <c r="AF102" i="32"/>
  <c r="AG102" i="32"/>
  <c r="N103" i="32"/>
  <c r="AB103" i="32"/>
  <c r="AC103" i="32"/>
  <c r="AF103" i="32"/>
  <c r="AG103" i="32"/>
  <c r="N5" i="16"/>
  <c r="T5" i="16"/>
  <c r="AJ5" i="16"/>
  <c r="AK5" i="16"/>
  <c r="AL5" i="16"/>
  <c r="AM5" i="16"/>
  <c r="N6" i="16"/>
  <c r="T6" i="16"/>
  <c r="AJ6" i="16"/>
  <c r="AK6" i="16"/>
  <c r="AL6" i="16"/>
  <c r="AM6" i="16"/>
  <c r="N7" i="16"/>
  <c r="T7" i="16"/>
  <c r="AJ7" i="16"/>
  <c r="AK7" i="16"/>
  <c r="AL7" i="16"/>
  <c r="AM7" i="16"/>
  <c r="N8" i="16"/>
  <c r="T8" i="16"/>
  <c r="AJ8" i="16"/>
  <c r="AK8" i="16"/>
  <c r="AL8" i="16"/>
  <c r="AM8" i="16"/>
  <c r="N9" i="16"/>
  <c r="T9" i="16"/>
  <c r="AJ9" i="16"/>
  <c r="AK9" i="16"/>
  <c r="AL9" i="16"/>
  <c r="AM9" i="16"/>
  <c r="N10" i="16"/>
  <c r="T10" i="16"/>
  <c r="AJ10" i="16"/>
  <c r="AK10" i="16"/>
  <c r="AL10" i="16"/>
  <c r="AM10" i="16"/>
  <c r="N11" i="16"/>
  <c r="T11" i="16"/>
  <c r="AJ11" i="16"/>
  <c r="AK11" i="16"/>
  <c r="AL11" i="16"/>
  <c r="AM11" i="16"/>
  <c r="N12" i="16"/>
  <c r="T12" i="16"/>
  <c r="AJ12" i="16"/>
  <c r="AK12" i="16"/>
  <c r="AL12" i="16"/>
  <c r="AM12" i="16"/>
  <c r="N13" i="16"/>
  <c r="T13" i="16"/>
  <c r="AJ13" i="16"/>
  <c r="AK13" i="16"/>
  <c r="AL13" i="16"/>
  <c r="AM13" i="16"/>
  <c r="N14" i="16"/>
  <c r="T14" i="16"/>
  <c r="AJ14" i="16"/>
  <c r="AK14" i="16"/>
  <c r="AL14" i="16"/>
  <c r="AM14" i="16"/>
  <c r="N15" i="16"/>
  <c r="T15" i="16"/>
  <c r="AJ15" i="16"/>
  <c r="AK15" i="16"/>
  <c r="AL15" i="16"/>
  <c r="AM15" i="16"/>
  <c r="N16" i="16"/>
  <c r="T16" i="16"/>
  <c r="AJ16" i="16"/>
  <c r="AK16" i="16"/>
  <c r="AL16" i="16"/>
  <c r="AM16" i="16"/>
  <c r="N17" i="16"/>
  <c r="T17" i="16"/>
  <c r="AJ17" i="16"/>
  <c r="AK17" i="16"/>
  <c r="AL17" i="16"/>
  <c r="AM17" i="16"/>
  <c r="N18" i="16"/>
  <c r="T18" i="16"/>
  <c r="AJ18" i="16"/>
  <c r="AK18" i="16"/>
  <c r="AL18" i="16"/>
  <c r="AM18" i="16"/>
  <c r="N19" i="16"/>
  <c r="T19" i="16"/>
  <c r="AJ19" i="16"/>
  <c r="AK19" i="16"/>
  <c r="AL19" i="16"/>
  <c r="AM19" i="16"/>
  <c r="N20" i="16"/>
  <c r="T20" i="16"/>
  <c r="AJ20" i="16"/>
  <c r="AK20" i="16"/>
  <c r="AL20" i="16"/>
  <c r="AM20" i="16"/>
  <c r="N21" i="16"/>
  <c r="T21" i="16"/>
  <c r="AJ21" i="16"/>
  <c r="AK21" i="16"/>
  <c r="AL21" i="16"/>
  <c r="AM21" i="16"/>
  <c r="N22" i="16"/>
  <c r="T22" i="16"/>
  <c r="AJ22" i="16"/>
  <c r="AK22" i="16"/>
  <c r="AL22" i="16"/>
  <c r="AM22" i="16"/>
  <c r="N23" i="16"/>
  <c r="T23" i="16"/>
  <c r="AJ23" i="16"/>
  <c r="AK23" i="16"/>
  <c r="AL23" i="16"/>
  <c r="AM23" i="16"/>
  <c r="N24" i="16"/>
  <c r="T24" i="16"/>
  <c r="AJ24" i="16"/>
  <c r="AK24" i="16"/>
  <c r="AL24" i="16"/>
  <c r="AM24" i="16"/>
  <c r="N25" i="16"/>
  <c r="T25" i="16"/>
  <c r="AJ25" i="16"/>
  <c r="AK25" i="16"/>
  <c r="AL25" i="16"/>
  <c r="AM25" i="16"/>
  <c r="N26" i="16"/>
  <c r="T26" i="16"/>
  <c r="AJ26" i="16"/>
  <c r="AK26" i="16"/>
  <c r="AL26" i="16"/>
  <c r="AM26" i="16"/>
  <c r="N27" i="16"/>
  <c r="T27" i="16"/>
  <c r="AJ27" i="16"/>
  <c r="AK27" i="16"/>
  <c r="AL27" i="16"/>
  <c r="AM27" i="16"/>
  <c r="N28" i="16"/>
  <c r="T28" i="16"/>
  <c r="AJ28" i="16"/>
  <c r="AK28" i="16"/>
  <c r="AL28" i="16"/>
  <c r="AM28" i="16"/>
  <c r="N29" i="16"/>
  <c r="T29" i="16"/>
  <c r="AJ29" i="16"/>
  <c r="AK29" i="16"/>
  <c r="AL29" i="16"/>
  <c r="AM29" i="16"/>
  <c r="N30" i="16"/>
  <c r="T30" i="16"/>
  <c r="AJ30" i="16"/>
  <c r="AK30" i="16"/>
  <c r="AL30" i="16"/>
  <c r="AM30" i="16"/>
  <c r="N31" i="16"/>
  <c r="T31" i="16"/>
  <c r="AJ31" i="16"/>
  <c r="AK31" i="16"/>
  <c r="AL31" i="16"/>
  <c r="AM31" i="16"/>
  <c r="N32" i="16"/>
  <c r="T32" i="16"/>
  <c r="AJ32" i="16"/>
  <c r="AK32" i="16"/>
  <c r="AL32" i="16"/>
  <c r="AM32" i="16"/>
  <c r="N33" i="16"/>
  <c r="T33" i="16"/>
  <c r="AJ33" i="16"/>
  <c r="AK33" i="16"/>
  <c r="AL33" i="16"/>
  <c r="AM33" i="16"/>
  <c r="N34" i="16"/>
  <c r="T34" i="16"/>
  <c r="AJ34" i="16"/>
  <c r="AK34" i="16"/>
  <c r="AL34" i="16"/>
  <c r="AM34" i="16"/>
  <c r="N35" i="16"/>
  <c r="T35" i="16"/>
  <c r="AJ35" i="16"/>
  <c r="AK35" i="16"/>
  <c r="AL35" i="16"/>
  <c r="AM35" i="16"/>
  <c r="N36" i="16"/>
  <c r="T36" i="16"/>
  <c r="AJ36" i="16"/>
  <c r="AK36" i="16"/>
  <c r="AL36" i="16"/>
  <c r="AM36" i="16"/>
  <c r="N37" i="16"/>
  <c r="T37" i="16"/>
  <c r="AJ37" i="16"/>
  <c r="AK37" i="16"/>
  <c r="AL37" i="16"/>
  <c r="AM37" i="16"/>
  <c r="N38" i="16"/>
  <c r="T38" i="16"/>
  <c r="AJ38" i="16"/>
  <c r="AK38" i="16"/>
  <c r="AL38" i="16"/>
  <c r="AM38" i="16"/>
  <c r="N39" i="16"/>
  <c r="T39" i="16"/>
  <c r="AJ39" i="16"/>
  <c r="AK39" i="16"/>
  <c r="AL39" i="16"/>
  <c r="AM39" i="16"/>
  <c r="N40" i="16"/>
  <c r="T40" i="16"/>
  <c r="AJ40" i="16"/>
  <c r="AK40" i="16"/>
  <c r="AL40" i="16"/>
  <c r="AM40" i="16"/>
  <c r="N41" i="16"/>
  <c r="T41" i="16"/>
  <c r="AJ41" i="16"/>
  <c r="AK41" i="16"/>
  <c r="AL41" i="16"/>
  <c r="AM41" i="16"/>
  <c r="N42" i="16"/>
  <c r="T42" i="16"/>
  <c r="AJ42" i="16"/>
  <c r="AK42" i="16"/>
  <c r="AL42" i="16"/>
  <c r="AM42" i="16"/>
  <c r="N43" i="16"/>
  <c r="T43" i="16"/>
  <c r="AJ43" i="16"/>
  <c r="AK43" i="16"/>
  <c r="AL43" i="16"/>
  <c r="AM43" i="16"/>
  <c r="N44" i="16"/>
  <c r="T44" i="16"/>
  <c r="AJ44" i="16"/>
  <c r="AK44" i="16"/>
  <c r="AL44" i="16"/>
  <c r="AM44" i="16"/>
  <c r="N45" i="16"/>
  <c r="T45" i="16"/>
  <c r="AJ45" i="16"/>
  <c r="AK45" i="16"/>
  <c r="AL45" i="16"/>
  <c r="AM45" i="16"/>
  <c r="N46" i="16"/>
  <c r="T46" i="16"/>
  <c r="AJ46" i="16"/>
  <c r="AK46" i="16"/>
  <c r="AL46" i="16"/>
  <c r="AM46" i="16"/>
  <c r="N47" i="16"/>
  <c r="T47" i="16"/>
  <c r="AJ47" i="16"/>
  <c r="AK47" i="16"/>
  <c r="AL47" i="16"/>
  <c r="AM47" i="16"/>
  <c r="N48" i="16"/>
  <c r="T48" i="16"/>
  <c r="AJ48" i="16"/>
  <c r="AK48" i="16"/>
  <c r="AL48" i="16"/>
  <c r="AM48" i="16"/>
  <c r="N49" i="16"/>
  <c r="T49" i="16"/>
  <c r="AJ49" i="16"/>
  <c r="AK49" i="16"/>
  <c r="AL49" i="16"/>
  <c r="AM49" i="16"/>
  <c r="N50" i="16"/>
  <c r="T50" i="16"/>
  <c r="AJ50" i="16"/>
  <c r="AK50" i="16"/>
  <c r="AL50" i="16"/>
  <c r="AM50" i="16"/>
  <c r="N51" i="16"/>
  <c r="T51" i="16"/>
  <c r="AJ51" i="16"/>
  <c r="AK51" i="16"/>
  <c r="AL51" i="16"/>
  <c r="AM51" i="16"/>
  <c r="N53" i="16"/>
  <c r="T53" i="16"/>
  <c r="AJ53" i="16"/>
  <c r="AK53" i="16"/>
  <c r="AL53" i="16"/>
  <c r="AM53" i="16"/>
  <c r="N58" i="16"/>
  <c r="AE58" i="16"/>
  <c r="AF58" i="16"/>
  <c r="AJ58" i="16"/>
  <c r="AK58" i="16"/>
  <c r="N5" i="17"/>
  <c r="T5" i="17"/>
  <c r="AE5" i="17"/>
  <c r="AF5" i="17"/>
  <c r="AG5" i="17"/>
  <c r="AJ5" i="17"/>
  <c r="AK5" i="17"/>
  <c r="AL5" i="17"/>
  <c r="AM5" i="17"/>
  <c r="AO5" i="17"/>
  <c r="AP5" i="17"/>
  <c r="N6" i="17"/>
  <c r="T6" i="17"/>
  <c r="AE6" i="17"/>
  <c r="AF6" i="17"/>
  <c r="AG6" i="17"/>
  <c r="AJ6" i="17"/>
  <c r="AK6" i="17"/>
  <c r="AL6" i="17"/>
  <c r="AM6" i="17"/>
  <c r="AO6" i="17"/>
  <c r="AP6" i="17"/>
  <c r="N7" i="17"/>
  <c r="T7" i="17"/>
  <c r="AE7" i="17"/>
  <c r="AF7" i="17"/>
  <c r="AG7" i="17"/>
  <c r="AJ7" i="17"/>
  <c r="AK7" i="17"/>
  <c r="AL7" i="17"/>
  <c r="AM7" i="17"/>
  <c r="AO7" i="17"/>
  <c r="AP7" i="17"/>
  <c r="N8" i="17"/>
  <c r="T8" i="17"/>
  <c r="AE8" i="17"/>
  <c r="AF8" i="17"/>
  <c r="AG8" i="17"/>
  <c r="AJ8" i="17"/>
  <c r="AK8" i="17"/>
  <c r="AL8" i="17"/>
  <c r="AM8" i="17"/>
  <c r="AO8" i="17"/>
  <c r="AP8" i="17"/>
  <c r="N9" i="17"/>
  <c r="T9" i="17"/>
  <c r="AE9" i="17"/>
  <c r="AF9" i="17"/>
  <c r="AG9" i="17"/>
  <c r="AJ9" i="17"/>
  <c r="AK9" i="17"/>
  <c r="AL9" i="17"/>
  <c r="AM9" i="17"/>
  <c r="AO9" i="17"/>
  <c r="AP9" i="17"/>
  <c r="N10" i="17"/>
  <c r="T10" i="17"/>
  <c r="AE10" i="17"/>
  <c r="AF10" i="17"/>
  <c r="AG10" i="17"/>
  <c r="AJ10" i="17"/>
  <c r="AK10" i="17"/>
  <c r="AL10" i="17"/>
  <c r="AM10" i="17"/>
  <c r="AO10" i="17"/>
  <c r="AP10" i="17"/>
  <c r="N11" i="17"/>
  <c r="T11" i="17"/>
  <c r="AE11" i="17"/>
  <c r="AF11" i="17"/>
  <c r="AG11" i="17"/>
  <c r="AJ11" i="17"/>
  <c r="AK11" i="17"/>
  <c r="AL11" i="17"/>
  <c r="AM11" i="17"/>
  <c r="AO11" i="17"/>
  <c r="AP11" i="17"/>
  <c r="N12" i="17"/>
  <c r="T12" i="17"/>
  <c r="AE12" i="17"/>
  <c r="AF12" i="17"/>
  <c r="AG12" i="17"/>
  <c r="AJ12" i="17"/>
  <c r="AK12" i="17"/>
  <c r="AL12" i="17"/>
  <c r="AM12" i="17"/>
  <c r="AO12" i="17"/>
  <c r="AP12" i="17"/>
  <c r="N13" i="17"/>
  <c r="T13" i="17"/>
  <c r="AE13" i="17"/>
  <c r="AF13" i="17"/>
  <c r="AG13" i="17"/>
  <c r="AJ13" i="17"/>
  <c r="AK13" i="17"/>
  <c r="AL13" i="17"/>
  <c r="AM13" i="17"/>
  <c r="AO13" i="17"/>
  <c r="AP13" i="17"/>
  <c r="N14" i="17"/>
  <c r="T14" i="17"/>
  <c r="AE14" i="17"/>
  <c r="AF14" i="17"/>
  <c r="AG14" i="17"/>
  <c r="AJ14" i="17"/>
  <c r="AK14" i="17"/>
  <c r="AL14" i="17"/>
  <c r="AM14" i="17"/>
  <c r="AO14" i="17"/>
  <c r="AP14" i="17"/>
  <c r="N15" i="17"/>
  <c r="T15" i="17"/>
  <c r="AE15" i="17"/>
  <c r="AF15" i="17"/>
  <c r="AG15" i="17"/>
  <c r="AJ15" i="17"/>
  <c r="AK15" i="17"/>
  <c r="AL15" i="17"/>
  <c r="AM15" i="17"/>
  <c r="AO15" i="17"/>
  <c r="AP15" i="17"/>
  <c r="N16" i="17"/>
  <c r="T16" i="17"/>
  <c r="AE16" i="17"/>
  <c r="AF16" i="17"/>
  <c r="AG16" i="17"/>
  <c r="AJ16" i="17"/>
  <c r="AK16" i="17"/>
  <c r="AL16" i="17"/>
  <c r="AM16" i="17"/>
  <c r="AO16" i="17"/>
  <c r="AP16" i="17"/>
  <c r="N17" i="17"/>
  <c r="T17" i="17"/>
  <c r="AE17" i="17"/>
  <c r="AF17" i="17"/>
  <c r="AG17" i="17"/>
  <c r="AJ17" i="17"/>
  <c r="AK17" i="17"/>
  <c r="AL17" i="17"/>
  <c r="AM17" i="17"/>
  <c r="AO17" i="17"/>
  <c r="AP17" i="17"/>
  <c r="N18" i="17"/>
  <c r="T18" i="17"/>
  <c r="AE18" i="17"/>
  <c r="AF18" i="17"/>
  <c r="AG18" i="17"/>
  <c r="AJ18" i="17"/>
  <c r="AK18" i="17"/>
  <c r="AL18" i="17"/>
  <c r="AM18" i="17"/>
  <c r="AO18" i="17"/>
  <c r="AP18" i="17"/>
  <c r="N19" i="17"/>
  <c r="T19" i="17"/>
  <c r="AE19" i="17"/>
  <c r="AF19" i="17"/>
  <c r="AG19" i="17"/>
  <c r="AJ19" i="17"/>
  <c r="AK19" i="17"/>
  <c r="AL19" i="17"/>
  <c r="AM19" i="17"/>
  <c r="AO19" i="17"/>
  <c r="AP19" i="17"/>
  <c r="N20" i="17"/>
  <c r="T20" i="17"/>
  <c r="AE20" i="17"/>
  <c r="AF20" i="17"/>
  <c r="AG20" i="17"/>
  <c r="AJ20" i="17"/>
  <c r="AK20" i="17"/>
  <c r="AL20" i="17"/>
  <c r="AM20" i="17"/>
  <c r="AO20" i="17"/>
  <c r="AP20" i="17"/>
  <c r="N21" i="17"/>
  <c r="T21" i="17"/>
  <c r="AE21" i="17"/>
  <c r="AF21" i="17"/>
  <c r="AG21" i="17"/>
  <c r="AJ21" i="17"/>
  <c r="AK21" i="17"/>
  <c r="AL21" i="17"/>
  <c r="AM21" i="17"/>
  <c r="AO21" i="17"/>
  <c r="AP21" i="17"/>
  <c r="N22" i="17"/>
  <c r="T22" i="17"/>
  <c r="AE22" i="17"/>
  <c r="AF22" i="17"/>
  <c r="AG22" i="17"/>
  <c r="AJ22" i="17"/>
  <c r="AK22" i="17"/>
  <c r="AL22" i="17"/>
  <c r="AM22" i="17"/>
  <c r="AO22" i="17"/>
  <c r="AP22" i="17"/>
  <c r="N23" i="17"/>
  <c r="T23" i="17"/>
  <c r="AE23" i="17"/>
  <c r="AF23" i="17"/>
  <c r="AG23" i="17"/>
  <c r="AJ23" i="17"/>
  <c r="AK23" i="17"/>
  <c r="AL23" i="17"/>
  <c r="AM23" i="17"/>
  <c r="AO23" i="17"/>
  <c r="AP23" i="17"/>
  <c r="N24" i="17"/>
  <c r="T24" i="17"/>
  <c r="AE24" i="17"/>
  <c r="AF24" i="17"/>
  <c r="AG24" i="17"/>
  <c r="AJ24" i="17"/>
  <c r="AK24" i="17"/>
  <c r="AL24" i="17"/>
  <c r="AM24" i="17"/>
  <c r="AO24" i="17"/>
  <c r="AP24" i="17"/>
  <c r="N25" i="17"/>
  <c r="T25" i="17"/>
  <c r="AE25" i="17"/>
  <c r="AF25" i="17"/>
  <c r="AG25" i="17"/>
  <c r="AJ25" i="17"/>
  <c r="AK25" i="17"/>
  <c r="AL25" i="17"/>
  <c r="AM25" i="17"/>
  <c r="AO25" i="17"/>
  <c r="AP25" i="17"/>
  <c r="N26" i="17"/>
  <c r="T26" i="17"/>
  <c r="AE26" i="17"/>
  <c r="AF26" i="17"/>
  <c r="AG26" i="17"/>
  <c r="AJ26" i="17"/>
  <c r="AK26" i="17"/>
  <c r="AL26" i="17"/>
  <c r="AM26" i="17"/>
  <c r="AO26" i="17"/>
  <c r="AP26" i="17"/>
  <c r="N27" i="17"/>
  <c r="T27" i="17"/>
  <c r="AE27" i="17"/>
  <c r="AF27" i="17"/>
  <c r="AG27" i="17"/>
  <c r="AJ27" i="17"/>
  <c r="AK27" i="17"/>
  <c r="AL27" i="17"/>
  <c r="AM27" i="17"/>
  <c r="AO27" i="17"/>
  <c r="AP27" i="17"/>
  <c r="N28" i="17"/>
  <c r="T28" i="17"/>
  <c r="AE28" i="17"/>
  <c r="AF28" i="17"/>
  <c r="AG28" i="17"/>
  <c r="AJ28" i="17"/>
  <c r="AK28" i="17"/>
  <c r="AL28" i="17"/>
  <c r="AM28" i="17"/>
  <c r="AO28" i="17"/>
  <c r="AP28" i="17"/>
  <c r="N29" i="17"/>
  <c r="T29" i="17"/>
  <c r="AE29" i="17"/>
  <c r="AF29" i="17"/>
  <c r="AG29" i="17"/>
  <c r="AJ29" i="17"/>
  <c r="AK29" i="17"/>
  <c r="AL29" i="17"/>
  <c r="AM29" i="17"/>
  <c r="AO29" i="17"/>
  <c r="AP29" i="17"/>
  <c r="N30" i="17"/>
  <c r="T30" i="17"/>
  <c r="AE30" i="17"/>
  <c r="AF30" i="17"/>
  <c r="AG30" i="17"/>
  <c r="AJ30" i="17"/>
  <c r="AK30" i="17"/>
  <c r="AL30" i="17"/>
  <c r="AM30" i="17"/>
  <c r="AO30" i="17"/>
  <c r="AP30" i="17"/>
  <c r="N31" i="17"/>
  <c r="T31" i="17"/>
  <c r="AE31" i="17"/>
  <c r="AF31" i="17"/>
  <c r="AG31" i="17"/>
  <c r="AJ31" i="17"/>
  <c r="AK31" i="17"/>
  <c r="AL31" i="17"/>
  <c r="AM31" i="17"/>
  <c r="AO31" i="17"/>
  <c r="AP31" i="17"/>
  <c r="N32" i="17"/>
  <c r="T32" i="17"/>
  <c r="AE32" i="17"/>
  <c r="AF32" i="17"/>
  <c r="AG32" i="17"/>
  <c r="AJ32" i="17"/>
  <c r="AK32" i="17"/>
  <c r="AL32" i="17"/>
  <c r="AM32" i="17"/>
  <c r="AO32" i="17"/>
  <c r="AP32" i="17"/>
  <c r="N33" i="17"/>
  <c r="T33" i="17"/>
  <c r="AE33" i="17"/>
  <c r="AF33" i="17"/>
  <c r="AG33" i="17"/>
  <c r="AJ33" i="17"/>
  <c r="AK33" i="17"/>
  <c r="AL33" i="17"/>
  <c r="AM33" i="17"/>
  <c r="AO33" i="17"/>
  <c r="AP33" i="17"/>
  <c r="N34" i="17"/>
  <c r="T34" i="17"/>
  <c r="AE34" i="17"/>
  <c r="AF34" i="17"/>
  <c r="AG34" i="17"/>
  <c r="AJ34" i="17"/>
  <c r="AK34" i="17"/>
  <c r="AL34" i="17"/>
  <c r="AM34" i="17"/>
  <c r="AO34" i="17"/>
  <c r="AP34" i="17"/>
  <c r="N35" i="17"/>
  <c r="T35" i="17"/>
  <c r="AE35" i="17"/>
  <c r="AF35" i="17"/>
  <c r="AG35" i="17"/>
  <c r="AJ35" i="17"/>
  <c r="AK35" i="17"/>
  <c r="AL35" i="17"/>
  <c r="AM35" i="17"/>
  <c r="AO35" i="17"/>
  <c r="AP35" i="17"/>
  <c r="N36" i="17"/>
  <c r="T36" i="17"/>
  <c r="AE36" i="17"/>
  <c r="AF36" i="17"/>
  <c r="AG36" i="17"/>
  <c r="AJ36" i="17"/>
  <c r="AK36" i="17"/>
  <c r="AL36" i="17"/>
  <c r="AM36" i="17"/>
  <c r="AO36" i="17"/>
  <c r="AP36" i="17"/>
  <c r="N37" i="17"/>
  <c r="T37" i="17"/>
  <c r="AE37" i="17"/>
  <c r="AF37" i="17"/>
  <c r="AG37" i="17"/>
  <c r="AJ37" i="17"/>
  <c r="AK37" i="17"/>
  <c r="AL37" i="17"/>
  <c r="AM37" i="17"/>
  <c r="AO37" i="17"/>
  <c r="AP37" i="17"/>
  <c r="N38" i="17"/>
  <c r="T38" i="17"/>
  <c r="AE38" i="17"/>
  <c r="AF38" i="17"/>
  <c r="AG38" i="17"/>
  <c r="AJ38" i="17"/>
  <c r="AK38" i="17"/>
  <c r="AL38" i="17"/>
  <c r="AM38" i="17"/>
  <c r="AO38" i="17"/>
  <c r="AP38" i="17"/>
  <c r="N39" i="17"/>
  <c r="T39" i="17"/>
  <c r="AE39" i="17"/>
  <c r="AF39" i="17"/>
  <c r="AG39" i="17"/>
  <c r="AJ39" i="17"/>
  <c r="AK39" i="17"/>
  <c r="AL39" i="17"/>
  <c r="AM39" i="17"/>
  <c r="AO39" i="17"/>
  <c r="AP39" i="17"/>
  <c r="N40" i="17"/>
  <c r="T40" i="17"/>
  <c r="AE40" i="17"/>
  <c r="AF40" i="17"/>
  <c r="AG40" i="17"/>
  <c r="AJ40" i="17"/>
  <c r="AK40" i="17"/>
  <c r="AL40" i="17"/>
  <c r="AM40" i="17"/>
  <c r="AO40" i="17"/>
  <c r="AP40" i="17"/>
  <c r="N41" i="17"/>
  <c r="T41" i="17"/>
  <c r="AE41" i="17"/>
  <c r="AF41" i="17"/>
  <c r="AG41" i="17"/>
  <c r="AJ41" i="17"/>
  <c r="AK41" i="17"/>
  <c r="AL41" i="17"/>
  <c r="AM41" i="17"/>
  <c r="AO41" i="17"/>
  <c r="AP41" i="17"/>
  <c r="N42" i="17"/>
  <c r="T42" i="17"/>
  <c r="AE42" i="17"/>
  <c r="AF42" i="17"/>
  <c r="AG42" i="17"/>
  <c r="AJ42" i="17"/>
  <c r="AK42" i="17"/>
  <c r="AL42" i="17"/>
  <c r="AM42" i="17"/>
  <c r="AO42" i="17"/>
  <c r="AP42" i="17"/>
  <c r="N43" i="17"/>
  <c r="T43" i="17"/>
  <c r="AE43" i="17"/>
  <c r="AF43" i="17"/>
  <c r="AG43" i="17"/>
  <c r="AJ43" i="17"/>
  <c r="AK43" i="17"/>
  <c r="AL43" i="17"/>
  <c r="AM43" i="17"/>
  <c r="AO43" i="17"/>
  <c r="AP43" i="17"/>
  <c r="N44" i="17"/>
  <c r="T44" i="17"/>
  <c r="AE44" i="17"/>
  <c r="AF44" i="17"/>
  <c r="AG44" i="17"/>
  <c r="AJ44" i="17"/>
  <c r="AK44" i="17"/>
  <c r="AL44" i="17"/>
  <c r="AM44" i="17"/>
  <c r="AO44" i="17"/>
  <c r="AP44" i="17"/>
  <c r="N45" i="17"/>
  <c r="T45" i="17"/>
  <c r="AE45" i="17"/>
  <c r="AF45" i="17"/>
  <c r="AG45" i="17"/>
  <c r="AJ45" i="17"/>
  <c r="AK45" i="17"/>
  <c r="AL45" i="17"/>
  <c r="AM45" i="17"/>
  <c r="AO45" i="17"/>
  <c r="AP45" i="17"/>
  <c r="N46" i="17"/>
  <c r="T46" i="17"/>
  <c r="AE46" i="17"/>
  <c r="AF46" i="17"/>
  <c r="AG46" i="17"/>
  <c r="AJ46" i="17"/>
  <c r="AK46" i="17"/>
  <c r="AL46" i="17"/>
  <c r="AM46" i="17"/>
  <c r="AO46" i="17"/>
  <c r="AP46" i="17"/>
  <c r="N47" i="17"/>
  <c r="T47" i="17"/>
  <c r="AE47" i="17"/>
  <c r="AF47" i="17"/>
  <c r="AG47" i="17"/>
  <c r="AJ47" i="17"/>
  <c r="AK47" i="17"/>
  <c r="AL47" i="17"/>
  <c r="AM47" i="17"/>
  <c r="AO47" i="17"/>
  <c r="AP47" i="17"/>
  <c r="N48" i="17"/>
  <c r="T48" i="17"/>
  <c r="AE48" i="17"/>
  <c r="AF48" i="17"/>
  <c r="AG48" i="17"/>
  <c r="AJ48" i="17"/>
  <c r="AK48" i="17"/>
  <c r="AL48" i="17"/>
  <c r="AM48" i="17"/>
  <c r="AO48" i="17"/>
  <c r="AP48" i="17"/>
  <c r="N49" i="17"/>
  <c r="T49" i="17"/>
  <c r="AE49" i="17"/>
  <c r="AF49" i="17"/>
  <c r="AG49" i="17"/>
  <c r="AJ49" i="17"/>
  <c r="AK49" i="17"/>
  <c r="AL49" i="17"/>
  <c r="AM49" i="17"/>
  <c r="AO49" i="17"/>
  <c r="AP49" i="17"/>
  <c r="N50" i="17"/>
  <c r="T50" i="17"/>
  <c r="AE50" i="17"/>
  <c r="AF50" i="17"/>
  <c r="AG50" i="17"/>
  <c r="AJ50" i="17"/>
  <c r="AK50" i="17"/>
  <c r="AL50" i="17"/>
  <c r="AM50" i="17"/>
  <c r="AO50" i="17"/>
  <c r="AP50" i="17"/>
  <c r="N51" i="17"/>
  <c r="T51" i="17"/>
  <c r="AE51" i="17"/>
  <c r="AF51" i="17"/>
  <c r="AG51" i="17"/>
  <c r="AJ51" i="17"/>
  <c r="AK51" i="17"/>
  <c r="AL51" i="17"/>
  <c r="AM51" i="17"/>
  <c r="AO51" i="17"/>
  <c r="AP51" i="17"/>
  <c r="N53" i="17"/>
  <c r="T53" i="17"/>
  <c r="AE53" i="17"/>
  <c r="AF53" i="17"/>
  <c r="AG53" i="17"/>
  <c r="AJ53" i="17"/>
  <c r="AK53" i="17"/>
  <c r="AL53" i="17"/>
  <c r="AM53" i="17"/>
  <c r="AO53" i="17"/>
  <c r="AP53" i="17"/>
  <c r="AO55" i="17"/>
  <c r="AP55" i="17"/>
  <c r="AE58" i="17"/>
  <c r="AF58" i="17"/>
  <c r="N5" i="18"/>
  <c r="T5" i="18"/>
  <c r="AE5" i="18"/>
  <c r="AF5" i="18"/>
  <c r="AG5" i="18"/>
  <c r="AJ5" i="18"/>
  <c r="AK5" i="18"/>
  <c r="AL5" i="18"/>
  <c r="AM5" i="18"/>
  <c r="AO5" i="18"/>
  <c r="AP5" i="18"/>
  <c r="N6" i="18"/>
  <c r="T6" i="18"/>
  <c r="AE6" i="18"/>
  <c r="AF6" i="18"/>
  <c r="AG6" i="18"/>
  <c r="AJ6" i="18"/>
  <c r="AK6" i="18"/>
  <c r="AL6" i="18"/>
  <c r="AM6" i="18"/>
  <c r="AO6" i="18"/>
  <c r="AP6" i="18"/>
  <c r="N7" i="18"/>
  <c r="T7" i="18"/>
  <c r="AE7" i="18"/>
  <c r="AF7" i="18"/>
  <c r="AG7" i="18"/>
  <c r="AJ7" i="18"/>
  <c r="AK7" i="18"/>
  <c r="AL7" i="18"/>
  <c r="AM7" i="18"/>
  <c r="AO7" i="18"/>
  <c r="AP7" i="18"/>
  <c r="N8" i="18"/>
  <c r="T8" i="18"/>
  <c r="AE8" i="18"/>
  <c r="AF8" i="18"/>
  <c r="AG8" i="18"/>
  <c r="AJ8" i="18"/>
  <c r="AK8" i="18"/>
  <c r="AL8" i="18"/>
  <c r="AM8" i="18"/>
  <c r="AO8" i="18"/>
  <c r="AP8" i="18"/>
  <c r="N9" i="18"/>
  <c r="T9" i="18"/>
  <c r="AE9" i="18"/>
  <c r="AF9" i="18"/>
  <c r="AG9" i="18"/>
  <c r="AJ9" i="18"/>
  <c r="AK9" i="18"/>
  <c r="AL9" i="18"/>
  <c r="AM9" i="18"/>
  <c r="AO9" i="18"/>
  <c r="AP9" i="18"/>
  <c r="N10" i="18"/>
  <c r="T10" i="18"/>
  <c r="AE10" i="18"/>
  <c r="AF10" i="18"/>
  <c r="AG10" i="18"/>
  <c r="AJ10" i="18"/>
  <c r="AK10" i="18"/>
  <c r="AL10" i="18"/>
  <c r="AM10" i="18"/>
  <c r="AO10" i="18"/>
  <c r="AP10" i="18"/>
  <c r="N11" i="18"/>
  <c r="T11" i="18"/>
  <c r="AE11" i="18"/>
  <c r="AF11" i="18"/>
  <c r="AG11" i="18"/>
  <c r="AJ11" i="18"/>
  <c r="AK11" i="18"/>
  <c r="AL11" i="18"/>
  <c r="AM11" i="18"/>
  <c r="AO11" i="18"/>
  <c r="AP11" i="18"/>
  <c r="N12" i="18"/>
  <c r="T12" i="18"/>
  <c r="AE12" i="18"/>
  <c r="AF12" i="18"/>
  <c r="AG12" i="18"/>
  <c r="AJ12" i="18"/>
  <c r="AK12" i="18"/>
  <c r="AL12" i="18"/>
  <c r="AM12" i="18"/>
  <c r="AO12" i="18"/>
  <c r="AP12" i="18"/>
  <c r="N13" i="18"/>
  <c r="T13" i="18"/>
  <c r="AE13" i="18"/>
  <c r="AF13" i="18"/>
  <c r="AG13" i="18"/>
  <c r="AJ13" i="18"/>
  <c r="AK13" i="18"/>
  <c r="AL13" i="18"/>
  <c r="AM13" i="18"/>
  <c r="AO13" i="18"/>
  <c r="AP13" i="18"/>
  <c r="N14" i="18"/>
  <c r="T14" i="18"/>
  <c r="AE14" i="18"/>
  <c r="AF14" i="18"/>
  <c r="AG14" i="18"/>
  <c r="AJ14" i="18"/>
  <c r="AK14" i="18"/>
  <c r="AL14" i="18"/>
  <c r="AM14" i="18"/>
  <c r="AO14" i="18"/>
  <c r="AP14" i="18"/>
  <c r="N15" i="18"/>
  <c r="T15" i="18"/>
  <c r="AE15" i="18"/>
  <c r="AF15" i="18"/>
  <c r="AG15" i="18"/>
  <c r="AJ15" i="18"/>
  <c r="AK15" i="18"/>
  <c r="AL15" i="18"/>
  <c r="AM15" i="18"/>
  <c r="AO15" i="18"/>
  <c r="AP15" i="18"/>
  <c r="N16" i="18"/>
  <c r="T16" i="18"/>
  <c r="AE16" i="18"/>
  <c r="AF16" i="18"/>
  <c r="AG16" i="18"/>
  <c r="AJ16" i="18"/>
  <c r="AK16" i="18"/>
  <c r="AL16" i="18"/>
  <c r="AM16" i="18"/>
  <c r="AO16" i="18"/>
  <c r="AP16" i="18"/>
  <c r="N17" i="18"/>
  <c r="T17" i="18"/>
  <c r="AE17" i="18"/>
  <c r="AF17" i="18"/>
  <c r="AG17" i="18"/>
  <c r="AJ17" i="18"/>
  <c r="AK17" i="18"/>
  <c r="AL17" i="18"/>
  <c r="AM17" i="18"/>
  <c r="AO17" i="18"/>
  <c r="AP17" i="18"/>
  <c r="N18" i="18"/>
  <c r="T18" i="18"/>
  <c r="AE18" i="18"/>
  <c r="AF18" i="18"/>
  <c r="AG18" i="18"/>
  <c r="AJ18" i="18"/>
  <c r="AK18" i="18"/>
  <c r="AL18" i="18"/>
  <c r="AM18" i="18"/>
  <c r="AO18" i="18"/>
  <c r="AP18" i="18"/>
  <c r="N19" i="18"/>
  <c r="T19" i="18"/>
  <c r="AE19" i="18"/>
  <c r="AF19" i="18"/>
  <c r="AG19" i="18"/>
  <c r="AJ19" i="18"/>
  <c r="AK19" i="18"/>
  <c r="AL19" i="18"/>
  <c r="AM19" i="18"/>
  <c r="AO19" i="18"/>
  <c r="AP19" i="18"/>
  <c r="N20" i="18"/>
  <c r="T20" i="18"/>
  <c r="AE20" i="18"/>
  <c r="AF20" i="18"/>
  <c r="AG20" i="18"/>
  <c r="AJ20" i="18"/>
  <c r="AK20" i="18"/>
  <c r="AL20" i="18"/>
  <c r="AM20" i="18"/>
  <c r="AO20" i="18"/>
  <c r="AP20" i="18"/>
  <c r="N21" i="18"/>
  <c r="T21" i="18"/>
  <c r="AE21" i="18"/>
  <c r="AF21" i="18"/>
  <c r="AG21" i="18"/>
  <c r="AJ21" i="18"/>
  <c r="AK21" i="18"/>
  <c r="AL21" i="18"/>
  <c r="AM21" i="18"/>
  <c r="AO21" i="18"/>
  <c r="AP21" i="18"/>
  <c r="N22" i="18"/>
  <c r="T22" i="18"/>
  <c r="AE22" i="18"/>
  <c r="AF22" i="18"/>
  <c r="AG22" i="18"/>
  <c r="AJ22" i="18"/>
  <c r="AK22" i="18"/>
  <c r="AL22" i="18"/>
  <c r="AM22" i="18"/>
  <c r="AO22" i="18"/>
  <c r="AP22" i="18"/>
  <c r="N23" i="18"/>
  <c r="T23" i="18"/>
  <c r="AE23" i="18"/>
  <c r="AF23" i="18"/>
  <c r="AG23" i="18"/>
  <c r="AJ23" i="18"/>
  <c r="AK23" i="18"/>
  <c r="AL23" i="18"/>
  <c r="AM23" i="18"/>
  <c r="AO23" i="18"/>
  <c r="AP23" i="18"/>
  <c r="N24" i="18"/>
  <c r="T24" i="18"/>
  <c r="AE24" i="18"/>
  <c r="AF24" i="18"/>
  <c r="AG24" i="18"/>
  <c r="AJ24" i="18"/>
  <c r="AK24" i="18"/>
  <c r="AL24" i="18"/>
  <c r="AM24" i="18"/>
  <c r="AO24" i="18"/>
  <c r="AP24" i="18"/>
  <c r="N25" i="18"/>
  <c r="T25" i="18"/>
  <c r="AE25" i="18"/>
  <c r="AF25" i="18"/>
  <c r="AG25" i="18"/>
  <c r="AJ25" i="18"/>
  <c r="AK25" i="18"/>
  <c r="AL25" i="18"/>
  <c r="AM25" i="18"/>
  <c r="AO25" i="18"/>
  <c r="AP25" i="18"/>
  <c r="N26" i="18"/>
  <c r="T26" i="18"/>
  <c r="AE26" i="18"/>
  <c r="AF26" i="18"/>
  <c r="AG26" i="18"/>
  <c r="AJ26" i="18"/>
  <c r="AK26" i="18"/>
  <c r="AL26" i="18"/>
  <c r="AM26" i="18"/>
  <c r="AO26" i="18"/>
  <c r="AP26" i="18"/>
  <c r="N27" i="18"/>
  <c r="T27" i="18"/>
  <c r="AE27" i="18"/>
  <c r="AF27" i="18"/>
  <c r="AG27" i="18"/>
  <c r="AJ27" i="18"/>
  <c r="AK27" i="18"/>
  <c r="AL27" i="18"/>
  <c r="AM27" i="18"/>
  <c r="AO27" i="18"/>
  <c r="AP27" i="18"/>
  <c r="N28" i="18"/>
  <c r="T28" i="18"/>
  <c r="AE28" i="18"/>
  <c r="AF28" i="18"/>
  <c r="AG28" i="18"/>
  <c r="AJ28" i="18"/>
  <c r="AK28" i="18"/>
  <c r="AL28" i="18"/>
  <c r="AM28" i="18"/>
  <c r="AO28" i="18"/>
  <c r="AP28" i="18"/>
  <c r="N29" i="18"/>
  <c r="T29" i="18"/>
  <c r="AE29" i="18"/>
  <c r="AF29" i="18"/>
  <c r="AG29" i="18"/>
  <c r="AJ29" i="18"/>
  <c r="AK29" i="18"/>
  <c r="AL29" i="18"/>
  <c r="AM29" i="18"/>
  <c r="AO29" i="18"/>
  <c r="AP29" i="18"/>
  <c r="N30" i="18"/>
  <c r="T30" i="18"/>
  <c r="AE30" i="18"/>
  <c r="AF30" i="18"/>
  <c r="AG30" i="18"/>
  <c r="AJ30" i="18"/>
  <c r="AK30" i="18"/>
  <c r="AL30" i="18"/>
  <c r="AM30" i="18"/>
  <c r="AO30" i="18"/>
  <c r="AP30" i="18"/>
  <c r="N31" i="18"/>
  <c r="T31" i="18"/>
  <c r="AE31" i="18"/>
  <c r="AF31" i="18"/>
  <c r="AG31" i="18"/>
  <c r="AJ31" i="18"/>
  <c r="AK31" i="18"/>
  <c r="AL31" i="18"/>
  <c r="AM31" i="18"/>
  <c r="AO31" i="18"/>
  <c r="AP31" i="18"/>
  <c r="N32" i="18"/>
  <c r="T32" i="18"/>
  <c r="AE32" i="18"/>
  <c r="AF32" i="18"/>
  <c r="AG32" i="18"/>
  <c r="AJ32" i="18"/>
  <c r="AK32" i="18"/>
  <c r="AL32" i="18"/>
  <c r="AM32" i="18"/>
  <c r="AO32" i="18"/>
  <c r="AP32" i="18"/>
  <c r="N33" i="18"/>
  <c r="T33" i="18"/>
  <c r="AE33" i="18"/>
  <c r="AF33" i="18"/>
  <c r="AG33" i="18"/>
  <c r="AJ33" i="18"/>
  <c r="AK33" i="18"/>
  <c r="AL33" i="18"/>
  <c r="AM33" i="18"/>
  <c r="AO33" i="18"/>
  <c r="AP33" i="18"/>
  <c r="N34" i="18"/>
  <c r="T34" i="18"/>
  <c r="AE34" i="18"/>
  <c r="AF34" i="18"/>
  <c r="AG34" i="18"/>
  <c r="AJ34" i="18"/>
  <c r="AK34" i="18"/>
  <c r="AL34" i="18"/>
  <c r="AM34" i="18"/>
  <c r="AO34" i="18"/>
  <c r="AP34" i="18"/>
  <c r="N35" i="18"/>
  <c r="T35" i="18"/>
  <c r="AE35" i="18"/>
  <c r="AF35" i="18"/>
  <c r="AG35" i="18"/>
  <c r="AJ35" i="18"/>
  <c r="AK35" i="18"/>
  <c r="AL35" i="18"/>
  <c r="AM35" i="18"/>
  <c r="AO35" i="18"/>
  <c r="AP35" i="18"/>
  <c r="N36" i="18"/>
  <c r="T36" i="18"/>
  <c r="AE36" i="18"/>
  <c r="AF36" i="18"/>
  <c r="AG36" i="18"/>
  <c r="AJ36" i="18"/>
  <c r="AK36" i="18"/>
  <c r="AL36" i="18"/>
  <c r="AM36" i="18"/>
  <c r="AO36" i="18"/>
  <c r="AP36" i="18"/>
  <c r="N37" i="18"/>
  <c r="T37" i="18"/>
  <c r="AE37" i="18"/>
  <c r="AF37" i="18"/>
  <c r="AG37" i="18"/>
  <c r="AJ37" i="18"/>
  <c r="AK37" i="18"/>
  <c r="AL37" i="18"/>
  <c r="AM37" i="18"/>
  <c r="AO37" i="18"/>
  <c r="AP37" i="18"/>
  <c r="N38" i="18"/>
  <c r="T38" i="18"/>
  <c r="AE38" i="18"/>
  <c r="AF38" i="18"/>
  <c r="AG38" i="18"/>
  <c r="AJ38" i="18"/>
  <c r="AK38" i="18"/>
  <c r="AL38" i="18"/>
  <c r="AM38" i="18"/>
  <c r="AO38" i="18"/>
  <c r="AP38" i="18"/>
  <c r="N39" i="18"/>
  <c r="T39" i="18"/>
  <c r="AE39" i="18"/>
  <c r="AF39" i="18"/>
  <c r="AG39" i="18"/>
  <c r="AJ39" i="18"/>
  <c r="AK39" i="18"/>
  <c r="AL39" i="18"/>
  <c r="AM39" i="18"/>
  <c r="AO39" i="18"/>
  <c r="AP39" i="18"/>
  <c r="N40" i="18"/>
  <c r="T40" i="18"/>
  <c r="AE40" i="18"/>
  <c r="AF40" i="18"/>
  <c r="AG40" i="18"/>
  <c r="AJ40" i="18"/>
  <c r="AK40" i="18"/>
  <c r="AL40" i="18"/>
  <c r="AM40" i="18"/>
  <c r="AO40" i="18"/>
  <c r="AP40" i="18"/>
  <c r="N41" i="18"/>
  <c r="T41" i="18"/>
  <c r="AE41" i="18"/>
  <c r="AF41" i="18"/>
  <c r="AG41" i="18"/>
  <c r="AJ41" i="18"/>
  <c r="AK41" i="18"/>
  <c r="AL41" i="18"/>
  <c r="AM41" i="18"/>
  <c r="AO41" i="18"/>
  <c r="AP41" i="18"/>
  <c r="N42" i="18"/>
  <c r="T42" i="18"/>
  <c r="AE42" i="18"/>
  <c r="AF42" i="18"/>
  <c r="AG42" i="18"/>
  <c r="AJ42" i="18"/>
  <c r="AK42" i="18"/>
  <c r="AL42" i="18"/>
  <c r="AM42" i="18"/>
  <c r="AO42" i="18"/>
  <c r="AP42" i="18"/>
  <c r="N43" i="18"/>
  <c r="T43" i="18"/>
  <c r="AE43" i="18"/>
  <c r="AF43" i="18"/>
  <c r="AG43" i="18"/>
  <c r="AJ43" i="18"/>
  <c r="AK43" i="18"/>
  <c r="AL43" i="18"/>
  <c r="AM43" i="18"/>
  <c r="AO43" i="18"/>
  <c r="AP43" i="18"/>
  <c r="N44" i="18"/>
  <c r="T44" i="18"/>
  <c r="AE44" i="18"/>
  <c r="AF44" i="18"/>
  <c r="AG44" i="18"/>
  <c r="AJ44" i="18"/>
  <c r="AK44" i="18"/>
  <c r="AL44" i="18"/>
  <c r="AM44" i="18"/>
  <c r="AO44" i="18"/>
  <c r="AP44" i="18"/>
  <c r="N45" i="18"/>
  <c r="T45" i="18"/>
  <c r="AE45" i="18"/>
  <c r="AF45" i="18"/>
  <c r="AG45" i="18"/>
  <c r="AJ45" i="18"/>
  <c r="AK45" i="18"/>
  <c r="AL45" i="18"/>
  <c r="AM45" i="18"/>
  <c r="AO45" i="18"/>
  <c r="AP45" i="18"/>
  <c r="N46" i="18"/>
  <c r="T46" i="18"/>
  <c r="AE46" i="18"/>
  <c r="AF46" i="18"/>
  <c r="AG46" i="18"/>
  <c r="AJ46" i="18"/>
  <c r="AK46" i="18"/>
  <c r="AL46" i="18"/>
  <c r="AM46" i="18"/>
  <c r="AO46" i="18"/>
  <c r="AP46" i="18"/>
  <c r="N47" i="18"/>
  <c r="T47" i="18"/>
  <c r="AE47" i="18"/>
  <c r="AF47" i="18"/>
  <c r="AG47" i="18"/>
  <c r="AJ47" i="18"/>
  <c r="AK47" i="18"/>
  <c r="AL47" i="18"/>
  <c r="AM47" i="18"/>
  <c r="AO47" i="18"/>
  <c r="AP47" i="18"/>
  <c r="N48" i="18"/>
  <c r="T48" i="18"/>
  <c r="AE48" i="18"/>
  <c r="AF48" i="18"/>
  <c r="AG48" i="18"/>
  <c r="AJ48" i="18"/>
  <c r="AK48" i="18"/>
  <c r="AL48" i="18"/>
  <c r="AM48" i="18"/>
  <c r="AO48" i="18"/>
  <c r="AP48" i="18"/>
  <c r="N49" i="18"/>
  <c r="T49" i="18"/>
  <c r="AE49" i="18"/>
  <c r="AF49" i="18"/>
  <c r="AG49" i="18"/>
  <c r="AJ49" i="18"/>
  <c r="AK49" i="18"/>
  <c r="AL49" i="18"/>
  <c r="AM49" i="18"/>
  <c r="AO49" i="18"/>
  <c r="AP49" i="18"/>
  <c r="N50" i="18"/>
  <c r="T50" i="18"/>
  <c r="AE50" i="18"/>
  <c r="AF50" i="18"/>
  <c r="AG50" i="18"/>
  <c r="AJ50" i="18"/>
  <c r="AK50" i="18"/>
  <c r="AL50" i="18"/>
  <c r="AM50" i="18"/>
  <c r="AO50" i="18"/>
  <c r="AP50" i="18"/>
  <c r="N51" i="18"/>
  <c r="T51" i="18"/>
  <c r="AE51" i="18"/>
  <c r="AF51" i="18"/>
  <c r="AG51" i="18"/>
  <c r="AJ51" i="18"/>
  <c r="AK51" i="18"/>
  <c r="AL51" i="18"/>
  <c r="AM51" i="18"/>
  <c r="AO51" i="18"/>
  <c r="AP51" i="18"/>
  <c r="N53" i="18"/>
  <c r="T53" i="18"/>
  <c r="AE53" i="18"/>
  <c r="AF53" i="18"/>
  <c r="AG53" i="18"/>
  <c r="AJ53" i="18"/>
  <c r="AK53" i="18"/>
  <c r="AL53" i="18"/>
  <c r="AM53" i="18"/>
  <c r="AO53" i="18"/>
  <c r="AP53" i="18"/>
  <c r="AO55" i="18"/>
  <c r="AP55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33" authorId="0" shapeId="0" xr:uid="{91F3D237-1DB8-4E66-8466-E64C37FB7F1E}">
      <text>
        <r>
          <rPr>
            <sz val="9"/>
            <color indexed="81"/>
            <rFont val="Segoe UI"/>
            <family val="2"/>
          </rPr>
          <t>Econômico: CDE Covid TE; Financeiro: CDE Energia</t>
        </r>
      </text>
    </comment>
  </commentList>
</comments>
</file>

<file path=xl/sharedStrings.xml><?xml version="1.0" encoding="utf-8"?>
<sst xmlns="http://schemas.openxmlformats.org/spreadsheetml/2006/main" count="24715" uniqueCount="1023">
  <si>
    <t>TipoMercado</t>
  </si>
  <si>
    <t>Subgrupo</t>
  </si>
  <si>
    <t>Modalidade</t>
  </si>
  <si>
    <t>Classe</t>
  </si>
  <si>
    <t>Subclasse</t>
  </si>
  <si>
    <t>Detalhe</t>
  </si>
  <si>
    <t>Agente</t>
  </si>
  <si>
    <t>Posto</t>
  </si>
  <si>
    <t>AnoMes</t>
  </si>
  <si>
    <t>D</t>
  </si>
  <si>
    <t>Daj</t>
  </si>
  <si>
    <t>TUSD_E</t>
  </si>
  <si>
    <t>TUSD_Eaj</t>
  </si>
  <si>
    <t>TE_E</t>
  </si>
  <si>
    <t>TE_Eaj</t>
  </si>
  <si>
    <t>UC</t>
  </si>
  <si>
    <t>OPÇÃO</t>
  </si>
  <si>
    <t>CóD. AUX.</t>
  </si>
  <si>
    <t>CóD. AUX. TUSD R$/kW</t>
  </si>
  <si>
    <t>CóD. AUX. TUSD R$/MWh</t>
  </si>
  <si>
    <t>CóD. AUX. TE R$/MWh</t>
  </si>
  <si>
    <t>Regular</t>
  </si>
  <si>
    <t>B1</t>
  </si>
  <si>
    <t>Convencional</t>
  </si>
  <si>
    <t>Residencial</t>
  </si>
  <si>
    <t>Não se aplica</t>
  </si>
  <si>
    <t>CATIVO</t>
  </si>
  <si>
    <t>Refaturamento - Regular</t>
  </si>
  <si>
    <t>Sistema de Compensação</t>
  </si>
  <si>
    <t>Residencial baixa renda – faixa 01</t>
  </si>
  <si>
    <t>Residencial baixa renda – faixa 02</t>
  </si>
  <si>
    <t>Residencial baixa renda – faixa 03</t>
  </si>
  <si>
    <t>Residencial baixa renda – faixa 04</t>
  </si>
  <si>
    <t>B3</t>
  </si>
  <si>
    <t>Industrial</t>
  </si>
  <si>
    <t>A4</t>
  </si>
  <si>
    <t>Verde</t>
  </si>
  <si>
    <t>Ponta</t>
  </si>
  <si>
    <t>Fora ponta</t>
  </si>
  <si>
    <t>Comercial</t>
  </si>
  <si>
    <t>B2</t>
  </si>
  <si>
    <t>Rural</t>
  </si>
  <si>
    <t>Poder público</t>
  </si>
  <si>
    <t>B4</t>
  </si>
  <si>
    <t>Iluminação pública</t>
  </si>
  <si>
    <t>Iluminação pública – B4a</t>
  </si>
  <si>
    <t>Serviço público</t>
  </si>
  <si>
    <t>Água, esgoto e saneamento</t>
  </si>
  <si>
    <t>Azul</t>
  </si>
  <si>
    <t>Agropecuária rural</t>
  </si>
  <si>
    <t>IRRIG./AQUIC.</t>
  </si>
  <si>
    <t>IRRIG./AQUIC. PR</t>
  </si>
  <si>
    <t>Aquicultura</t>
  </si>
  <si>
    <t>Geração</t>
  </si>
  <si>
    <t>BURRO BRANCO I</t>
  </si>
  <si>
    <t>GERAÇÃO</t>
  </si>
  <si>
    <t>TIPO ALERTA</t>
  </si>
  <si>
    <t>DETALHE ALERTA</t>
  </si>
  <si>
    <t>ABA</t>
  </si>
  <si>
    <t>LINHA</t>
  </si>
  <si>
    <t>COLUNA</t>
  </si>
  <si>
    <t>VARIÁVEL AUXILIAR</t>
  </si>
  <si>
    <t>SUBGRUPO</t>
  </si>
  <si>
    <t>MODALIDADE</t>
  </si>
  <si>
    <t>CLASSE</t>
  </si>
  <si>
    <t>SUBCLASSE</t>
  </si>
  <si>
    <t>DETALHE</t>
  </si>
  <si>
    <t>NOME UC</t>
  </si>
  <si>
    <t>POSTO</t>
  </si>
  <si>
    <t>UNIDADE</t>
  </si>
  <si>
    <t>SOMA MERCADO</t>
  </si>
  <si>
    <t>Energia horária</t>
  </si>
  <si>
    <t>MWh</t>
  </si>
  <si>
    <t>EP</t>
  </si>
  <si>
    <t>EFP</t>
  </si>
  <si>
    <t>kW</t>
  </si>
  <si>
    <t>DP</t>
  </si>
  <si>
    <t>DFP</t>
  </si>
  <si>
    <t>E</t>
  </si>
  <si>
    <t>APE</t>
  </si>
  <si>
    <t>B</t>
  </si>
  <si>
    <t>TIPO 01</t>
  </si>
  <si>
    <t>TIPO 02</t>
  </si>
  <si>
    <t>EINT</t>
  </si>
  <si>
    <t>Energia convencional</t>
  </si>
  <si>
    <t>Branca</t>
  </si>
  <si>
    <t>Energia convencional pré-pagamento</t>
  </si>
  <si>
    <t>Convencional pré-pagamento</t>
  </si>
  <si>
    <t>Cooperativa de eletrificação rural</t>
  </si>
  <si>
    <t>Serviço público de irrigação rural</t>
  </si>
  <si>
    <t>Iluminação pública – B4b</t>
  </si>
  <si>
    <t>CHAVE TUSD</t>
  </si>
  <si>
    <t>44440A4AzulNão se aplicaNão se aplicaNão se aplicaNão se aplicaFora ponta</t>
  </si>
  <si>
    <t>44470A4AzulNão se aplicaNão se aplicaNão se aplicaNão se aplicaFora ponta</t>
  </si>
  <si>
    <t>44501A4AzulNão se aplicaNão se aplicaNão se aplicaNão se aplicaFora ponta</t>
  </si>
  <si>
    <t>44531A4AzulNão se aplicaNão se aplicaNão se aplicaNão se aplicaFora ponta</t>
  </si>
  <si>
    <t>44562A4AzulNão se aplicaNão se aplicaNão se aplicaNão se aplicaFora ponta</t>
  </si>
  <si>
    <t>44593A4AzulNão se aplicaNão se aplicaNão se aplicaNão se aplicaFora ponta</t>
  </si>
  <si>
    <t>44621A4AzulNão se aplicaNão se aplicaNão se aplicaNão se aplicaFora ponta</t>
  </si>
  <si>
    <t>44652A4AzulNão se aplicaNão se aplicaNão se aplicaNão se aplicaFora ponta</t>
  </si>
  <si>
    <t>44682A4AzulNão se aplicaNão se aplicaNão se aplicaNão se aplicaFora ponta</t>
  </si>
  <si>
    <t>44713A4AzulNão se aplicaNão se aplicaNão se aplicaNão se aplicaFora ponta</t>
  </si>
  <si>
    <t>44743A4AzulNão se aplicaNão se aplicaNão se aplicaNão se aplicaFora ponta</t>
  </si>
  <si>
    <t>44774A4AzulNão se aplicaNão se aplicaNão se aplicaNão se aplicaFora ponta</t>
  </si>
  <si>
    <t>44440A4AzulNão se aplicaNão se aplicaNão se aplicaNão se aplicaPonta</t>
  </si>
  <si>
    <t>44470A4AzulNão se aplicaNão se aplicaNão se aplicaNão se aplicaPonta</t>
  </si>
  <si>
    <t>44501A4AzulNão se aplicaNão se aplicaNão se aplicaNão se aplicaPonta</t>
  </si>
  <si>
    <t>44531A4AzulNão se aplicaNão se aplicaNão se aplicaNão se aplicaPonta</t>
  </si>
  <si>
    <t>44562A4AzulNão se aplicaNão se aplicaNão se aplicaNão se aplicaPonta</t>
  </si>
  <si>
    <t>44593A4AzulNão se aplicaNão se aplicaNão se aplicaNão se aplicaPonta</t>
  </si>
  <si>
    <t>44621A4AzulNão se aplicaNão se aplicaNão se aplicaNão se aplicaPonta</t>
  </si>
  <si>
    <t>44652A4AzulNão se aplicaNão se aplicaNão se aplicaNão se aplicaPonta</t>
  </si>
  <si>
    <t>44682A4AzulNão se aplicaNão se aplicaNão se aplicaNão se aplicaPonta</t>
  </si>
  <si>
    <t>44713A4AzulNão se aplicaNão se aplicaNão se aplicaNão se aplicaPonta</t>
  </si>
  <si>
    <t>44743A4AzulNão se aplicaNão se aplicaNão se aplicaNão se aplicaPonta</t>
  </si>
  <si>
    <t>44774A4AzulNão se aplicaNão se aplicaNão se aplicaNão se aplicaPonta</t>
  </si>
  <si>
    <t>44440A4GeraçãoNão se aplicaNão se aplicaNão se aplicaNão se aplicaNão se aplica</t>
  </si>
  <si>
    <t>44470A4GeraçãoNão se aplicaNão se aplicaNão se aplicaNão se aplicaNão se aplica</t>
  </si>
  <si>
    <t>44501A4GeraçãoNão se aplicaNão se aplicaNão se aplicaNão se aplicaNão se aplica</t>
  </si>
  <si>
    <t>44531A4GeraçãoNão se aplicaNão se aplicaNão se aplicaNão se aplicaNão se aplica</t>
  </si>
  <si>
    <t>44562A4GeraçãoNão se aplicaNão se aplicaNão se aplicaNão se aplicaNão se aplica</t>
  </si>
  <si>
    <t>44593A4GeraçãoNão se aplicaNão se aplicaNão se aplicaNão se aplicaNão se aplica</t>
  </si>
  <si>
    <t>44621A4GeraçãoNão se aplicaNão se aplicaNão se aplicaNão se aplicaNão se aplica</t>
  </si>
  <si>
    <t>44652A4GeraçãoNão se aplicaNão se aplicaNão se aplicaNão se aplicaNão se aplica</t>
  </si>
  <si>
    <t>44682A4GeraçãoNão se aplicaNão se aplicaNão se aplicaNão se aplicaNão se aplica</t>
  </si>
  <si>
    <t>44713A4GeraçãoNão se aplicaNão se aplicaNão se aplicaNão se aplicaNão se aplica</t>
  </si>
  <si>
    <t>44743A4GeraçãoNão se aplicaNão se aplicaNão se aplicaNão se aplicaNão se aplica</t>
  </si>
  <si>
    <t>44774A4GeraçãoNão se aplicaNão se aplicaNão se aplicaNão se aplicaNão se aplica</t>
  </si>
  <si>
    <t>44440A4VerdeNão se aplicaNão se aplicaNão se aplicaNão se aplicaFora ponta</t>
  </si>
  <si>
    <t>44470A4VerdeNão se aplicaNão se aplicaNão se aplicaNão se aplicaFora ponta</t>
  </si>
  <si>
    <t>44501A4VerdeNão se aplicaNão se aplicaNão se aplicaNão se aplicaFora ponta</t>
  </si>
  <si>
    <t>44531A4VerdeNão se aplicaNão se aplicaNão se aplicaNão se aplicaFora ponta</t>
  </si>
  <si>
    <t>44562A4VerdeNão se aplicaNão se aplicaNão se aplicaNão se aplicaFora ponta</t>
  </si>
  <si>
    <t>44593A4VerdeNão se aplicaNão se aplicaNão se aplicaNão se aplicaFora ponta</t>
  </si>
  <si>
    <t>44621A4VerdeNão se aplicaNão se aplicaNão se aplicaNão se aplicaFora ponta</t>
  </si>
  <si>
    <t>44652A4VerdeNão se aplicaNão se aplicaNão se aplicaNão se aplicaFora ponta</t>
  </si>
  <si>
    <t>44682A4VerdeNão se aplicaNão se aplicaNão se aplicaNão se aplicaFora ponta</t>
  </si>
  <si>
    <t>44713A4VerdeNão se aplicaNão se aplicaNão se aplicaNão se aplicaFora ponta</t>
  </si>
  <si>
    <t>44743A4VerdeNão se aplicaNão se aplicaNão se aplicaNão se aplicaFora ponta</t>
  </si>
  <si>
    <t>44774A4VerdeNão se aplicaNão se aplicaNão se aplicaNão se aplicaFora ponta</t>
  </si>
  <si>
    <t>44440A4VerdeNão se aplicaNão se aplicaNão se aplicaNão se aplicaNão se aplica</t>
  </si>
  <si>
    <t>44470A4VerdeNão se aplicaNão se aplicaNão se aplicaNão se aplicaNão se aplica</t>
  </si>
  <si>
    <t>44501A4VerdeNão se aplicaNão se aplicaNão se aplicaNão se aplicaNão se aplica</t>
  </si>
  <si>
    <t>44531A4VerdeNão se aplicaNão se aplicaNão se aplicaNão se aplicaNão se aplica</t>
  </si>
  <si>
    <t>44562A4VerdeNão se aplicaNão se aplicaNão se aplicaNão se aplicaNão se aplica</t>
  </si>
  <si>
    <t>44593A4VerdeNão se aplicaNão se aplicaNão se aplicaNão se aplicaNão se aplica</t>
  </si>
  <si>
    <t>44621A4VerdeNão se aplicaNão se aplicaNão se aplicaNão se aplicaNão se aplica</t>
  </si>
  <si>
    <t>44652A4VerdeNão se aplicaNão se aplicaNão se aplicaNão se aplicaNão se aplica</t>
  </si>
  <si>
    <t>44682A4VerdeNão se aplicaNão se aplicaNão se aplicaNão se aplicaNão se aplica</t>
  </si>
  <si>
    <t>44713A4VerdeNão se aplicaNão se aplicaNão se aplicaNão se aplicaNão se aplica</t>
  </si>
  <si>
    <t>44743A4VerdeNão se aplicaNão se aplicaNão se aplicaNão se aplicaNão se aplica</t>
  </si>
  <si>
    <t>44774A4VerdeNão se aplicaNão se aplicaNão se aplicaNão se aplicaNão se aplica</t>
  </si>
  <si>
    <t>44440A4VerdeNão se aplicaNão se aplicaNão se aplicaNão se aplicaPonta</t>
  </si>
  <si>
    <t>44470A4VerdeNão se aplicaNão se aplicaNão se aplicaNão se aplicaPonta</t>
  </si>
  <si>
    <t>44501A4VerdeNão se aplicaNão se aplicaNão se aplicaNão se aplicaPonta</t>
  </si>
  <si>
    <t>44531A4VerdeNão se aplicaNão se aplicaNão se aplicaNão se aplicaPonta</t>
  </si>
  <si>
    <t>44562A4VerdeNão se aplicaNão se aplicaNão se aplicaNão se aplicaPonta</t>
  </si>
  <si>
    <t>44593A4VerdeNão se aplicaNão se aplicaNão se aplicaNão se aplicaPonta</t>
  </si>
  <si>
    <t>44621A4VerdeNão se aplicaNão se aplicaNão se aplicaNão se aplicaPonta</t>
  </si>
  <si>
    <t>44652A4VerdeNão se aplicaNão se aplicaNão se aplicaNão se aplicaPonta</t>
  </si>
  <si>
    <t>44682A4VerdeNão se aplicaNão se aplicaNão se aplicaNão se aplicaPonta</t>
  </si>
  <si>
    <t>44713A4VerdeNão se aplicaNão se aplicaNão se aplicaNão se aplicaPonta</t>
  </si>
  <si>
    <t>44743A4VerdeNão se aplicaNão se aplicaNão se aplicaNão se aplicaPonta</t>
  </si>
  <si>
    <t>44774A4VerdeNão se aplicaNão se aplicaNão se aplicaNão se aplicaPonta</t>
  </si>
  <si>
    <t>44440B1ConvencionalResidencialResidencialNão se aplicaNão se aplicaNão se aplica</t>
  </si>
  <si>
    <t>44470B1ConvencionalResidencialResidencialNão se aplicaNão se aplicaNão se aplica</t>
  </si>
  <si>
    <t>44501B1ConvencionalResidencialResidencialNão se aplicaNão se aplicaNão se aplica</t>
  </si>
  <si>
    <t>44531B1ConvencionalResidencialResidencialNão se aplicaNão se aplicaNão se aplica</t>
  </si>
  <si>
    <t>44562B1ConvencionalResidencialResidencialNão se aplicaNão se aplicaNão se aplica</t>
  </si>
  <si>
    <t>44593B1ConvencionalResidencialResidencialNão se aplicaNão se aplicaNão se aplica</t>
  </si>
  <si>
    <t>44621B1ConvencionalResidencialResidencialNão se aplicaNão se aplicaNão se aplica</t>
  </si>
  <si>
    <t>44652B1ConvencionalResidencialResidencialNão se aplicaNão se aplicaNão se aplica</t>
  </si>
  <si>
    <t>44682B1ConvencionalResidencialResidencialNão se aplicaNão se aplicaNão se aplica</t>
  </si>
  <si>
    <t>44713B1ConvencionalResidencialResidencialNão se aplicaNão se aplicaNão se aplica</t>
  </si>
  <si>
    <t>44743B1ConvencionalResidencialResidencialNão se aplicaNão se aplicaNão se aplica</t>
  </si>
  <si>
    <t>44774B1ConvencionalResidencialResidencialNão se aplicaNão se aplicaNão se aplica</t>
  </si>
  <si>
    <t>44440B1ConvencionalResidencialResidencial baixa renda – faixa 01Não se aplicaNão se aplicaNão se aplica</t>
  </si>
  <si>
    <t>44470B1ConvencionalResidencialResidencial baixa renda – faixa 01Não se aplicaNão se aplicaNão se aplica</t>
  </si>
  <si>
    <t>44501B1ConvencionalResidencialResidencial baixa renda – faixa 01Não se aplicaNão se aplicaNão se aplica</t>
  </si>
  <si>
    <t>44531B1ConvencionalResidencialResidencial baixa renda – faixa 01Não se aplicaNão se aplicaNão se aplica</t>
  </si>
  <si>
    <t>44562B1ConvencionalResidencialResidencial baixa renda – faixa 01Não se aplicaNão se aplicaNão se aplica</t>
  </si>
  <si>
    <t>44593B1ConvencionalResidencialResidencial baixa renda – faixa 01Não se aplicaNão se aplicaNão se aplica</t>
  </si>
  <si>
    <t>44621B1ConvencionalResidencialResidencial baixa renda – faixa 01Não se aplicaNão se aplicaNão se aplica</t>
  </si>
  <si>
    <t>44652B1ConvencionalResidencialResidencial baixa renda – faixa 01Não se aplicaNão se aplicaNão se aplica</t>
  </si>
  <si>
    <t>44682B1ConvencionalResidencialResidencial baixa renda – faixa 01Não se aplicaNão se aplicaNão se aplica</t>
  </si>
  <si>
    <t>44713B1ConvencionalResidencialResidencial baixa renda – faixa 01Não se aplicaNão se aplicaNão se aplica</t>
  </si>
  <si>
    <t>44743B1ConvencionalResidencialResidencial baixa renda – faixa 01Não se aplicaNão se aplicaNão se aplica</t>
  </si>
  <si>
    <t>44774B1ConvencionalResidencialResidencial baixa renda – faixa 01Não se aplicaNão se aplicaNão se aplica</t>
  </si>
  <si>
    <t>44440B1ConvencionalResidencialResidencial baixa renda – faixa 02Não se aplicaNão se aplicaNão se aplica</t>
  </si>
  <si>
    <t>44470B1ConvencionalResidencialResidencial baixa renda – faixa 02Não se aplicaNão se aplicaNão se aplica</t>
  </si>
  <si>
    <t>44501B1ConvencionalResidencialResidencial baixa renda – faixa 02Não se aplicaNão se aplicaNão se aplica</t>
  </si>
  <si>
    <t>44531B1ConvencionalResidencialResidencial baixa renda – faixa 02Não se aplicaNão se aplicaNão se aplica</t>
  </si>
  <si>
    <t>44562B1ConvencionalResidencialResidencial baixa renda – faixa 02Não se aplicaNão se aplicaNão se aplica</t>
  </si>
  <si>
    <t>44593B1ConvencionalResidencialResidencial baixa renda – faixa 02Não se aplicaNão se aplicaNão se aplica</t>
  </si>
  <si>
    <t>44621B1ConvencionalResidencialResidencial baixa renda – faixa 02Não se aplicaNão se aplicaNão se aplica</t>
  </si>
  <si>
    <t>44652B1ConvencionalResidencialResidencial baixa renda – faixa 02Não se aplicaNão se aplicaNão se aplica</t>
  </si>
  <si>
    <t>44682B1ConvencionalResidencialResidencial baixa renda – faixa 02Não se aplicaNão se aplicaNão se aplica</t>
  </si>
  <si>
    <t>44713B1ConvencionalResidencialResidencial baixa renda – faixa 02Não se aplicaNão se aplicaNão se aplica</t>
  </si>
  <si>
    <t>44743B1ConvencionalResidencialResidencial baixa renda – faixa 02Não se aplicaNão se aplicaNão se aplica</t>
  </si>
  <si>
    <t>44774B1ConvencionalResidencialResidencial baixa renda – faixa 02Não se aplicaNão se aplicaNão se aplica</t>
  </si>
  <si>
    <t>44440B1ConvencionalResidencialResidencial baixa renda – faixa 03Não se aplicaNão se aplicaNão se aplica</t>
  </si>
  <si>
    <t>44470B1ConvencionalResidencialResidencial baixa renda – faixa 03Não se aplicaNão se aplicaNão se aplica</t>
  </si>
  <si>
    <t>44501B1ConvencionalResidencialResidencial baixa renda – faixa 03Não se aplicaNão se aplicaNão se aplica</t>
  </si>
  <si>
    <t>44531B1ConvencionalResidencialResidencial baixa renda – faixa 03Não se aplicaNão se aplicaNão se aplica</t>
  </si>
  <si>
    <t>44562B1ConvencionalResidencialResidencial baixa renda – faixa 03Não se aplicaNão se aplicaNão se aplica</t>
  </si>
  <si>
    <t>44593B1ConvencionalResidencialResidencial baixa renda – faixa 03Não se aplicaNão se aplicaNão se aplica</t>
  </si>
  <si>
    <t>44621B1ConvencionalResidencialResidencial baixa renda – faixa 03Não se aplicaNão se aplicaNão se aplica</t>
  </si>
  <si>
    <t>44652B1ConvencionalResidencialResidencial baixa renda – faixa 03Não se aplicaNão se aplicaNão se aplica</t>
  </si>
  <si>
    <t>44682B1ConvencionalResidencialResidencial baixa renda – faixa 03Não se aplicaNão se aplicaNão se aplica</t>
  </si>
  <si>
    <t>44713B1ConvencionalResidencialResidencial baixa renda – faixa 03Não se aplicaNão se aplicaNão se aplica</t>
  </si>
  <si>
    <t>44743B1ConvencionalResidencialResidencial baixa renda – faixa 03Não se aplicaNão se aplicaNão se aplica</t>
  </si>
  <si>
    <t>44774B1ConvencionalResidencialResidencial baixa renda – faixa 03Não se aplicaNão se aplicaNão se aplica</t>
  </si>
  <si>
    <t>44440B1ConvencionalResidencialResidencial baixa renda – faixa 04Não se aplicaNão se aplicaNão se aplica</t>
  </si>
  <si>
    <t>44470B1ConvencionalResidencialResidencial baixa renda – faixa 04Não se aplicaNão se aplicaNão se aplica</t>
  </si>
  <si>
    <t>44501B1ConvencionalResidencialResidencial baixa renda – faixa 04Não se aplicaNão se aplicaNão se aplica</t>
  </si>
  <si>
    <t>44531B1ConvencionalResidencialResidencial baixa renda – faixa 04Não se aplicaNão se aplicaNão se aplica</t>
  </si>
  <si>
    <t>44562B1ConvencionalResidencialResidencial baixa renda – faixa 04Não se aplicaNão se aplicaNão se aplica</t>
  </si>
  <si>
    <t>44593B1ConvencionalResidencialResidencial baixa renda – faixa 04Não se aplicaNão se aplicaNão se aplica</t>
  </si>
  <si>
    <t>44621B1ConvencionalResidencialResidencial baixa renda – faixa 04Não se aplicaNão se aplicaNão se aplica</t>
  </si>
  <si>
    <t>44652B1ConvencionalResidencialResidencial baixa renda – faixa 04Não se aplicaNão se aplicaNão se aplica</t>
  </si>
  <si>
    <t>44682B1ConvencionalResidencialResidencial baixa renda – faixa 04Não se aplicaNão se aplicaNão se aplica</t>
  </si>
  <si>
    <t>44713B1ConvencionalResidencialResidencial baixa renda – faixa 04Não se aplicaNão se aplicaNão se aplica</t>
  </si>
  <si>
    <t>44743B1ConvencionalResidencialResidencial baixa renda – faixa 04Não se aplicaNão se aplicaNão se aplica</t>
  </si>
  <si>
    <t>44774B1ConvencionalResidencialResidencial baixa renda – faixa 04Não se aplicaNão se aplicaNão se aplica</t>
  </si>
  <si>
    <t>44440B2ConvencionalRuralNão se aplicaNão se aplicaNão se aplicaNão se aplica</t>
  </si>
  <si>
    <t>44470B2ConvencionalRuralNão se aplicaNão se aplicaNão se aplicaNão se aplica</t>
  </si>
  <si>
    <t>44501B2ConvencionalRuralNão se aplicaNão se aplicaNão se aplicaNão se aplica</t>
  </si>
  <si>
    <t>44531B2ConvencionalRuralNão se aplicaNão se aplicaNão se aplicaNão se aplica</t>
  </si>
  <si>
    <t>44562B2ConvencionalRuralNão se aplicaNão se aplicaNão se aplicaNão se aplica</t>
  </si>
  <si>
    <t>44593B2ConvencionalRuralNão se aplicaNão se aplicaNão se aplicaNão se aplica</t>
  </si>
  <si>
    <t>44621B2ConvencionalRuralNão se aplicaNão se aplicaNão se aplicaNão se aplica</t>
  </si>
  <si>
    <t>44652B2ConvencionalRuralNão se aplicaNão se aplicaNão se aplicaNão se aplica</t>
  </si>
  <si>
    <t>44682B2ConvencionalRuralNão se aplicaNão se aplicaNão se aplicaNão se aplica</t>
  </si>
  <si>
    <t>44713B2ConvencionalRuralNão se aplicaNão se aplicaNão se aplicaNão se aplica</t>
  </si>
  <si>
    <t>44743B2ConvencionalRuralNão se aplicaNão se aplicaNão se aplicaNão se aplica</t>
  </si>
  <si>
    <t>44774B2ConvencionalRuralNão se aplicaNão se aplicaNão se aplicaNão se aplica</t>
  </si>
  <si>
    <t>44440B3ConvencionalNão se aplicaNão se aplicaNão se aplicaNão se aplicaNão se aplica</t>
  </si>
  <si>
    <t>44470B3ConvencionalNão se aplicaNão se aplicaNão se aplicaNão se aplicaNão se aplica</t>
  </si>
  <si>
    <t>44501B3ConvencionalNão se aplicaNão se aplicaNão se aplicaNão se aplicaNão se aplica</t>
  </si>
  <si>
    <t>44531B3ConvencionalNão se aplicaNão se aplicaNão se aplicaNão se aplicaNão se aplica</t>
  </si>
  <si>
    <t>44562B3ConvencionalNão se aplicaNão se aplicaNão se aplicaNão se aplicaNão se aplica</t>
  </si>
  <si>
    <t>44593B3ConvencionalNão se aplicaNão se aplicaNão se aplicaNão se aplicaNão se aplica</t>
  </si>
  <si>
    <t>44621B3ConvencionalNão se aplicaNão se aplicaNão se aplicaNão se aplicaNão se aplica</t>
  </si>
  <si>
    <t>44652B3ConvencionalNão se aplicaNão se aplicaNão se aplicaNão se aplicaNão se aplica</t>
  </si>
  <si>
    <t>44682B3ConvencionalNão se aplicaNão se aplicaNão se aplicaNão se aplicaNão se aplica</t>
  </si>
  <si>
    <t>44713B3ConvencionalNão se aplicaNão se aplicaNão se aplicaNão se aplicaNão se aplica</t>
  </si>
  <si>
    <t>44743B3ConvencionalNão se aplicaNão se aplicaNão se aplicaNão se aplicaNão se aplica</t>
  </si>
  <si>
    <t>44774B3ConvencionalNão se aplicaNão se aplicaNão se aplicaNão se aplicaNão se aplica</t>
  </si>
  <si>
    <t>44440B4ConvencionalIluminação públicaIluminação pública – B4aNão se aplicaNão se aplicaNão se aplica</t>
  </si>
  <si>
    <t>44470B4ConvencionalIluminação públicaIluminação pública – B4aNão se aplicaNão se aplicaNão se aplica</t>
  </si>
  <si>
    <t>44501B4ConvencionalIluminação públicaIluminação pública – B4aNão se aplicaNão se aplicaNão se aplica</t>
  </si>
  <si>
    <t>44531B4ConvencionalIluminação públicaIluminação pública – B4aNão se aplicaNão se aplicaNão se aplica</t>
  </si>
  <si>
    <t>44562B4ConvencionalIluminação públicaIluminação pública – B4aNão se aplicaNão se aplicaNão se aplica</t>
  </si>
  <si>
    <t>44593B4ConvencionalIluminação públicaIluminação pública – B4aNão se aplicaNão se aplicaNão se aplica</t>
  </si>
  <si>
    <t>44621B4ConvencionalIluminação públicaIluminação pública – B4aNão se aplicaNão se aplicaNão se aplica</t>
  </si>
  <si>
    <t>44652B4ConvencionalIluminação públicaIluminação pública – B4aNão se aplicaNão se aplicaNão se aplica</t>
  </si>
  <si>
    <t>44682B4ConvencionalIluminação públicaIluminação pública – B4aNão se aplicaNão se aplicaNão se aplica</t>
  </si>
  <si>
    <t>44713B4ConvencionalIluminação públicaIluminação pública – B4aNão se aplicaNão se aplicaNão se aplica</t>
  </si>
  <si>
    <t>44743B4ConvencionalIluminação públicaIluminação pública – B4aNão se aplicaNão se aplicaNão se aplica</t>
  </si>
  <si>
    <t>44774B4ConvencionalIluminação públicaIluminação pública – B4aNão se aplicaNão se aplicaNão se aplica</t>
  </si>
  <si>
    <t>CHAVE TE</t>
  </si>
  <si>
    <t>44440A4Energia horáriaNão se aplicaNão se aplicaNão se aplicaNão se aplicaFora ponta</t>
  </si>
  <si>
    <t>44470A4Energia horáriaNão se aplicaNão se aplicaNão se aplicaNão se aplicaFora ponta</t>
  </si>
  <si>
    <t>44501A4Energia horáriaNão se aplicaNão se aplicaNão se aplicaNão se aplicaFora ponta</t>
  </si>
  <si>
    <t>44531A4Energia horáriaNão se aplicaNão se aplicaNão se aplicaNão se aplicaFora ponta</t>
  </si>
  <si>
    <t>44562A4Energia horáriaNão se aplicaNão se aplicaNão se aplicaNão se aplicaFora ponta</t>
  </si>
  <si>
    <t>44593A4Energia horáriaNão se aplicaNão se aplicaNão se aplicaNão se aplicaFora ponta</t>
  </si>
  <si>
    <t>44621A4Energia horáriaNão se aplicaNão se aplicaNão se aplicaNão se aplicaFora ponta</t>
  </si>
  <si>
    <t>44652A4Energia horáriaNão se aplicaNão se aplicaNão se aplicaNão se aplicaFora ponta</t>
  </si>
  <si>
    <t>44682A4Energia horáriaNão se aplicaNão se aplicaNão se aplicaNão se aplicaFora ponta</t>
  </si>
  <si>
    <t>44713A4Energia horáriaNão se aplicaNão se aplicaNão se aplicaNão se aplicaFora ponta</t>
  </si>
  <si>
    <t>44743A4Energia horáriaNão se aplicaNão se aplicaNão se aplicaNão se aplicaFora ponta</t>
  </si>
  <si>
    <t>44774A4Energia horáriaNão se aplicaNão se aplicaNão se aplicaNão se aplicaFora ponta</t>
  </si>
  <si>
    <t>44440A4Energia horáriaNão se aplicaNão se aplicaNão se aplicaNão se aplicaPonta</t>
  </si>
  <si>
    <t>44470A4Energia horáriaNão se aplicaNão se aplicaNão se aplicaNão se aplicaPonta</t>
  </si>
  <si>
    <t>44501A4Energia horáriaNão se aplicaNão se aplicaNão se aplicaNão se aplicaPonta</t>
  </si>
  <si>
    <t>44531A4Energia horáriaNão se aplicaNão se aplicaNão se aplicaNão se aplicaPonta</t>
  </si>
  <si>
    <t>44562A4Energia horáriaNão se aplicaNão se aplicaNão se aplicaNão se aplicaPonta</t>
  </si>
  <si>
    <t>44593A4Energia horáriaNão se aplicaNão se aplicaNão se aplicaNão se aplicaPonta</t>
  </si>
  <si>
    <t>44621A4Energia horáriaNão se aplicaNão se aplicaNão se aplicaNão se aplicaPonta</t>
  </si>
  <si>
    <t>44652A4Energia horáriaNão se aplicaNão se aplicaNão se aplicaNão se aplicaPonta</t>
  </si>
  <si>
    <t>44682A4Energia horáriaNão se aplicaNão se aplicaNão se aplicaNão se aplicaPonta</t>
  </si>
  <si>
    <t>44713A4Energia horáriaNão se aplicaNão se aplicaNão se aplicaNão se aplicaPonta</t>
  </si>
  <si>
    <t>44743A4Energia horáriaNão se aplicaNão se aplicaNão se aplicaNão se aplicaPonta</t>
  </si>
  <si>
    <t>44774A4Energia horáriaNão se aplicaNão se aplicaNão se aplicaNão se aplicaPonta</t>
  </si>
  <si>
    <t>CUIDADO</t>
  </si>
  <si>
    <t>Desculpe, mas não foi encontrado posto Não se aplica, modalidade Energia horária, subgrupo A4 no banco de regras.</t>
  </si>
  <si>
    <t>Mercado_Receita</t>
  </si>
  <si>
    <t>S</t>
  </si>
  <si>
    <t>44440B1Energia convencionalResidencialResidencialNão se aplicaNão se aplicaNão se aplica</t>
  </si>
  <si>
    <t>44470B1Energia convencionalResidencialResidencialNão se aplicaNão se aplicaNão se aplica</t>
  </si>
  <si>
    <t>44501B1Energia convencionalResidencialResidencialNão se aplicaNão se aplicaNão se aplica</t>
  </si>
  <si>
    <t>44531B1Energia convencionalResidencialResidencialNão se aplicaNão se aplicaNão se aplica</t>
  </si>
  <si>
    <t>44562B1Energia convencionalResidencialResidencialNão se aplicaNão se aplicaNão se aplica</t>
  </si>
  <si>
    <t>44593B1Energia convencionalResidencialResidencialNão se aplicaNão se aplicaNão se aplica</t>
  </si>
  <si>
    <t>44621B1Energia convencionalResidencialResidencialNão se aplicaNão se aplicaNão se aplica</t>
  </si>
  <si>
    <t>44652B1Energia convencionalResidencialResidencialNão se aplicaNão se aplicaNão se aplica</t>
  </si>
  <si>
    <t>44682B1Energia convencionalResidencialResidencialNão se aplicaNão se aplicaNão se aplica</t>
  </si>
  <si>
    <t>44713B1Energia convencionalResidencialResidencialNão se aplicaNão se aplicaNão se aplica</t>
  </si>
  <si>
    <t>44743B1Energia convencionalResidencialResidencialNão se aplicaNão se aplicaNão se aplica</t>
  </si>
  <si>
    <t>44774B1Energia convencionalResidencialResidencialNão se aplicaNão se aplicaNão se aplica</t>
  </si>
  <si>
    <t>44440B1Energia convencionalResidencialResidencial baixa renda – faixa 01Não se aplicaNão se aplicaNão se aplica</t>
  </si>
  <si>
    <t>44470B1Energia convencionalResidencialResidencial baixa renda – faixa 01Não se aplicaNão se aplicaNão se aplica</t>
  </si>
  <si>
    <t>44501B1Energia convencionalResidencialResidencial baixa renda – faixa 01Não se aplicaNão se aplicaNão se aplica</t>
  </si>
  <si>
    <t>44531B1Energia convencionalResidencialResidencial baixa renda – faixa 01Não se aplicaNão se aplicaNão se aplica</t>
  </si>
  <si>
    <t>44562B1Energia convencionalResidencialResidencial baixa renda – faixa 01Não se aplicaNão se aplicaNão se aplica</t>
  </si>
  <si>
    <t>44593B1Energia convencionalResidencialResidencial baixa renda – faixa 01Não se aplicaNão se aplicaNão se aplica</t>
  </si>
  <si>
    <t>44621B1Energia convencionalResidencialResidencial baixa renda – faixa 01Não se aplicaNão se aplicaNão se aplica</t>
  </si>
  <si>
    <t>44652B1Energia convencionalResidencialResidencial baixa renda – faixa 01Não se aplicaNão se aplicaNão se aplica</t>
  </si>
  <si>
    <t>44682B1Energia convencionalResidencialResidencial baixa renda – faixa 01Não se aplicaNão se aplicaNão se aplica</t>
  </si>
  <si>
    <t>44713B1Energia convencionalResidencialResidencial baixa renda – faixa 01Não se aplicaNão se aplicaNão se aplica</t>
  </si>
  <si>
    <t>44743B1Energia convencionalResidencialResidencial baixa renda – faixa 01Não se aplicaNão se aplicaNão se aplica</t>
  </si>
  <si>
    <t>44774B1Energia convencionalResidencialResidencial baixa renda – faixa 01Não se aplicaNão se aplicaNão se aplica</t>
  </si>
  <si>
    <t>44440B1Energia convencionalResidencialResidencial baixa renda – faixa 02Não se aplicaNão se aplicaNão se aplica</t>
  </si>
  <si>
    <t>44470B1Energia convencionalResidencialResidencial baixa renda – faixa 02Não se aplicaNão se aplicaNão se aplica</t>
  </si>
  <si>
    <t>44501B1Energia convencionalResidencialResidencial baixa renda – faixa 02Não se aplicaNão se aplicaNão se aplica</t>
  </si>
  <si>
    <t>44531B1Energia convencionalResidencialResidencial baixa renda – faixa 02Não se aplicaNão se aplicaNão se aplica</t>
  </si>
  <si>
    <t>44562B1Energia convencionalResidencialResidencial baixa renda – faixa 02Não se aplicaNão se aplicaNão se aplica</t>
  </si>
  <si>
    <t>44593B1Energia convencionalResidencialResidencial baixa renda – faixa 02Não se aplicaNão se aplicaNão se aplica</t>
  </si>
  <si>
    <t>44621B1Energia convencionalResidencialResidencial baixa renda – faixa 02Não se aplicaNão se aplicaNão se aplica</t>
  </si>
  <si>
    <t>44652B1Energia convencionalResidencialResidencial baixa renda – faixa 02Não se aplicaNão se aplicaNão se aplica</t>
  </si>
  <si>
    <t>44682B1Energia convencionalResidencialResidencial baixa renda – faixa 02Não se aplicaNão se aplicaNão se aplica</t>
  </si>
  <si>
    <t>44713B1Energia convencionalResidencialResidencial baixa renda – faixa 02Não se aplicaNão se aplicaNão se aplica</t>
  </si>
  <si>
    <t>44743B1Energia convencionalResidencialResidencial baixa renda – faixa 02Não se aplicaNão se aplicaNão se aplica</t>
  </si>
  <si>
    <t>44774B1Energia convencionalResidencialResidencial baixa renda – faixa 02Não se aplicaNão se aplicaNão se aplica</t>
  </si>
  <si>
    <t>44440B1Energia convencionalResidencialResidencial baixa renda – faixa 03Não se aplicaNão se aplicaNão se aplica</t>
  </si>
  <si>
    <t>44470B1Energia convencionalResidencialResidencial baixa renda – faixa 03Não se aplicaNão se aplicaNão se aplica</t>
  </si>
  <si>
    <t>44501B1Energia convencionalResidencialResidencial baixa renda – faixa 03Não se aplicaNão se aplicaNão se aplica</t>
  </si>
  <si>
    <t>44531B1Energia convencionalResidencialResidencial baixa renda – faixa 03Não se aplicaNão se aplicaNão se aplica</t>
  </si>
  <si>
    <t>44562B1Energia convencionalResidencialResidencial baixa renda – faixa 03Não se aplicaNão se aplicaNão se aplica</t>
  </si>
  <si>
    <t>44593B1Energia convencionalResidencialResidencial baixa renda – faixa 03Não se aplicaNão se aplicaNão se aplica</t>
  </si>
  <si>
    <t>44621B1Energia convencionalResidencialResidencial baixa renda – faixa 03Não se aplicaNão se aplicaNão se aplica</t>
  </si>
  <si>
    <t>44652B1Energia convencionalResidencialResidencial baixa renda – faixa 03Não se aplicaNão se aplicaNão se aplica</t>
  </si>
  <si>
    <t>44682B1Energia convencionalResidencialResidencial baixa renda – faixa 03Não se aplicaNão se aplicaNão se aplica</t>
  </si>
  <si>
    <t>44713B1Energia convencionalResidencialResidencial baixa renda – faixa 03Não se aplicaNão se aplicaNão se aplica</t>
  </si>
  <si>
    <t>44743B1Energia convencionalResidencialResidencial baixa renda – faixa 03Não se aplicaNão se aplicaNão se aplica</t>
  </si>
  <si>
    <t>44774B1Energia convencionalResidencialResidencial baixa renda – faixa 03Não se aplicaNão se aplicaNão se aplica</t>
  </si>
  <si>
    <t>44440B1Energia convencionalResidencialResidencial baixa renda – faixa 04Não se aplicaNão se aplicaNão se aplica</t>
  </si>
  <si>
    <t>44470B1Energia convencionalResidencialResidencial baixa renda – faixa 04Não se aplicaNão se aplicaNão se aplica</t>
  </si>
  <si>
    <t>44501B1Energia convencionalResidencialResidencial baixa renda – faixa 04Não se aplicaNão se aplicaNão se aplica</t>
  </si>
  <si>
    <t>44531B1Energia convencionalResidencialResidencial baixa renda – faixa 04Não se aplicaNão se aplicaNão se aplica</t>
  </si>
  <si>
    <t>44562B1Energia convencionalResidencialResidencial baixa renda – faixa 04Não se aplicaNão se aplicaNão se aplica</t>
  </si>
  <si>
    <t>44593B1Energia convencionalResidencialResidencial baixa renda – faixa 04Não se aplicaNão se aplicaNão se aplica</t>
  </si>
  <si>
    <t>44621B1Energia convencionalResidencialResidencial baixa renda – faixa 04Não se aplicaNão se aplicaNão se aplica</t>
  </si>
  <si>
    <t>44652B1Energia convencionalResidencialResidencial baixa renda – faixa 04Não se aplicaNão se aplicaNão se aplica</t>
  </si>
  <si>
    <t>44682B1Energia convencionalResidencialResidencial baixa renda – faixa 04Não se aplicaNão se aplicaNão se aplica</t>
  </si>
  <si>
    <t>44713B1Energia convencionalResidencialResidencial baixa renda – faixa 04Não se aplicaNão se aplicaNão se aplica</t>
  </si>
  <si>
    <t>44743B1Energia convencionalResidencialResidencial baixa renda – faixa 04Não se aplicaNão se aplicaNão se aplica</t>
  </si>
  <si>
    <t>44774B1Energia convencionalResidencialResidencial baixa renda – faixa 04Não se aplicaNão se aplicaNão se aplica</t>
  </si>
  <si>
    <t>44440B2Energia convencionalRuralNão se aplicaNão se aplicaNão se aplicaNão se aplica</t>
  </si>
  <si>
    <t>44470B2Energia convencionalRuralNão se aplicaNão se aplicaNão se aplicaNão se aplica</t>
  </si>
  <si>
    <t>44501B2Energia convencionalRuralNão se aplicaNão se aplicaNão se aplicaNão se aplica</t>
  </si>
  <si>
    <t>44531B2Energia convencionalRuralNão se aplicaNão se aplicaNão se aplicaNão se aplica</t>
  </si>
  <si>
    <t>44562B2Energia convencionalRuralNão se aplicaNão se aplicaNão se aplicaNão se aplica</t>
  </si>
  <si>
    <t>44593B2Energia convencionalRuralNão se aplicaNão se aplicaNão se aplicaNão se aplica</t>
  </si>
  <si>
    <t>44621B2Energia convencionalRuralNão se aplicaNão se aplicaNão se aplicaNão se aplica</t>
  </si>
  <si>
    <t>44652B2Energia convencionalRuralNão se aplicaNão se aplicaNão se aplicaNão se aplica</t>
  </si>
  <si>
    <t>44682B2Energia convencionalRuralNão se aplicaNão se aplicaNão se aplicaNão se aplica</t>
  </si>
  <si>
    <t>44713B2Energia convencionalRuralNão se aplicaNão se aplicaNão se aplicaNão se aplica</t>
  </si>
  <si>
    <t>44743B2Energia convencionalRuralNão se aplicaNão se aplicaNão se aplicaNão se aplica</t>
  </si>
  <si>
    <t>44774B2Energia convencionalRuralNão se aplicaNão se aplicaNão se aplicaNão se aplica</t>
  </si>
  <si>
    <t>44440B3Energia convencionalNão se aplicaNão se aplicaNão se aplicaNão se aplicaNão se aplica</t>
  </si>
  <si>
    <t>44470B3Energia convencionalNão se aplicaNão se aplicaNão se aplicaNão se aplicaNão se aplica</t>
  </si>
  <si>
    <t>44501B3Energia convencionalNão se aplicaNão se aplicaNão se aplicaNão se aplicaNão se aplica</t>
  </si>
  <si>
    <t>44531B3Energia convencionalNão se aplicaNão se aplicaNão se aplicaNão se aplicaNão se aplica</t>
  </si>
  <si>
    <t>44562B3Energia convencionalNão se aplicaNão se aplicaNão se aplicaNão se aplicaNão se aplica</t>
  </si>
  <si>
    <t>44593B3Energia convencionalNão se aplicaNão se aplicaNão se aplicaNão se aplicaNão se aplica</t>
  </si>
  <si>
    <t>44621B3Energia convencionalNão se aplicaNão se aplicaNão se aplicaNão se aplicaNão se aplica</t>
  </si>
  <si>
    <t>44652B3Energia convencionalNão se aplicaNão se aplicaNão se aplicaNão se aplicaNão se aplica</t>
  </si>
  <si>
    <t>44682B3Energia convencionalNão se aplicaNão se aplicaNão se aplicaNão se aplicaNão se aplica</t>
  </si>
  <si>
    <t>44713B3Energia convencionalNão se aplicaNão se aplicaNão se aplicaNão se aplicaNão se aplica</t>
  </si>
  <si>
    <t>44743B3Energia convencionalNão se aplicaNão se aplicaNão se aplicaNão se aplicaNão se aplica</t>
  </si>
  <si>
    <t>44774B3Energia convencionalNão se aplicaNão se aplicaNão se aplicaNão se aplicaNão se aplica</t>
  </si>
  <si>
    <t>44440B4Energia convencionalIluminação públicaIluminação pública – B4aNão se aplicaNão se aplicaNão se aplica</t>
  </si>
  <si>
    <t>44470B4Energia convencionalIluminação públicaIluminação pública – B4aNão se aplicaNão se aplicaNão se aplica</t>
  </si>
  <si>
    <t>44501B4Energia convencionalIluminação públicaIluminação pública – B4aNão se aplicaNão se aplicaNão se aplica</t>
  </si>
  <si>
    <t>44531B4Energia convencionalIluminação públicaIluminação pública – B4aNão se aplicaNão se aplicaNão se aplica</t>
  </si>
  <si>
    <t>44562B4Energia convencionalIluminação públicaIluminação pública – B4aNão se aplicaNão se aplicaNão se aplica</t>
  </si>
  <si>
    <t>44593B4Energia convencionalIluminação públicaIluminação pública – B4aNão se aplicaNão se aplicaNão se aplica</t>
  </si>
  <si>
    <t>44621B4Energia convencionalIluminação públicaIluminação pública – B4aNão se aplicaNão se aplicaNão se aplica</t>
  </si>
  <si>
    <t>44652B4Energia convencionalIluminação públicaIluminação pública – B4aNão se aplicaNão se aplicaNão se aplica</t>
  </si>
  <si>
    <t>44682B4Energia convencionalIluminação públicaIluminação pública – B4aNão se aplicaNão se aplicaNão se aplica</t>
  </si>
  <si>
    <t>44713B4Energia convencionalIluminação públicaIluminação pública – B4aNão se aplicaNão se aplicaNão se aplica</t>
  </si>
  <si>
    <t>44743B4Energia convencionalIluminação públicaIluminação pública – B4aNão se aplicaNão se aplicaNão se aplica</t>
  </si>
  <si>
    <t>44774B4Energia convencionalIluminação públicaIluminação pública – B4aNão se aplicaNão se aplicaNão se aplica</t>
  </si>
  <si>
    <t>RECEITA VERIFICADA</t>
  </si>
  <si>
    <t>TUSD</t>
  </si>
  <si>
    <t>ENCARGO</t>
  </si>
  <si>
    <t>TFSEE</t>
  </si>
  <si>
    <t>P&amp;D</t>
  </si>
  <si>
    <t>ONS</t>
  </si>
  <si>
    <t>CCC</t>
  </si>
  <si>
    <t>CDE</t>
  </si>
  <si>
    <t>PROINFA</t>
  </si>
  <si>
    <t>LIMINAR 1</t>
  </si>
  <si>
    <t>SUBTOTAL</t>
  </si>
  <si>
    <t>FIO A</t>
  </si>
  <si>
    <t>TUSD RB</t>
  </si>
  <si>
    <t>TUSD FR</t>
  </si>
  <si>
    <t>CONEXAO T</t>
  </si>
  <si>
    <t>CONEXAO D</t>
  </si>
  <si>
    <t>CUSD</t>
  </si>
  <si>
    <t>TUSDG-T</t>
  </si>
  <si>
    <t>TUSDG-ONS</t>
  </si>
  <si>
    <t>FIO B</t>
  </si>
  <si>
    <t>DISTRIBUICAO</t>
  </si>
  <si>
    <t>Nao se aplica</t>
  </si>
  <si>
    <t>SUBSIDIO</t>
  </si>
  <si>
    <t>OUTROS</t>
  </si>
  <si>
    <t>PERDAS</t>
  </si>
  <si>
    <t>PERDAS TECNICAS</t>
  </si>
  <si>
    <t>PERDAS RB/ PERDAS D</t>
  </si>
  <si>
    <t>PERDAS NAO TECNICAS</t>
  </si>
  <si>
    <t>RI</t>
  </si>
  <si>
    <t>TE</t>
  </si>
  <si>
    <t>ESS/ERR</t>
  </si>
  <si>
    <t>CFURH</t>
  </si>
  <si>
    <t>CDE ELET</t>
  </si>
  <si>
    <t>ENERGIA</t>
  </si>
  <si>
    <t>ENERGIA REVENDA</t>
  </si>
  <si>
    <t>ITAIPU</t>
  </si>
  <si>
    <t>TUST ITAIPU</t>
  </si>
  <si>
    <t>TUST CI</t>
  </si>
  <si>
    <t>PERDAS RB/C</t>
  </si>
  <si>
    <t>TOTAL</t>
  </si>
  <si>
    <t>TIPO TARIFA</t>
  </si>
  <si>
    <t>GRUPO DE CUSTO</t>
  </si>
  <si>
    <t>CUSTO</t>
  </si>
  <si>
    <t>BASE ECONÔMICA</t>
  </si>
  <si>
    <t>BASE FINANCEIRA</t>
  </si>
  <si>
    <t>CVA</t>
  </si>
  <si>
    <t>Parâmetros de cálculo</t>
  </si>
  <si>
    <t>IRP ECONÔMICO (%)</t>
  </si>
  <si>
    <t>IRP FINANCEIRO (%)</t>
  </si>
  <si>
    <t>IGP-M (%)</t>
  </si>
  <si>
    <t>ALÍQUOTA P&amp;D (%)</t>
  </si>
  <si>
    <t>PROJEÇÃO MERC. (%)</t>
  </si>
  <si>
    <t>Perdas TOTAIS (MWh)</t>
  </si>
  <si>
    <t>Perdas Técnicas (MWh)</t>
  </si>
  <si>
    <t>Perdas Não Técnicas (MWh)</t>
  </si>
  <si>
    <t>Perdas na RB (sobre perdas na D) (MWh)</t>
  </si>
  <si>
    <t>Perdas na RB (sobre mercado cativo) (MWh)</t>
  </si>
  <si>
    <t>ENERGIA REQUERIDA (MWh)</t>
  </si>
  <si>
    <t>PROINFA (MWh)</t>
  </si>
  <si>
    <t>MIX COMPRA (R$/MWh)</t>
  </si>
  <si>
    <t>ENERGIA ECON. (R$)</t>
  </si>
  <si>
    <t>ENERGIA FIN. (R$)</t>
  </si>
  <si>
    <t>ENERGIA CVA (R$)</t>
  </si>
  <si>
    <t>RB FIN. (R$)</t>
  </si>
  <si>
    <t>RB CVA (R$)</t>
  </si>
  <si>
    <t>P&amp;D FIN. (R$)</t>
  </si>
  <si>
    <t>P&amp;D CVA (R$)</t>
  </si>
  <si>
    <t>VERSÃO</t>
  </si>
  <si>
    <t>Constante FAIXA 1 BR</t>
  </si>
  <si>
    <t>Constante FAIXA 2 BR</t>
  </si>
  <si>
    <t>Constante FAIXA 3 BR</t>
  </si>
  <si>
    <t>Constante FAIXA 4 BR</t>
  </si>
  <si>
    <t>Constante B2 Rural</t>
  </si>
  <si>
    <t>Constante B2 Cooperativas</t>
  </si>
  <si>
    <t>Constante B2 SPI</t>
  </si>
  <si>
    <t>Constante B3</t>
  </si>
  <si>
    <t>Constante B4a</t>
  </si>
  <si>
    <t>Constante B4b</t>
  </si>
  <si>
    <t>Constante PUB. FAIXA 1 BR</t>
  </si>
  <si>
    <t>Constante PUB. FAIXA 2 BR</t>
  </si>
  <si>
    <t>Constante PUB. FAIXA 3 BR</t>
  </si>
  <si>
    <t>Constante PUB. FAIXA 4 BR</t>
  </si>
  <si>
    <t>Constante PUB. B2 Rural</t>
  </si>
  <si>
    <t>Constante PUB. B2 Cooperativas</t>
  </si>
  <si>
    <t>Constante PUB. B2 SPI</t>
  </si>
  <si>
    <t>Conexão CONS. A1</t>
  </si>
  <si>
    <t>CDE ENERGIA ACR</t>
  </si>
  <si>
    <t>CDE Covid TUSD</t>
  </si>
  <si>
    <t>P&amp;D ECON. (R$)</t>
  </si>
  <si>
    <t>CUSTOS</t>
  </si>
  <si>
    <t>CDE Covid TE</t>
  </si>
  <si>
    <t>ABA Merc. Rec. TUSD (kW)</t>
  </si>
  <si>
    <t>ABA Merc. Rec. TUSD (MWh)</t>
  </si>
  <si>
    <t>ABA Merc. Rec. TE (MWh)</t>
  </si>
  <si>
    <t>ABA Merc. TUSD TUSD (kW)</t>
  </si>
  <si>
    <t>ABA Merc. TUSD TUSD (MWh)</t>
  </si>
  <si>
    <t>ABA Merc. TE TE (MWh)</t>
  </si>
  <si>
    <t>TESTE TUSD (kW)</t>
  </si>
  <si>
    <t>TESTE TUSD (MWh)</t>
  </si>
  <si>
    <t>TESTE TE (MWh)</t>
  </si>
  <si>
    <t>Resolução</t>
  </si>
  <si>
    <t>RESOLUÇÃO HOMOLOGATÓRIA Nº 2.939, DE 28 DE SETEMBRO DE 2021</t>
  </si>
  <si>
    <t>MERC.</t>
  </si>
  <si>
    <t>TR TUSD</t>
  </si>
  <si>
    <t>VAR AUX</t>
  </si>
  <si>
    <t>CUSTO REC. CAR.</t>
  </si>
  <si>
    <t>CUSTO REC. GER.</t>
  </si>
  <si>
    <t>CUSTO REC. DEM.</t>
  </si>
  <si>
    <t>CON. D/T</t>
  </si>
  <si>
    <t>COEF. AJ. BE</t>
  </si>
  <si>
    <t>TUSD BE</t>
  </si>
  <si>
    <t>CUSTO TEÓRICO</t>
  </si>
  <si>
    <t>COEF. AJ. BF</t>
  </si>
  <si>
    <t>TUSD BF</t>
  </si>
  <si>
    <t>COEF. AJ. CVA</t>
  </si>
  <si>
    <t>AUX. SUBS.</t>
  </si>
  <si>
    <t>TUSD CVA</t>
  </si>
  <si>
    <t>TR TE</t>
  </si>
  <si>
    <t>BASE TEÓRICA</t>
  </si>
  <si>
    <t>TE SUP.</t>
  </si>
  <si>
    <t>COEF. AJ. BE CDE S/ ACR</t>
  </si>
  <si>
    <t>COEF. AJ. BE CDE SÓ ACR</t>
  </si>
  <si>
    <t>TE BE</t>
  </si>
  <si>
    <t>TE BF</t>
  </si>
  <si>
    <t>TE CVA</t>
  </si>
  <si>
    <t>TOTAL ABAS</t>
  </si>
  <si>
    <t>AVALIAÇÃO</t>
  </si>
  <si>
    <t>Coeficientes de transição</t>
  </si>
  <si>
    <t>A2</t>
  </si>
  <si>
    <t>A3</t>
  </si>
  <si>
    <t>A3a</t>
  </si>
  <si>
    <t>AS</t>
  </si>
  <si>
    <t>Carga</t>
  </si>
  <si>
    <t>Ajustado para o passo 4 da transição. Não altere.</t>
  </si>
  <si>
    <t>(SUB)GRUPO</t>
  </si>
  <si>
    <t>TUSD (R$)</t>
  </si>
  <si>
    <t>TUSD (MWh)</t>
  </si>
  <si>
    <t>PNT (R$/MWh)</t>
  </si>
  <si>
    <t>VAR. AX01</t>
  </si>
  <si>
    <t>VAR. AX02</t>
  </si>
  <si>
    <t>TipoTarifa</t>
  </si>
  <si>
    <t>UP</t>
  </si>
  <si>
    <t>US</t>
  </si>
  <si>
    <t>UT</t>
  </si>
  <si>
    <t>AnoRef</t>
  </si>
  <si>
    <t>Evento</t>
  </si>
  <si>
    <t>Energia</t>
  </si>
  <si>
    <t>Ativa</t>
  </si>
  <si>
    <t>Potência</t>
  </si>
  <si>
    <t>Intermediário</t>
  </si>
  <si>
    <t>CÓD.</t>
  </si>
  <si>
    <t>TUSD (R$/kW)</t>
  </si>
  <si>
    <t>TUSD (R$/MWh)</t>
  </si>
  <si>
    <t>TE (R$/MWh)</t>
  </si>
  <si>
    <t>TUSD (R$/kW) NOVA</t>
  </si>
  <si>
    <t>TUSD (R$/MWh) NOVA</t>
  </si>
  <si>
    <t>TE (R$/MWh) NOVA</t>
  </si>
  <si>
    <t>Empresa</t>
  </si>
  <si>
    <t>Ramo</t>
  </si>
  <si>
    <t>Tipo</t>
  </si>
  <si>
    <t>Unidade</t>
  </si>
  <si>
    <t>Percentual Desconto</t>
  </si>
  <si>
    <t>modalidade</t>
  </si>
  <si>
    <t>subgrupo</t>
  </si>
  <si>
    <t>classe</t>
  </si>
  <si>
    <t>subclasse</t>
  </si>
  <si>
    <t>detalhe</t>
  </si>
  <si>
    <t>Passo atual</t>
  </si>
  <si>
    <t>desconto 0 - 8</t>
  </si>
  <si>
    <t>Planilha Custo</t>
  </si>
  <si>
    <t>Planilha CUSTO</t>
  </si>
  <si>
    <t xml:space="preserve">Branca </t>
  </si>
  <si>
    <t xml:space="preserve">Convencional </t>
  </si>
  <si>
    <t>RA0 ou RV - TUSD (kW)</t>
  </si>
  <si>
    <t>RA0 ou RV - TUSD (MWh)</t>
  </si>
  <si>
    <t>RA0 ou RV - TE (MWh)</t>
  </si>
  <si>
    <t>RA1 ou RRD - TUSD (kW)</t>
  </si>
  <si>
    <t>RA1 ou RRD - TUSD (MWh)</t>
  </si>
  <si>
    <t>RA1 ou RRD - TE (MWh)</t>
  </si>
  <si>
    <t>RA0 ou RV - TUSD</t>
  </si>
  <si>
    <t>RA1 ou RRD - TUSD</t>
  </si>
  <si>
    <t>VARIAÇÃO</t>
  </si>
  <si>
    <t>RA0 ou RV - TE</t>
  </si>
  <si>
    <t>RA1 ou RRD - TE</t>
  </si>
  <si>
    <t>RA0 ou RV</t>
  </si>
  <si>
    <t>RA1 ou RRD</t>
  </si>
  <si>
    <t>A</t>
  </si>
  <si>
    <t>A+B</t>
  </si>
  <si>
    <t>Rótulos de Linha</t>
  </si>
  <si>
    <t>Soma de RA0 ou RV - TUSD (kW)</t>
  </si>
  <si>
    <t>Soma de RA1 ou RRD - TUSD (kW)</t>
  </si>
  <si>
    <t>Soma de RA0 ou RV - TUSD (MWh)</t>
  </si>
  <si>
    <t>Soma de RA1 ou RRD - TUSD (MWh)</t>
  </si>
  <si>
    <t>Soma de RA0 ou RV - TE (MWh)</t>
  </si>
  <si>
    <t>Soma de RA1 ou RRD - TE (MWh)</t>
  </si>
  <si>
    <t>Soma de Variação TUSD</t>
  </si>
  <si>
    <t>Soma de Variação TE</t>
  </si>
  <si>
    <t>Soma de Variação</t>
  </si>
  <si>
    <t>SUBSIDIO kW - TV</t>
  </si>
  <si>
    <t>SUBSIDIO MWh - TV</t>
  </si>
  <si>
    <t>SUBSIDIO kW - TN</t>
  </si>
  <si>
    <t>SUBSIDIO MWh - TN</t>
  </si>
  <si>
    <t>TIPO</t>
  </si>
  <si>
    <t>SUBSIDIO ÁGUA, ESGOTO E SANEAMENTO</t>
  </si>
  <si>
    <t>SUBSIDIO GERAÇÃO FONTE INCENTIVADA</t>
  </si>
  <si>
    <t>SUBSIDIO RURAL</t>
  </si>
  <si>
    <t>SUBSIDIO BAIXA RENDA</t>
  </si>
  <si>
    <t>SUBSIDIO IRRIGANTE/AQUICULTOR</t>
  </si>
  <si>
    <t>R$ (TV)</t>
  </si>
  <si>
    <t>R$ (TN)</t>
  </si>
  <si>
    <t>SUBSIDIO CARGA FONTE INCENTIVADA</t>
  </si>
  <si>
    <t>SUBSIDIO DISTRIBUIÇÃO</t>
  </si>
  <si>
    <t>AJUSTE ABRACE</t>
  </si>
  <si>
    <t>(vazio)</t>
  </si>
  <si>
    <t>Soma de SUBSIDIO kW - TV</t>
  </si>
  <si>
    <t>Soma de SUBSIDIO MWh - TV</t>
  </si>
  <si>
    <t>Soma de SUBSIDIO kW - TN</t>
  </si>
  <si>
    <t>Soma de SUBSIDIO MWh - TN</t>
  </si>
  <si>
    <t>Soma de TOTAL TV</t>
  </si>
  <si>
    <t>Soma de TOTAL TN</t>
  </si>
  <si>
    <t>Azul1Serviço públicoÁgua, esgoto e saneamentoPlanilha CUSTOA4</t>
  </si>
  <si>
    <t>2021</t>
  </si>
  <si>
    <t>Verde1Serviço públicoÁgua, esgoto e saneamentoPlanilha CUSTOA4</t>
  </si>
  <si>
    <t>Convencional 1Serviço públicoÁgua, esgoto e saneamentoPlanilha CUSTOA4</t>
  </si>
  <si>
    <t>Convencional1Serviço públicoÁgua, esgoto e saneamentoPlanilha CUSTOB3</t>
  </si>
  <si>
    <t>Branca1Serviço públicoÁgua, esgoto e saneamentoPlanilha CUSTOB3</t>
  </si>
  <si>
    <t>Convencional1RuralCooperativa de eletrificação ruralPlanilha CUSTOB2</t>
  </si>
  <si>
    <t>Branca 1RuralCooperativa de eletrificação ruralPlanilha CUSTOB2</t>
  </si>
  <si>
    <t>Convencional1RuralNão se aplicaRuralB2</t>
  </si>
  <si>
    <t>Azul1RuralNão se aplicaPlanilha CustoA4</t>
  </si>
  <si>
    <t>Verde1RuralNão se aplicaPlanilha CustoA4</t>
  </si>
  <si>
    <t>Convencional1RuralNão se aplicaPlanilha CustoA4</t>
  </si>
  <si>
    <t>Branca1RuralNão se aplicaRuralB2</t>
  </si>
  <si>
    <t>Convencional1RuralServiço público de irrigação ruralPlanilha CUSTOB2</t>
  </si>
  <si>
    <t>Branca 1RuralServiço público de irrigação ruralPlanilha CUSTOB2</t>
  </si>
  <si>
    <t>Chave</t>
  </si>
  <si>
    <t>Cod</t>
  </si>
  <si>
    <t>idagente</t>
  </si>
  <si>
    <t>IdUC</t>
  </si>
  <si>
    <t>SubClasse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</si>
  <si>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</si>
  <si>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</si>
  <si>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</si>
  <si>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</si>
  <si>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</si>
  <si>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</si>
  <si>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</si>
  <si>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</si>
  <si>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</si>
  <si>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Passo_Atual</t>
  </si>
  <si>
    <t>TUSD kW R$</t>
  </si>
  <si>
    <t>TUSD MW R$</t>
  </si>
  <si>
    <t>TE MWh R$</t>
  </si>
  <si>
    <t>SUB TUSD kW R$</t>
  </si>
  <si>
    <t>SUB TUSD MW R$</t>
  </si>
  <si>
    <t>SUB TE MWh R$</t>
  </si>
  <si>
    <t>TABELA CONSISTÊNCIA</t>
  </si>
  <si>
    <t>A1</t>
  </si>
  <si>
    <t>TUSD kW COMP. PR. R$</t>
  </si>
  <si>
    <t>TUSD MWh COMP. PR. R$</t>
  </si>
  <si>
    <t>TE MWh COMP. PR. R$</t>
  </si>
  <si>
    <t>TUSD kW SUB. PR. R$</t>
  </si>
  <si>
    <t>TUSD MWh SUB. PR. R$</t>
  </si>
  <si>
    <t>TE MWh SUB. PR. R$</t>
  </si>
  <si>
    <t>TUSD kW EFT. PR. R$</t>
  </si>
  <si>
    <t>TUSD MWh EFT. PR. R$</t>
  </si>
  <si>
    <t>TE MWh EFT. PR. R$</t>
  </si>
  <si>
    <t>TUSD kW EFT. VR. R$</t>
  </si>
  <si>
    <t>TUSD MWh EFT. VR. R$</t>
  </si>
  <si>
    <t>TE MWh EFT. VR. R$</t>
  </si>
  <si>
    <t>TUSD kW SUB. VR. R$</t>
  </si>
  <si>
    <t>TUSD+TE MWh SUB. VR. R$</t>
  </si>
  <si>
    <t>EFT. TUSD kW</t>
  </si>
  <si>
    <t>EFT. TUSD MWh</t>
  </si>
  <si>
    <t>EFT. TE MWh</t>
  </si>
  <si>
    <t>SUB. TUSD kW</t>
  </si>
  <si>
    <t>SUB. TUSD+TE MWh</t>
  </si>
  <si>
    <t>PLANILHA</t>
  </si>
  <si>
    <t>ERRO DETECTADO</t>
  </si>
  <si>
    <t>TABELA 1 - TARIFAS DE APLICAÇÃO E BASE ECONÔMICA PARA O GRUPO A</t>
  </si>
  <si>
    <t>ACESSANTE</t>
  </si>
  <si>
    <t>TARIFAS DE APLICAÇÃO</t>
  </si>
  <si>
    <t>R$/kW</t>
  </si>
  <si>
    <t>R$/MWh</t>
  </si>
  <si>
    <t>P</t>
  </si>
  <si>
    <t>FP</t>
  </si>
  <si>
    <t>Azul APE</t>
  </si>
  <si>
    <t>NA</t>
  </si>
  <si>
    <t>Verde APE</t>
  </si>
  <si>
    <t>TABELA 2 - TARIFAS DE APLICAÇÃO E BASE ECONÔMICA PARA O GRUPO B</t>
  </si>
  <si>
    <t>BRANCA</t>
  </si>
  <si>
    <t>RESIDENCIAL</t>
  </si>
  <si>
    <t>INT</t>
  </si>
  <si>
    <t>PRÉ-PAGAMENTO</t>
  </si>
  <si>
    <t>BAIXA RENDA</t>
  </si>
  <si>
    <t>CONVENCIONAL</t>
  </si>
  <si>
    <t>RURAL</t>
  </si>
  <si>
    <t>NÃO SE APLICA</t>
  </si>
  <si>
    <t>COOPERATIVA DE ELETRIFICAÇÃO RURAL</t>
  </si>
  <si>
    <t>SERVIÇO PÚBLICO DE IRRIGAÇÃO RURAL</t>
  </si>
  <si>
    <t>ILUMINAÇÃO PÚBLICA</t>
  </si>
  <si>
    <t>ILUMINAÇÃO PÚBLICA – B4A</t>
  </si>
  <si>
    <t>ILUMINAÇÃO PÚBLICA – B4B</t>
  </si>
  <si>
    <t>TUSD BASE FINANCEIRA NOVA</t>
  </si>
  <si>
    <t>TUSD BASE FINANCEIRA VIGENTE</t>
  </si>
  <si>
    <t>A4Azul</t>
  </si>
  <si>
    <t>A4AzulNão se aplica</t>
  </si>
  <si>
    <t>A4AzulNão se aplicaNão se aplica</t>
  </si>
  <si>
    <t>A4AzulNão se aplicaNão se aplicaNão se aplica</t>
  </si>
  <si>
    <t>A4AzulNão se aplicaNão se aplicaNão se aplicaNão se aplica</t>
  </si>
  <si>
    <t>A4AzulNão se aplicaNão se aplicaNão se aplicaNão se aplicaDP</t>
  </si>
  <si>
    <t>A4AzulNão se aplicaNão se aplicaNão se aplicaNão se aplicaDFP</t>
  </si>
  <si>
    <t>A4AzulNão se aplicaNão se aplicaNão se aplicaNão se aplicaE</t>
  </si>
  <si>
    <t>A4AzulNão se aplicaNão se aplicaAPE</t>
  </si>
  <si>
    <t>A4AzulNão se aplicaNão se aplicaAPENão se aplica</t>
  </si>
  <si>
    <t>A4AzulNão se aplicaNão se aplicaAPENão se aplicaE</t>
  </si>
  <si>
    <t>A4Geração</t>
  </si>
  <si>
    <t>A4GeraçãoNão se aplica</t>
  </si>
  <si>
    <t>A4GeraçãoNão se aplicaNão se aplica</t>
  </si>
  <si>
    <t>A4GeraçãoNão se aplicaNão se aplicaNão se aplica</t>
  </si>
  <si>
    <t>A4GeraçãoNão se aplicaNão se aplicaNão se aplicaNão se aplica</t>
  </si>
  <si>
    <t>A4GeraçãoNão se aplicaNão se aplicaNão se aplicaNão se aplicaD</t>
  </si>
  <si>
    <t>A4Verde</t>
  </si>
  <si>
    <t>A4VerdeNão se aplica</t>
  </si>
  <si>
    <t>A4VerdeNão se aplicaNão se aplica</t>
  </si>
  <si>
    <t>A4VerdeNão se aplicaNão se aplicaNão se aplica</t>
  </si>
  <si>
    <t>A4VerdeNão se aplicaNão se aplicaNão se aplicaNão se aplica</t>
  </si>
  <si>
    <t>A4VerdeNão se aplicaNão se aplicaNão se aplicaNão se aplicaD</t>
  </si>
  <si>
    <t>A4VerdeNão se aplicaNão se aplicaNão se aplicaNão se aplicaEP</t>
  </si>
  <si>
    <t>A4VerdeNão se aplicaNão se aplicaNão se aplicaNão se aplicaEFP</t>
  </si>
  <si>
    <t>A4VerdeNão se aplicaNão se aplicaAPE</t>
  </si>
  <si>
    <t>A4VerdeNão se aplicaNão se aplicaAPENão se aplica</t>
  </si>
  <si>
    <t>A4VerdeNão se aplicaNão se aplicaAPENão se aplicaEP</t>
  </si>
  <si>
    <t>A4VerdeNão se aplicaNão se aplicaAPENão se aplicaEFP</t>
  </si>
  <si>
    <t>BGeração</t>
  </si>
  <si>
    <t>BGeraçãoNão se aplica</t>
  </si>
  <si>
    <t>BGeraçãoNão se aplicaNão se aplica</t>
  </si>
  <si>
    <t>BGeraçãoNão se aplicaNão se aplicaTIPO 01</t>
  </si>
  <si>
    <t>BGeraçãoNão se aplicaNão se aplicaTIPO 01Não se aplica</t>
  </si>
  <si>
    <t>BGeraçãoNão se aplicaNão se aplicaTIPO 01Não se aplicaD</t>
  </si>
  <si>
    <t>BGeraçãoNão se aplicaNão se aplicaTIPO 02</t>
  </si>
  <si>
    <t>BGeraçãoNão se aplicaNão se aplicaTIPO 02Não se aplica</t>
  </si>
  <si>
    <t>BGeraçãoNão se aplicaNão se aplicaTIPO 02Não se aplicaD</t>
  </si>
  <si>
    <t>B1Branca</t>
  </si>
  <si>
    <t>B1BrancaResidencial</t>
  </si>
  <si>
    <t>B1BrancaResidencialResidencial</t>
  </si>
  <si>
    <t>B1BrancaResidencialResidencialNão se aplica</t>
  </si>
  <si>
    <t>B1BrancaResidencialResidencialNão se aplicaNão se aplica</t>
  </si>
  <si>
    <t>B1BrancaResidencialResidencialNão se aplicaNão se aplicaEP</t>
  </si>
  <si>
    <t>B1BrancaResidencialResidencialNão se aplicaNão se aplicaEINT</t>
  </si>
  <si>
    <t>B1BrancaResidencialResidencialNão se aplicaNão se aplicaEFP</t>
  </si>
  <si>
    <t>B1Convencional</t>
  </si>
  <si>
    <t>B1ConvencionalResidencial</t>
  </si>
  <si>
    <t>B1ConvencionalResidencialResidencial</t>
  </si>
  <si>
    <t>B1ConvencionalResidencialResidencialNão se aplica</t>
  </si>
  <si>
    <t>B1ConvencionalResidencialResidencialNão se aplicaNão se aplica</t>
  </si>
  <si>
    <t>B1ConvencionalResidencialResidencialNão se aplicaNão se aplicaE</t>
  </si>
  <si>
    <t>B1ConvencionalResidencialResidencial baixa renda – faixa 01</t>
  </si>
  <si>
    <t>B1ConvencionalResidencialResidencial baixa renda – faixa 01Não se aplica</t>
  </si>
  <si>
    <t>B1ConvencionalResidencialResidencial baixa renda – faixa 01Não se aplicaNão se aplica</t>
  </si>
  <si>
    <t>B1ConvencionalResidencialResidencial baixa renda – faixa 01Não se aplicaNão se aplicaE</t>
  </si>
  <si>
    <t>B1ConvencionalResidencialResidencial baixa renda – faixa 02</t>
  </si>
  <si>
    <t>B1ConvencionalResidencialResidencial baixa renda – faixa 02Não se aplica</t>
  </si>
  <si>
    <t>B1ConvencionalResidencialResidencial baixa renda – faixa 02Não se aplicaNão se aplica</t>
  </si>
  <si>
    <t>B1ConvencionalResidencialResidencial baixa renda – faixa 02Não se aplicaNão se aplicaE</t>
  </si>
  <si>
    <t>B1ConvencionalResidencialResidencial baixa renda – faixa 03</t>
  </si>
  <si>
    <t>B1ConvencionalResidencialResidencial baixa renda – faixa 03Não se aplica</t>
  </si>
  <si>
    <t>B1ConvencionalResidencialResidencial baixa renda – faixa 03Não se aplicaNão se aplica</t>
  </si>
  <si>
    <t>B1ConvencionalResidencialResidencial baixa renda – faixa 03Não se aplicaNão se aplicaE</t>
  </si>
  <si>
    <t>B1ConvencionalResidencialResidencial baixa renda – faixa 04</t>
  </si>
  <si>
    <t>B1ConvencionalResidencialResidencial baixa renda – faixa 04Não se aplica</t>
  </si>
  <si>
    <t>B1ConvencionalResidencialResidencial baixa renda – faixa 04Não se aplicaNão se aplica</t>
  </si>
  <si>
    <t>B1ConvencionalResidencialResidencial baixa renda – faixa 04Não se aplicaNão se aplicaE</t>
  </si>
  <si>
    <t>B1Convencional pré-pagamento</t>
  </si>
  <si>
    <t>B1Convencional pré-pagamentoResidencial</t>
  </si>
  <si>
    <t>B1Convencional pré-pagamentoResidencialResidencial</t>
  </si>
  <si>
    <t>B1Convencional pré-pagamentoResidencialResidencialNão se aplica</t>
  </si>
  <si>
    <t>B1Convencional pré-pagamentoResidencialResidencialNão se aplicaNão se aplica</t>
  </si>
  <si>
    <t>B1Convencional pré-pagamentoResidencialResidencialNão se aplicaNão se aplicaE</t>
  </si>
  <si>
    <t>B1Convencional pré-pagamentoResidencialResidencial baixa renda – faixa 01</t>
  </si>
  <si>
    <t>B1Convencional pré-pagamentoResidencialResidencial baixa renda – faixa 01Não se aplica</t>
  </si>
  <si>
    <t>B1Convencional pré-pagamentoResidencialResidencial baixa renda – faixa 01Não se aplicaNão se aplica</t>
  </si>
  <si>
    <t>B1Convencional pré-pagamentoResidencialResidencial baixa renda – faixa 01Não se aplicaNão se aplicaE</t>
  </si>
  <si>
    <t>B1Convencional pré-pagamentoResidencialResidencial baixa renda – faixa 02</t>
  </si>
  <si>
    <t>B1Convencional pré-pagamentoResidencialResidencial baixa renda – faixa 02Não se aplica</t>
  </si>
  <si>
    <t>B1Convencional pré-pagamentoResidencialResidencial baixa renda – faixa 02Não se aplicaNão se aplica</t>
  </si>
  <si>
    <t>B1Convencional pré-pagamentoResidencialResidencial baixa renda – faixa 02Não se aplicaNão se aplicaE</t>
  </si>
  <si>
    <t>B1Convencional pré-pagamentoResidencialResidencial baixa renda – faixa 03</t>
  </si>
  <si>
    <t>B1Convencional pré-pagamentoResidencialResidencial baixa renda – faixa 03Não se aplica</t>
  </si>
  <si>
    <t>B1Convencional pré-pagamentoResidencialResidencial baixa renda – faixa 03Não se aplicaNão se aplica</t>
  </si>
  <si>
    <t>B1Convencional pré-pagamentoResidencialResidencial baixa renda – faixa 03Não se aplicaNão se aplicaE</t>
  </si>
  <si>
    <t>B1Convencional pré-pagamentoResidencialResidencial baixa renda – faixa 04</t>
  </si>
  <si>
    <t>B1Convencional pré-pagamentoResidencialResidencial baixa renda – faixa 04Não se aplica</t>
  </si>
  <si>
    <t>B1Convencional pré-pagamentoResidencialResidencial baixa renda – faixa 04Não se aplicaNão se aplica</t>
  </si>
  <si>
    <t>B1Convencional pré-pagamentoResidencialResidencial baixa renda – faixa 04Não se aplicaNão se aplicaE</t>
  </si>
  <si>
    <t>B2Branca</t>
  </si>
  <si>
    <t>B2BrancaRural</t>
  </si>
  <si>
    <t>B2BrancaRuralNão se aplica</t>
  </si>
  <si>
    <t>B2BrancaRuralNão se aplicaNão se aplica</t>
  </si>
  <si>
    <t>B2BrancaRuralNão se aplicaNão se aplicaNão se aplica</t>
  </si>
  <si>
    <t>B2BrancaRuralNão se aplicaNão se aplicaNão se aplicaEP</t>
  </si>
  <si>
    <t>B2BrancaRuralNão se aplicaNão se aplicaNão se aplicaEINT</t>
  </si>
  <si>
    <t>B2BrancaRuralNão se aplicaNão se aplicaNão se aplicaEFP</t>
  </si>
  <si>
    <t>B2Convencional</t>
  </si>
  <si>
    <t>B2ConvencionalRural</t>
  </si>
  <si>
    <t>B2ConvencionalRuralNão se aplica</t>
  </si>
  <si>
    <t>B2ConvencionalRuralNão se aplicaNão se aplica</t>
  </si>
  <si>
    <t>B2ConvencionalRuralNão se aplicaNão se aplicaNão se aplica</t>
  </si>
  <si>
    <t>B2ConvencionalRuralNão se aplicaNão se aplicaNão se aplicaE</t>
  </si>
  <si>
    <t>B2BrancaRuralCooperativa de eletrificação rural</t>
  </si>
  <si>
    <t>B2BrancaRuralCooperativa de eletrificação ruralNão se aplica</t>
  </si>
  <si>
    <t>B2BrancaRuralCooperativa de eletrificação ruralNão se aplicaNão se aplica</t>
  </si>
  <si>
    <t>B2BrancaRuralCooperativa de eletrificação ruralNão se aplicaNão se aplicaEP</t>
  </si>
  <si>
    <t>B2BrancaRuralCooperativa de eletrificação ruralNão se aplicaNão se aplicaEINT</t>
  </si>
  <si>
    <t>B2BrancaRuralCooperativa de eletrificação ruralNão se aplicaNão se aplicaEFP</t>
  </si>
  <si>
    <t>B2ConvencionalRuralCooperativa de eletrificação rural</t>
  </si>
  <si>
    <t>B2ConvencionalRuralCooperativa de eletrificação ruralNão se aplica</t>
  </si>
  <si>
    <t>B2ConvencionalRuralCooperativa de eletrificação ruralNão se aplicaNão se aplica</t>
  </si>
  <si>
    <t>B2ConvencionalRuralCooperativa de eletrificação ruralNão se aplicaNão se aplicaE</t>
  </si>
  <si>
    <t>B2BrancaRuralServiço público de irrigação rural</t>
  </si>
  <si>
    <t>B2BrancaRuralServiço público de irrigação ruralNão se aplica</t>
  </si>
  <si>
    <t>B2BrancaRuralServiço público de irrigação ruralNão se aplicaNão se aplica</t>
  </si>
  <si>
    <t>B2BrancaRuralServiço público de irrigação ruralNão se aplicaNão se aplicaEP</t>
  </si>
  <si>
    <t>B2BrancaRuralServiço público de irrigação ruralNão se aplicaNão se aplicaEINT</t>
  </si>
  <si>
    <t>B2BrancaRuralServiço público de irrigação ruralNão se aplicaNão se aplicaEFP</t>
  </si>
  <si>
    <t>B2ConvencionalRuralServiço público de irrigação rural</t>
  </si>
  <si>
    <t>B2ConvencionalRuralServiço público de irrigação ruralNão se aplica</t>
  </si>
  <si>
    <t>B2ConvencionalRuralServiço público de irrigação ruralNão se aplicaNão se aplica</t>
  </si>
  <si>
    <t>B2ConvencionalRuralServiço público de irrigação ruralNão se aplicaNão se aplicaE</t>
  </si>
  <si>
    <t>B2Convencional pré-pagamento</t>
  </si>
  <si>
    <t>B2Convencional pré-pagamentoRural</t>
  </si>
  <si>
    <t>B2Convencional pré-pagamentoRuralNão se aplica</t>
  </si>
  <si>
    <t>B2Convencional pré-pagamentoRuralNão se aplicaNão se aplica</t>
  </si>
  <si>
    <t>B2Convencional pré-pagamentoRuralNão se aplicaNão se aplicaNão se aplica</t>
  </si>
  <si>
    <t>B2Convencional pré-pagamentoRuralNão se aplicaNão se aplicaNão se aplicaE</t>
  </si>
  <si>
    <t>B2Convencional pré-pagamentoRuralCooperativa de eletrificação rural</t>
  </si>
  <si>
    <t>B2Convencional pré-pagamentoRuralCooperativa de eletrificação ruralNão se aplica</t>
  </si>
  <si>
    <t>B2Convencional pré-pagamentoRuralCooperativa de eletrificação ruralNão se aplicaNão se aplica</t>
  </si>
  <si>
    <t>B2Convencional pré-pagamentoRuralCooperativa de eletrificação ruralNão se aplicaNão se aplicaE</t>
  </si>
  <si>
    <t>B2Convencional pré-pagamentoRuralServiço público de irrigação rural</t>
  </si>
  <si>
    <t>B2Convencional pré-pagamentoRuralServiço público de irrigação ruralNão se aplica</t>
  </si>
  <si>
    <t>B2Convencional pré-pagamentoRuralServiço público de irrigação ruralNão se aplicaNão se aplica</t>
  </si>
  <si>
    <t>B2Convencional pré-pagamentoRuralServiço público de irrigação ruralNão se aplicaNão se aplicaE</t>
  </si>
  <si>
    <t>B3Branca</t>
  </si>
  <si>
    <t>B3BrancaNão se aplica</t>
  </si>
  <si>
    <t>B3BrancaNão se aplicaNão se aplica</t>
  </si>
  <si>
    <t>B3BrancaNão se aplicaNão se aplicaNão se aplica</t>
  </si>
  <si>
    <t>B3BrancaNão se aplicaNão se aplicaNão se aplicaNão se aplica</t>
  </si>
  <si>
    <t>B3BrancaNão se aplicaNão se aplicaNão se aplicaNão se aplicaEP</t>
  </si>
  <si>
    <t>B3BrancaNão se aplicaNão se aplicaNão se aplicaNão se aplicaEINT</t>
  </si>
  <si>
    <t>B3BrancaNão se aplicaNão se aplicaNão se aplicaNão se aplicaEFP</t>
  </si>
  <si>
    <t>B3Convencional</t>
  </si>
  <si>
    <t>B3ConvencionalNão se aplica</t>
  </si>
  <si>
    <t>B3ConvencionalNão se aplicaNão se aplica</t>
  </si>
  <si>
    <t>B3ConvencionalNão se aplicaNão se aplicaNão se aplica</t>
  </si>
  <si>
    <t>B3ConvencionalNão se aplicaNão se aplicaNão se aplicaNão se aplica</t>
  </si>
  <si>
    <t>B3ConvencionalNão se aplicaNão se aplicaNão se aplicaNão se aplicaE</t>
  </si>
  <si>
    <t>B3Convencional pré-pagamento</t>
  </si>
  <si>
    <t>B3Convencional pré-pagamentoNão se aplica</t>
  </si>
  <si>
    <t>B3Convencional pré-pagamentoNão se aplicaNão se aplica</t>
  </si>
  <si>
    <t>B3Convencional pré-pagamentoNão se aplicaNão se aplicaNão se aplica</t>
  </si>
  <si>
    <t>B3Convencional pré-pagamentoNão se aplicaNão se aplicaNão se aplicaNão se aplica</t>
  </si>
  <si>
    <t>B3Convencional pré-pagamentoNão se aplicaNão se aplicaNão se aplicaNão se aplicaE</t>
  </si>
  <si>
    <t>B4Convencional</t>
  </si>
  <si>
    <t>B4ConvencionalIluminação pública</t>
  </si>
  <si>
    <t>B4ConvencionalIluminação públicaIluminação pública – B4a</t>
  </si>
  <si>
    <t>B4ConvencionalIluminação públicaIluminação pública – B4aNão se aplica</t>
  </si>
  <si>
    <t>B4ConvencionalIluminação públicaIluminação pública – B4aNão se aplicaNão se aplica</t>
  </si>
  <si>
    <t>B4ConvencionalIluminação públicaIluminação pública – B4aNão se aplicaNão se aplicaE</t>
  </si>
  <si>
    <t>B4ConvencionalIluminação públicaIluminação pública – B4b</t>
  </si>
  <si>
    <t>B4ConvencionalIluminação públicaIluminação pública – B4bNão se aplica</t>
  </si>
  <si>
    <t>B4ConvencionalIluminação públicaIluminação pública – B4bNão se aplicaNão se aplica</t>
  </si>
  <si>
    <t>B4ConvencionalIluminação públicaIluminação pública – B4bNão se aplicaNão se aplicaE</t>
  </si>
  <si>
    <t>TE BASE FINANCEIRA NOVA</t>
  </si>
  <si>
    <t>TE BASE FINANCEIRA VIGENTE</t>
  </si>
  <si>
    <t>A4Energia horária</t>
  </si>
  <si>
    <t>A4Energia horáriaNão se aplica</t>
  </si>
  <si>
    <t>A4Energia horáriaNão se aplicaNão se aplica</t>
  </si>
  <si>
    <t>A4Energia horáriaNão se aplicaNão se aplicaNão se aplica</t>
  </si>
  <si>
    <t>A4Energia horáriaNão se aplicaNão se aplicaNão se aplicaNão se aplica</t>
  </si>
  <si>
    <t>A4Energia horáriaNão se aplicaNão se aplicaNão se aplicaNão se aplicaEP</t>
  </si>
  <si>
    <t>A4Energia horáriaNão se aplicaNão se aplicaNão se aplicaNão se aplicaEFP</t>
  </si>
  <si>
    <t>B1Energia horária</t>
  </si>
  <si>
    <t>B1Energia horáriaResidencial</t>
  </si>
  <si>
    <t>B1Energia horáriaResidencialResidencial</t>
  </si>
  <si>
    <t>B1Energia horáriaResidencialResidencialNão se aplica</t>
  </si>
  <si>
    <t>B1Energia horáriaResidencialResidencialNão se aplicaNão se aplica</t>
  </si>
  <si>
    <t>B1Energia horáriaResidencialResidencialNão se aplicaNão se aplicaEP</t>
  </si>
  <si>
    <t>B1Energia horáriaResidencialResidencialNão se aplicaNão se aplicaEINT</t>
  </si>
  <si>
    <t>B1Energia horáriaResidencialResidencialNão se aplicaNão se aplicaEFP</t>
  </si>
  <si>
    <t>B1Energia convencional</t>
  </si>
  <si>
    <t>B1Energia convencionalResidencial</t>
  </si>
  <si>
    <t>B1Energia convencionalResidencialResidencial</t>
  </si>
  <si>
    <t>B1Energia convencionalResidencialResidencialNão se aplica</t>
  </si>
  <si>
    <t>B1Energia convencionalResidencialResidencialNão se aplicaNão se aplica</t>
  </si>
  <si>
    <t>B1Energia convencionalResidencialResidencialNão se aplicaNão se aplicaE</t>
  </si>
  <si>
    <t>B1Energia convencionalResidencialResidencial baixa renda – faixa 01</t>
  </si>
  <si>
    <t>B1Energia convencionalResidencialResidencial baixa renda – faixa 01Não se aplica</t>
  </si>
  <si>
    <t>B1Energia convencionalResidencialResidencial baixa renda – faixa 01Não se aplicaNão se aplica</t>
  </si>
  <si>
    <t>B1Energia convencionalResidencialResidencial baixa renda – faixa 01Não se aplicaNão se aplicaE</t>
  </si>
  <si>
    <t>B1Energia convencionalResidencialResidencial baixa renda – faixa 02</t>
  </si>
  <si>
    <t>B1Energia convencionalResidencialResidencial baixa renda – faixa 02Não se aplica</t>
  </si>
  <si>
    <t>B1Energia convencionalResidencialResidencial baixa renda – faixa 02Não se aplicaNão se aplica</t>
  </si>
  <si>
    <t>B1Energia convencionalResidencialResidencial baixa renda – faixa 02Não se aplicaNão se aplicaE</t>
  </si>
  <si>
    <t>B1Energia convencionalResidencialResidencial baixa renda – faixa 03</t>
  </si>
  <si>
    <t>B1Energia convencionalResidencialResidencial baixa renda – faixa 03Não se aplica</t>
  </si>
  <si>
    <t>B1Energia convencionalResidencialResidencial baixa renda – faixa 03Não se aplicaNão se aplica</t>
  </si>
  <si>
    <t>B1Energia convencionalResidencialResidencial baixa renda – faixa 03Não se aplicaNão se aplicaE</t>
  </si>
  <si>
    <t>B1Energia convencionalResidencialResidencial baixa renda – faixa 04</t>
  </si>
  <si>
    <t>B1Energia convencionalResidencialResidencial baixa renda – faixa 04Não se aplica</t>
  </si>
  <si>
    <t>B1Energia convencionalResidencialResidencial baixa renda – faixa 04Não se aplicaNão se aplica</t>
  </si>
  <si>
    <t>B1Energia convencionalResidencialResidencial baixa renda – faixa 04Não se aplicaNão se aplicaE</t>
  </si>
  <si>
    <t>B1Energia convencional pré-pagamento</t>
  </si>
  <si>
    <t>B1Energia convencional pré-pagamentoResidencial</t>
  </si>
  <si>
    <t>B1Energia convencional pré-pagamentoResidencialResidencial</t>
  </si>
  <si>
    <t>B1Energia convencional pré-pagamentoResidencialResidencialNão se aplica</t>
  </si>
  <si>
    <t>B1Energia convencional pré-pagamentoResidencialResidencialNão se aplicaNão se aplica</t>
  </si>
  <si>
    <t>B1Energia convencional pré-pagamentoResidencialResidencialNão se aplicaNão se aplicaE</t>
  </si>
  <si>
    <t>B1Energia convencional pré-pagamentoResidencialResidencial baixa renda – faixa 01</t>
  </si>
  <si>
    <t>B1Energia convencional pré-pagamentoResidencialResidencial baixa renda – faixa 01Não se aplica</t>
  </si>
  <si>
    <t>B1Energia convencional pré-pagamentoResidencialResidencial baixa renda – faixa 01Não se aplicaNão se aplica</t>
  </si>
  <si>
    <t>B1Energia convencional pré-pagamentoResidencialResidencial baixa renda – faixa 01Não se aplicaNão se aplicaE</t>
  </si>
  <si>
    <t>B1Energia convencional pré-pagamentoResidencialResidencial baixa renda – faixa 02</t>
  </si>
  <si>
    <t>B1Energia convencional pré-pagamentoResidencialResidencial baixa renda – faixa 02Não se aplica</t>
  </si>
  <si>
    <t>B1Energia convencional pré-pagamentoResidencialResidencial baixa renda – faixa 02Não se aplicaNão se aplica</t>
  </si>
  <si>
    <t>B1Energia convencional pré-pagamentoResidencialResidencial baixa renda – faixa 02Não se aplicaNão se aplicaE</t>
  </si>
  <si>
    <t>B1Energia convencional pré-pagamentoResidencialResidencial baixa renda – faixa 03</t>
  </si>
  <si>
    <t>B1Energia convencional pré-pagamentoResidencialResidencial baixa renda – faixa 03Não se aplica</t>
  </si>
  <si>
    <t>B1Energia convencional pré-pagamentoResidencialResidencial baixa renda – faixa 03Não se aplicaNão se aplica</t>
  </si>
  <si>
    <t>B1Energia convencional pré-pagamentoResidencialResidencial baixa renda – faixa 03Não se aplicaNão se aplicaE</t>
  </si>
  <si>
    <t>B1Energia convencional pré-pagamentoResidencialResidencial baixa renda – faixa 04</t>
  </si>
  <si>
    <t>B1Energia convencional pré-pagamentoResidencialResidencial baixa renda – faixa 04Não se aplica</t>
  </si>
  <si>
    <t>B1Energia convencional pré-pagamentoResidencialResidencial baixa renda – faixa 04Não se aplicaNão se aplica</t>
  </si>
  <si>
    <t>B1Energia convencional pré-pagamentoResidencialResidencial baixa renda – faixa 04Não se aplicaNão se aplicaE</t>
  </si>
  <si>
    <t>B2Energia horária</t>
  </si>
  <si>
    <t>B2Energia horáriaRural</t>
  </si>
  <si>
    <t>B2Energia horáriaRuralNão se aplica</t>
  </si>
  <si>
    <t>B2Energia horáriaRuralNão se aplicaNão se aplica</t>
  </si>
  <si>
    <t>B2Energia horáriaRuralNão se aplicaNão se aplicaNão se aplica</t>
  </si>
  <si>
    <t>B2Energia horáriaRuralNão se aplicaNão se aplicaNão se aplicaEP</t>
  </si>
  <si>
    <t>B2Energia horáriaRuralNão se aplicaNão se aplicaNão se aplicaEINT</t>
  </si>
  <si>
    <t>B2Energia horáriaRuralNão se aplicaNão se aplicaNão se aplicaEFP</t>
  </si>
  <si>
    <t>B2Energia convencional</t>
  </si>
  <si>
    <t>B2Energia convencionalRural</t>
  </si>
  <si>
    <t>B2Energia convencionalRuralNão se aplica</t>
  </si>
  <si>
    <t>B2Energia convencionalRuralNão se aplicaNão se aplica</t>
  </si>
  <si>
    <t>B2Energia convencionalRuralNão se aplicaNão se aplicaNão se aplica</t>
  </si>
  <si>
    <t>B2Energia convencionalRuralNão se aplicaNão se aplicaNão se aplicaE</t>
  </si>
  <si>
    <t>B2Energia horáriaRuralCooperativa de eletrificação rural</t>
  </si>
  <si>
    <t>B2Energia horáriaRuralCooperativa de eletrificação ruralNão se aplica</t>
  </si>
  <si>
    <t>B2Energia horáriaRuralCooperativa de eletrificação ruralNão se aplicaNão se aplica</t>
  </si>
  <si>
    <t>B2Energia horáriaRuralCooperativa de eletrificação ruralNão se aplicaNão se aplicaEP</t>
  </si>
  <si>
    <t>B2Energia horáriaRuralCooperativa de eletrificação ruralNão se aplicaNão se aplicaEINT</t>
  </si>
  <si>
    <t>B2Energia horáriaRuralCooperativa de eletrificação ruralNão se aplicaNão se aplicaEFP</t>
  </si>
  <si>
    <t>B2Energia convencionalRuralCooperativa de eletrificação rural</t>
  </si>
  <si>
    <t>B2Energia convencionalRuralCooperativa de eletrificação ruralNão se aplica</t>
  </si>
  <si>
    <t>B2Energia convencionalRuralCooperativa de eletrificação ruralNão se aplicaNão se aplica</t>
  </si>
  <si>
    <t>B2Energia convencionalRuralCooperativa de eletrificação ruralNão se aplicaNão se aplicaE</t>
  </si>
  <si>
    <t>B2Energia horáriaRuralServiço público de irrigação rural</t>
  </si>
  <si>
    <t>B2Energia horáriaRuralServiço público de irrigação ruralNão se aplica</t>
  </si>
  <si>
    <t>B2Energia horáriaRuralServiço público de irrigação ruralNão se aplicaNão se aplica</t>
  </si>
  <si>
    <t>B2Energia horáriaRuralServiço público de irrigação ruralNão se aplicaNão se aplicaEP</t>
  </si>
  <si>
    <t>B2Energia horáriaRuralServiço público de irrigação ruralNão se aplicaNão se aplicaEINT</t>
  </si>
  <si>
    <t>B2Energia horáriaRuralServiço público de irrigação ruralNão se aplicaNão se aplicaEFP</t>
  </si>
  <si>
    <t>B2Energia convencionalRuralServiço público de irrigação rural</t>
  </si>
  <si>
    <t>B2Energia convencionalRuralServiço público de irrigação ruralNão se aplica</t>
  </si>
  <si>
    <t>B2Energia convencionalRuralServiço público de irrigação ruralNão se aplicaNão se aplica</t>
  </si>
  <si>
    <t>B2Energia convencionalRuralServiço público de irrigação ruralNão se aplicaNão se aplicaE</t>
  </si>
  <si>
    <t>B2Energia convencional pré-pagamento</t>
  </si>
  <si>
    <t>B2Energia convencional pré-pagamentoRural</t>
  </si>
  <si>
    <t>B2Energia convencional pré-pagamentoRuralNão se aplica</t>
  </si>
  <si>
    <t>B2Energia convencional pré-pagamentoRuralNão se aplicaNão se aplica</t>
  </si>
  <si>
    <t>B2Energia convencional pré-pagamentoRuralNão se aplicaNão se aplicaNão se aplica</t>
  </si>
  <si>
    <t>B2Energia convencional pré-pagamentoRuralNão se aplicaNão se aplicaNão se aplicaE</t>
  </si>
  <si>
    <t>B2Energia convencional pré-pagamentoRuralCooperativa de eletrificação rural</t>
  </si>
  <si>
    <t>B2Energia convencional pré-pagamentoRuralCooperativa de eletrificação ruralNão se aplica</t>
  </si>
  <si>
    <t>B2Energia convencional pré-pagamentoRuralCooperativa de eletrificação ruralNão se aplicaNão se aplica</t>
  </si>
  <si>
    <t>B2Energia convencional pré-pagamentoRuralCooperativa de eletrificação ruralNão se aplicaNão se aplicaE</t>
  </si>
  <si>
    <t>B2Energia convencional pré-pagamentoRuralServiço público de irrigação rural</t>
  </si>
  <si>
    <t>B2Energia convencional pré-pagamentoRuralServiço público de irrigação ruralNão se aplica</t>
  </si>
  <si>
    <t>B2Energia convencional pré-pagamentoRuralServiço público de irrigação ruralNão se aplicaNão se aplica</t>
  </si>
  <si>
    <t>B2Energia convencional pré-pagamentoRuralServiço público de irrigação ruralNão se aplicaNão se aplicaE</t>
  </si>
  <si>
    <t>B3Energia horária</t>
  </si>
  <si>
    <t>B3Energia horáriaNão se aplica</t>
  </si>
  <si>
    <t>B3Energia horáriaNão se aplicaNão se aplica</t>
  </si>
  <si>
    <t>B3Energia horáriaNão se aplicaNão se aplicaNão se aplica</t>
  </si>
  <si>
    <t>B3Energia horáriaNão se aplicaNão se aplicaNão se aplicaNão se aplica</t>
  </si>
  <si>
    <t>B3Energia horáriaNão se aplicaNão se aplicaNão se aplicaNão se aplicaEP</t>
  </si>
  <si>
    <t>B3Energia horáriaNão se aplicaNão se aplicaNão se aplicaNão se aplicaEINT</t>
  </si>
  <si>
    <t>B3Energia horáriaNão se aplicaNão se aplicaNão se aplicaNão se aplicaEFP</t>
  </si>
  <si>
    <t>B3Energia convencional</t>
  </si>
  <si>
    <t>B3Energia convencionalNão se aplica</t>
  </si>
  <si>
    <t>B3Energia convencionalNão se aplicaNão se aplica</t>
  </si>
  <si>
    <t>B3Energia convencionalNão se aplicaNão se aplicaNão se aplica</t>
  </si>
  <si>
    <t>B3Energia convencionalNão se aplicaNão se aplicaNão se aplicaNão se aplica</t>
  </si>
  <si>
    <t>B3Energia convencionalNão se aplicaNão se aplicaNão se aplicaNão se aplicaE</t>
  </si>
  <si>
    <t>B3Energia convencional pré-pagamento</t>
  </si>
  <si>
    <t>B3Energia convencional pré-pagamentoNão se aplica</t>
  </si>
  <si>
    <t>B3Energia convencional pré-pagamentoNão se aplicaNão se aplica</t>
  </si>
  <si>
    <t>B3Energia convencional pré-pagamentoNão se aplicaNão se aplicaNão se aplica</t>
  </si>
  <si>
    <t>B3Energia convencional pré-pagamentoNão se aplicaNão se aplicaNão se aplicaNão se aplica</t>
  </si>
  <si>
    <t>B3Energia convencional pré-pagamentoNão se aplicaNão se aplicaNão se aplicaNão se aplicaE</t>
  </si>
  <si>
    <t>B4Energia convencional</t>
  </si>
  <si>
    <t>B4Energia convencionalIluminação pública</t>
  </si>
  <si>
    <t>B4Energia convencionalIluminação públicaIluminação pública – B4a</t>
  </si>
  <si>
    <t>B4Energia convencionalIluminação públicaIluminação pública – B4aNão se aplica</t>
  </si>
  <si>
    <t>B4Energia convencionalIluminação públicaIluminação pública – B4aNão se aplicaNão se aplica</t>
  </si>
  <si>
    <t>B4Energia convencionalIluminação públicaIluminação pública – B4aNão se aplicaNão se aplicaE</t>
  </si>
  <si>
    <t>B4Energia convencionalIluminação públicaIluminação pública – B4b</t>
  </si>
  <si>
    <t>B4Energia convencionalIluminação públicaIluminação pública – B4bNão se aplica</t>
  </si>
  <si>
    <t>B4Energia convencionalIluminação públicaIluminação pública – B4bNão se aplicaNão se aplica</t>
  </si>
  <si>
    <t>B4Energia convencionalIluminação públicaIluminação pública – B4bNão se aplicaNão se aplicaE</t>
  </si>
  <si>
    <t>CUSTOS REGULATÓRIOS</t>
  </si>
  <si>
    <t>TOTAL RA0/RV</t>
  </si>
  <si>
    <t>TOTAL RA1/RRD</t>
  </si>
  <si>
    <t>TOTAL SUBGRUPO A0</t>
  </si>
  <si>
    <t>TOTAL SUBGRUPO A1</t>
  </si>
  <si>
    <t>TOTAL ANÁLISE A0</t>
  </si>
  <si>
    <t>TOTAL ANÁLISE A1</t>
  </si>
  <si>
    <t>CHAVE</t>
  </si>
  <si>
    <t>VAR. GLOBAL</t>
  </si>
  <si>
    <t>VAR. SELEÇÃO SUBG.</t>
  </si>
  <si>
    <t>VAR. SELEÇÃO MDT</t>
  </si>
  <si>
    <t>FRC</t>
  </si>
  <si>
    <t>OPERAÇÃO E MANUTENÇÃO - O&amp;M (R$)</t>
  </si>
  <si>
    <t>TAXA DE DEPRECIAÇÃO - D (%)</t>
  </si>
  <si>
    <t>PARCELA B REVISÃO (R$)</t>
  </si>
  <si>
    <t>CARGA TRIBUTÁRIA (%)</t>
  </si>
  <si>
    <t>WACC ANTES DOS TRIBUTOS (%)</t>
  </si>
  <si>
    <t>VALOR</t>
  </si>
  <si>
    <t>DESCRIÇÃO PARÂMETROS</t>
  </si>
  <si>
    <t>TUSD FIO B - FORA PONTA (R$/kW)</t>
  </si>
  <si>
    <t>K</t>
  </si>
  <si>
    <t>B4b</t>
  </si>
  <si>
    <t>B4a</t>
  </si>
  <si>
    <t>B2-IRRIGANTE</t>
  </si>
  <si>
    <t>B2-RURAL</t>
  </si>
  <si>
    <t>SUBGRUPO TARIFÁRIO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</si>
</sst>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%_);[Red]\(#,##0.00%\)"/>
    <numFmt numFmtId="165" formatCode="#0.00%;[Red]#0.00%"/>
    <numFmt numFmtId="166" formatCode="0.00%_);[Red]\(0.00%\)"/>
    <numFmt numFmtId="167" formatCode="#,##0.00;[Red]#,##0.00"/>
  </numFmts>
  <fonts count="1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8"/>
      <color indexed="10"/>
      <name val="Arial"/>
      <family val="2"/>
    </font>
    <font>
      <sz val="8"/>
      <color theme="3" tint="-0.249977111117893"/>
      <name val="Arial"/>
      <family val="2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-0.499984740745262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0" fontId="3" fillId="0" borderId="0" xfId="0" applyFont="1"/>
    <xf numFmtId="40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40" fontId="3" fillId="0" borderId="8" xfId="0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40" fontId="3" fillId="0" borderId="8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 indent="1"/>
    </xf>
    <xf numFmtId="40" fontId="3" fillId="0" borderId="8" xfId="0" quotePrefix="1" applyNumberFormat="1" applyFont="1" applyBorder="1" applyAlignment="1">
      <alignment horizontal="left" vertical="center" indent="1"/>
    </xf>
    <xf numFmtId="0" fontId="3" fillId="0" borderId="8" xfId="0" applyFont="1" applyBorder="1"/>
    <xf numFmtId="40" fontId="3" fillId="0" borderId="8" xfId="0" applyNumberFormat="1" applyFont="1" applyBorder="1"/>
    <xf numFmtId="0" fontId="4" fillId="0" borderId="8" xfId="0" applyFont="1" applyBorder="1" applyAlignment="1">
      <alignment horizontal="center" vertical="center"/>
    </xf>
    <xf numFmtId="40" fontId="3" fillId="0" borderId="10" xfId="0" applyNumberFormat="1" applyFont="1" applyBorder="1" applyAlignment="1">
      <alignment horizontal="left" vertical="center"/>
    </xf>
    <xf numFmtId="40" fontId="3" fillId="0" borderId="10" xfId="0" applyNumberFormat="1" applyFont="1" applyBorder="1" applyAlignment="1">
      <alignment vertical="center"/>
    </xf>
    <xf numFmtId="40" fontId="4" fillId="0" borderId="10" xfId="0" applyNumberFormat="1" applyFont="1" applyBorder="1" applyAlignment="1">
      <alignment horizontal="center" vertical="center"/>
    </xf>
    <xf numFmtId="40" fontId="3" fillId="0" borderId="11" xfId="0" applyNumberFormat="1" applyFont="1" applyBorder="1" applyAlignment="1">
      <alignment vertical="center"/>
    </xf>
    <xf numFmtId="40" fontId="4" fillId="0" borderId="11" xfId="0" applyNumberFormat="1" applyFont="1" applyBorder="1" applyAlignment="1">
      <alignment horizontal="center" vertical="center"/>
    </xf>
    <xf numFmtId="40" fontId="3" fillId="0" borderId="15" xfId="0" applyNumberFormat="1" applyFont="1" applyBorder="1" applyAlignment="1">
      <alignment horizontal="left" vertical="center"/>
    </xf>
    <xf numFmtId="40" fontId="3" fillId="0" borderId="15" xfId="0" applyNumberFormat="1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40" fontId="3" fillId="0" borderId="15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40" fontId="4" fillId="0" borderId="15" xfId="0" applyNumberFormat="1" applyFont="1" applyBorder="1" applyAlignment="1">
      <alignment horizontal="center" vertical="center"/>
    </xf>
    <xf numFmtId="40" fontId="3" fillId="0" borderId="15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2" xfId="0" applyBorder="1"/>
    <xf numFmtId="0" fontId="0" fillId="0" borderId="15" xfId="0" applyBorder="1"/>
    <xf numFmtId="0" fontId="2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0" fontId="1" fillId="0" borderId="15" xfId="0" applyNumberFormat="1" applyFont="1" applyBorder="1" applyAlignment="1">
      <alignment horizontal="center" vertical="center"/>
    </xf>
    <xf numFmtId="165" fontId="1" fillId="0" borderId="15" xfId="0" applyNumberFormat="1" applyFont="1" applyBorder="1" applyAlignment="1">
      <alignment horizontal="center" vertical="center"/>
    </xf>
    <xf numFmtId="0" fontId="3" fillId="0" borderId="0" xfId="0" pivotButton="1" applyFont="1"/>
    <xf numFmtId="40" fontId="3" fillId="0" borderId="0" xfId="0" applyNumberFormat="1" applyFont="1"/>
    <xf numFmtId="166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indent="7"/>
    </xf>
    <xf numFmtId="14" fontId="3" fillId="0" borderId="0" xfId="0" applyNumberFormat="1" applyFont="1" applyAlignment="1">
      <alignment horizontal="left" indent="8"/>
    </xf>
    <xf numFmtId="0" fontId="3" fillId="0" borderId="15" xfId="0" applyFont="1" applyBorder="1"/>
    <xf numFmtId="0" fontId="4" fillId="0" borderId="15" xfId="0" applyFont="1" applyBorder="1"/>
    <xf numFmtId="40" fontId="1" fillId="2" borderId="0" xfId="0" applyNumberFormat="1" applyFont="1" applyFill="1" applyAlignment="1">
      <alignment horizontal="center" vertical="center"/>
    </xf>
    <xf numFmtId="40" fontId="7" fillId="2" borderId="0" xfId="0" applyNumberFormat="1" applyFont="1" applyFill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14" fontId="1" fillId="0" borderId="15" xfId="0" applyNumberFormat="1" applyFont="1" applyBorder="1" applyAlignment="1">
      <alignment horizontal="center" vertical="center"/>
    </xf>
    <xf numFmtId="40" fontId="3" fillId="0" borderId="15" xfId="0" applyNumberFormat="1" applyFont="1" applyBorder="1"/>
    <xf numFmtId="40" fontId="2" fillId="0" borderId="15" xfId="0" applyNumberFormat="1" applyFont="1" applyBorder="1" applyAlignment="1">
      <alignment horizontal="center" vertical="center"/>
    </xf>
    <xf numFmtId="164" fontId="3" fillId="0" borderId="0" xfId="0" applyNumberFormat="1" applyFont="1"/>
    <xf numFmtId="10" fontId="3" fillId="0" borderId="0" xfId="0" applyNumberFormat="1" applyFont="1"/>
    <xf numFmtId="2" fontId="8" fillId="3" borderId="16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left" vertical="center" indent="1"/>
    </xf>
    <xf numFmtId="4" fontId="8" fillId="4" borderId="0" xfId="0" applyNumberFormat="1" applyFont="1" applyFill="1" applyAlignment="1">
      <alignment vertical="center"/>
    </xf>
    <xf numFmtId="0" fontId="8" fillId="4" borderId="0" xfId="0" applyFont="1" applyFill="1" applyAlignment="1">
      <alignment horizontal="left" vertical="center" indent="1"/>
    </xf>
    <xf numFmtId="10" fontId="8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horizontal="left" vertical="center" indent="1"/>
    </xf>
    <xf numFmtId="10" fontId="8" fillId="4" borderId="0" xfId="0" applyNumberFormat="1" applyFont="1" applyFill="1" applyAlignment="1">
      <alignment vertical="center"/>
    </xf>
    <xf numFmtId="0" fontId="9" fillId="5" borderId="17" xfId="0" applyFont="1" applyFill="1" applyBorder="1" applyAlignment="1">
      <alignment horizontal="center" vertical="center"/>
    </xf>
    <xf numFmtId="40" fontId="8" fillId="3" borderId="16" xfId="0" applyNumberFormat="1" applyFont="1" applyFill="1" applyBorder="1" applyAlignment="1">
      <alignment horizontal="center" vertical="center"/>
    </xf>
    <xf numFmtId="167" fontId="8" fillId="4" borderId="0" xfId="0" applyNumberFormat="1" applyFont="1" applyFill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0" fillId="0" borderId="1" xfId="0" applyNumberForma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15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7" xfId="0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40" fontId="3" fillId="0" borderId="10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40" fontId="4" fillId="0" borderId="12" xfId="0" applyNumberFormat="1" applyFont="1" applyBorder="1" applyAlignment="1">
      <alignment horizontal="center" vertical="center"/>
    </xf>
    <xf numFmtId="40" fontId="6" fillId="0" borderId="13" xfId="0" applyNumberFormat="1" applyFont="1" applyBorder="1" applyAlignment="1">
      <alignment horizontal="center" vertical="center"/>
    </xf>
    <xf numFmtId="40" fontId="6" fillId="0" borderId="14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40" fontId="3" fillId="0" borderId="15" xfId="0" applyNumberFormat="1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797"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8" formatCode="#,##0.00_);[Red]\(#,##0.00\)"/>
    </dxf>
    <dxf>
      <numFmt numFmtId="168" formatCode="#,##0.00_);[Red]\(#,##0.00\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6" formatCode="0.00%_);[Red]\(0.00%\)"/>
    </dxf>
    <dxf>
      <numFmt numFmtId="166" formatCode="0.00%_);[Red]\(0.00%\)"/>
    </dxf>
    <dxf>
      <numFmt numFmtId="168" formatCode="#,##0.00_);[Red]\(#,##0.00\)"/>
    </dxf>
    <dxf>
      <numFmt numFmtId="168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TUSD'!$A$13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TUSD'!$B$13:$W$13</c:f>
              <c:numCache>
                <c:formatCode>General</c:formatCode>
                <c:ptCount val="22"/>
                <c:pt idx="0">
                  <c:v>0</c:v>
                </c:pt>
                <c:pt idx="1">
                  <c:v>6.8500590712172044E-4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0.10373591474325486</c:v>
                </c:pt>
                <c:pt idx="6">
                  <c:v>1.8009367177567581E-2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-5.2715323319028539E-3</c:v>
                </c:pt>
                <c:pt idx="13">
                  <c:v>0</c:v>
                </c:pt>
                <c:pt idx="14">
                  <c:v>0</c:v>
                </c:pt>
                <c:pt idx="15">
                  <c:v>2.057378699946007E-2</c:v>
                </c:pt>
                <c:pt idx="16">
                  <c:v>0</c:v>
                </c:pt>
                <c:pt idx="17">
                  <c:v>0</c:v>
                </c:pt>
                <c:pt idx="18">
                  <c:v>4.2934224564620945E-3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1F-4FB7-8364-1C9AA0485BB1}"/>
            </c:ext>
          </c:extLst>
        </c:ser>
        <c:ser>
          <c:idx val="1"/>
          <c:order val="1"/>
          <c:tx>
            <c:strRef>
              <c:f>'RESUMO TUSD'!$A$14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TUSD'!$B$14:$W$14</c:f>
              <c:numCache>
                <c:formatCode>General</c:formatCode>
                <c:ptCount val="22"/>
                <c:pt idx="0">
                  <c:v>0</c:v>
                </c:pt>
                <c:pt idx="1">
                  <c:v>8.5268769784227884E-4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0.10675613809314473</c:v>
                </c:pt>
                <c:pt idx="6">
                  <c:v>2.1776858812933973E-2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-1.6150539663197561E-2</c:v>
                </c:pt>
                <c:pt idx="13">
                  <c:v>0</c:v>
                </c:pt>
                <c:pt idx="14">
                  <c:v>0</c:v>
                </c:pt>
                <c:pt idx="15">
                  <c:v>4.1386914734054397E-3</c:v>
                </c:pt>
                <c:pt idx="16">
                  <c:v>0</c:v>
                </c:pt>
                <c:pt idx="17">
                  <c:v>0</c:v>
                </c:pt>
                <c:pt idx="18">
                  <c:v>1.7455350394889424E-3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1F-4FB7-8364-1C9AA0485BB1}"/>
            </c:ext>
          </c:extLst>
        </c:ser>
        <c:ser>
          <c:idx val="2"/>
          <c:order val="2"/>
          <c:tx>
            <c:strRef>
              <c:f>'RESUMO TUSD'!$A$15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TUSD'!$B$15:$W$15</c:f>
              <c:numCache>
                <c:formatCode>General</c:formatCode>
                <c:ptCount val="22"/>
                <c:pt idx="0">
                  <c:v>0</c:v>
                </c:pt>
                <c:pt idx="1">
                  <c:v>8.5268769784227884E-4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0.10675613809314473</c:v>
                </c:pt>
                <c:pt idx="6">
                  <c:v>2.1776858812933973E-2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-1.6150539663197561E-2</c:v>
                </c:pt>
                <c:pt idx="13">
                  <c:v>0</c:v>
                </c:pt>
                <c:pt idx="14">
                  <c:v>0</c:v>
                </c:pt>
                <c:pt idx="15">
                  <c:v>4.1386914734054397E-3</c:v>
                </c:pt>
                <c:pt idx="16">
                  <c:v>0</c:v>
                </c:pt>
                <c:pt idx="17">
                  <c:v>0</c:v>
                </c:pt>
                <c:pt idx="18">
                  <c:v>1.7455350394889424E-3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1F-4FB7-8364-1C9AA0485BB1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B91F-4FB7-8364-1C9AA0485BB1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B91F-4FB7-8364-1C9AA0485BB1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B91F-4FB7-8364-1C9AA0485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3884592"/>
        <c:axId val="1413883344"/>
      </c:radarChart>
      <c:catAx>
        <c:axId val="141388459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413883344"/>
        <c:crosses val="autoZero"/>
        <c:auto val="1"/>
        <c:lblAlgn val="ctr"/>
        <c:lblOffset val="100"/>
        <c:noMultiLvlLbl val="0"/>
      </c:catAx>
      <c:valAx>
        <c:axId val="1413883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3884592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TE'!$A$13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TE'!$B$13:$L$13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-1.2237998687588634E-2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4A-4195-AB92-B28D28EAEAA8}"/>
            </c:ext>
          </c:extLst>
        </c:ser>
        <c:ser>
          <c:idx val="1"/>
          <c:order val="1"/>
          <c:tx>
            <c:strRef>
              <c:f>'RESUMO TE'!$A$14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TE'!$B$14:$L$14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-3.9008705492137669E-2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4A-4195-AB92-B28D28EAEAA8}"/>
            </c:ext>
          </c:extLst>
        </c:ser>
        <c:ser>
          <c:idx val="2"/>
          <c:order val="2"/>
          <c:tx>
            <c:strRef>
              <c:f>'RESUMO TE'!$A$15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TE'!$B$15:$L$15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-3.9008705492137669E-2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4A-4195-AB92-B28D28EAEAA8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374A-4195-AB92-B28D28EAEAA8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374A-4195-AB92-B28D28EAEAA8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374A-4195-AB92-B28D28EAE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6274816"/>
        <c:axId val="1356273152"/>
      </c:radarChart>
      <c:catAx>
        <c:axId val="135627481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356273152"/>
        <c:crosses val="autoZero"/>
        <c:auto val="1"/>
        <c:lblAlgn val="ctr"/>
        <c:lblOffset val="100"/>
        <c:noMultiLvlLbl val="0"/>
      </c:catAx>
      <c:valAx>
        <c:axId val="1356273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6274816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76201</xdr:colOff>
      <xdr:row>16</xdr:row>
      <xdr:rowOff>0</xdr:rowOff>
    </xdr:from>
    <xdr:to>
      <xdr:col>14</xdr:col>
      <xdr:colOff>28576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E4198DE-086F-288D-DD9B-2884BE9986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200026</xdr:colOff>
      <xdr:row>16</xdr:row>
      <xdr:rowOff>0</xdr:rowOff>
    </xdr:from>
    <xdr:to>
      <xdr:col>13</xdr:col>
      <xdr:colOff>542926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BDC58B7-8AD8-5037-6212-63BA8629C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18.452513310185" createdVersion="5" refreshedVersion="8" minRefreshableVersion="3" recordCount="552" xr:uid="{C4E067E0-877D-417C-AE1F-DFCAF69B8240}">
  <cacheSource type="worksheet">
    <worksheetSource name="Efeito"/>
  </cacheSource>
  <cacheFields count="36">
    <cacheField name="TipoMercado" numFmtId="0">
      <sharedItems/>
    </cacheField>
    <cacheField name="Subgrupo" numFmtId="0">
      <sharedItems count="5">
        <s v="A4"/>
        <s v="B1"/>
        <s v="B2"/>
        <s v="B3"/>
        <s v="B4"/>
      </sharedItems>
    </cacheField>
    <cacheField name="Modalidade" numFmtId="0">
      <sharedItems count="4">
        <s v="Azul"/>
        <s v="Geração"/>
        <s v="Verde"/>
        <s v="Convencional"/>
      </sharedItems>
    </cacheField>
    <cacheField name="Classe" numFmtId="0">
      <sharedItems count="8">
        <s v="Serviço público"/>
        <s v="Não se aplica"/>
        <s v="Comercial"/>
        <s v="Industrial"/>
        <s v="Rural"/>
        <s v="Residencial"/>
        <s v="Poder público"/>
        <s v="Iluminação pública"/>
      </sharedItems>
    </cacheField>
    <cacheField name="Subclasse" numFmtId="0">
      <sharedItems count="10">
        <s v="Água, esgoto e saneamento"/>
        <s v="Não se aplica"/>
        <s v="Residencial"/>
        <s v="Residencial baixa renda – faixa 01"/>
        <s v="Residencial baixa renda – faixa 02"/>
        <s v="Residencial baixa renda – faixa 03"/>
        <s v="Residencial baixa renda – faixa 04"/>
        <s v="Agropecuária rural"/>
        <s v="Aquicultura"/>
        <s v="Iluminação pública – B4a"/>
      </sharedItems>
    </cacheField>
    <cacheField name="Detalhe" numFmtId="0">
      <sharedItems count="3">
        <s v="Não se aplica"/>
        <s v="IRRIG./AQUIC."/>
        <s v="IRRIG./AQUIC. PR"/>
      </sharedItems>
    </cacheField>
    <cacheField name="Agente" numFmtId="0">
      <sharedItems count="2">
        <s v="Não se aplica"/>
        <s v="BURRO BRANCO I"/>
      </sharedItems>
    </cacheField>
    <cacheField name="Posto" numFmtId="0">
      <sharedItems count="3">
        <s v="Fora ponta"/>
        <s v="Ponta"/>
        <s v="Não se aplica"/>
      </sharedItems>
    </cacheField>
    <cacheField name="AnoMes" numFmtId="14">
      <sharedItems containsSemiMixedTypes="0" containsNonDate="0" containsDate="1" containsString="0" minDate="2021-09-01T00:00:00" maxDate="2022-08-02T00:00:00" count="12"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</sharedItems>
    </cacheField>
    <cacheField name="D" numFmtId="40">
      <sharedItems containsSemiMixedTypes="0" containsString="0" containsNumber="1" containsInteger="1" minValue="0" maxValue="10896"/>
    </cacheField>
    <cacheField name="Daj" numFmtId="40">
      <sharedItems containsSemiMixedTypes="0" containsString="0" containsNumber="1" minValue="0" maxValue="10896"/>
    </cacheField>
    <cacheField name="TUSD_E" numFmtId="40">
      <sharedItems containsSemiMixedTypes="0" containsString="0" containsNumber="1" minValue="-29.439" maxValue="3726.4209999999998"/>
    </cacheField>
    <cacheField name="TUSD_Eaj" numFmtId="40">
      <sharedItems containsSemiMixedTypes="0" containsString="0" containsNumber="1" minValue="-29.439" maxValue="3726.4209999999998"/>
    </cacheField>
    <cacheField name="TE_E" numFmtId="40">
      <sharedItems containsSemiMixedTypes="0" containsString="0" containsNumber="1" minValue="-29.439" maxValue="3726.4209999999998"/>
    </cacheField>
    <cacheField name="TE_Eaj" numFmtId="40">
      <sharedItems containsSemiMixedTypes="0" containsString="0" containsNumber="1" minValue="-29.439" maxValue="3726.4209999999998"/>
    </cacheField>
    <cacheField name="UC" numFmtId="40">
      <sharedItems containsSemiMixedTypes="0" containsString="0" containsNumber="1" containsInteger="1" minValue="0" maxValue="6547"/>
    </cacheField>
    <cacheField name="OPÇÃO" numFmtId="0">
      <sharedItems count="2">
        <s v="CATIVO"/>
        <s v="GERAÇÃO"/>
      </sharedItems>
    </cacheField>
    <cacheField name="CóD. AUX." numFmtId="0">
      <sharedItems containsSemiMixedTypes="0" containsString="0" containsNumber="1" containsInteger="1" minValue="0" maxValue="35415"/>
    </cacheField>
    <cacheField name="CóD. AUX. TUSD R$/kW" numFmtId="40">
      <sharedItems containsSemiMixedTypes="0" containsString="0" containsNumber="1" containsInteger="1" minValue="0" maxValue="16"/>
    </cacheField>
    <cacheField name="CóD. AUX. TUSD R$/MWh" numFmtId="40">
      <sharedItems containsSemiMixedTypes="0" containsString="0" containsNumber="1" containsInteger="1" minValue="0" maxValue="72"/>
    </cacheField>
    <cacheField name="CóD. AUX. TE R$/MWh" numFmtId="40">
      <sharedItems containsSemiMixedTypes="0" containsString="0" containsNumber="1" containsInteger="1" minValue="0" maxValue="83"/>
    </cacheField>
    <cacheField name="TUSD (R$/kW)" numFmtId="40">
      <sharedItems containsSemiMixedTypes="0" containsString="0" containsNumber="1" minValue="0" maxValue="77.17"/>
    </cacheField>
    <cacheField name="TUSD (R$/MWh)" numFmtId="40">
      <sharedItems containsSemiMixedTypes="0" containsString="0" containsNumber="1" minValue="0" maxValue="1922.56"/>
    </cacheField>
    <cacheField name="TE (R$/MWh)" numFmtId="40">
      <sharedItems containsSemiMixedTypes="0" containsString="0" containsNumber="1" minValue="0" maxValue="141.32"/>
    </cacheField>
    <cacheField name="TUSD (R$/kW) NOVA" numFmtId="40">
      <sharedItems containsString="0" containsBlank="1" containsNumber="1" minValue="3.410508540351314" maxValue="76.156132598985039"/>
    </cacheField>
    <cacheField name="TUSD (R$/MWh) NOVA" numFmtId="40">
      <sharedItems containsString="0" containsBlank="1" containsNumber="1" minValue="99.847749713611876" maxValue="1931.7033804673958"/>
    </cacheField>
    <cacheField name="TE (R$/MWh) NOVA" numFmtId="40">
      <sharedItems containsString="0" containsBlank="1" containsNumber="1" minValue="47.532191528466498" maxValue="135.80626150990429"/>
    </cacheField>
    <cacheField name="RA0 ou RV - TUSD (kW)" numFmtId="40">
      <sharedItems containsSemiMixedTypes="0" containsString="0" containsNumber="1" minValue="0" maxValue="279591.36"/>
    </cacheField>
    <cacheField name="RA0 ou RV - TUSD (MWh)" numFmtId="40">
      <sharedItems containsSemiMixedTypes="0" containsString="0" containsNumber="1" minValue="-11098.79739" maxValue="1236314.69517"/>
    </cacheField>
    <cacheField name="RA0 ou RV - TE (MWh)" numFmtId="40">
      <sharedItems containsSemiMixedTypes="0" containsString="0" containsNumber="1" minValue="-4160.3194800000001" maxValue="463417.71555999998"/>
    </cacheField>
    <cacheField name="RA1 ou RRD - TUSD (kW)" numFmtId="40">
      <sharedItems containsSemiMixedTypes="0" containsString="0" containsNumber="1" minValue="0" maxValue="274465.973842968"/>
    </cacheField>
    <cacheField name="RA1 ou RRD - TUSD (MWh)" numFmtId="40">
      <sharedItems containsSemiMixedTypes="0" containsString="0" containsNumber="1" minValue="-12237.041680293922" maxValue="1456039.5037060769"/>
    </cacheField>
    <cacheField name="RA1 ou RRD - TE (MWh)" numFmtId="40">
      <sharedItems containsSemiMixedTypes="0" containsString="0" containsNumber="1" minValue="-3998.0005325900725" maxValue="475707.02653267904"/>
    </cacheField>
    <cacheField name="Variação TUSD" numFmtId="0" formula="IF(('RA0 ou RV - TUSD (MWh)'+'RA0 ou RV - TUSD (kW)') &lt;&gt;0,('RA1 ou RRD - TUSD (MWh)'+'RA1 ou RRD - TUSD (kW)') /('RA0 ou RV - TUSD (MWh)'+'RA0 ou RV - TUSD (kW)') -1,0)" databaseField="0"/>
    <cacheField name="Variação TE" numFmtId="0" formula="IF('RA0 ou RV - TE (MWh)'&lt;&gt;0,'RA1 ou RRD - TE (MWh)'/'RA0 ou RV - TE (MWh)'-1,0)" databaseField="0"/>
    <cacheField name="Variação" numFmtId="0" formula="IF(('RA0 ou RV - TUSD (MWh)'+'RA0 ou RV - TUSD (kW)'+'RA0 ou RV - TE (MWh)') &lt;&gt;0,('RA1 ou RRD - TUSD (MWh)'+'RA1 ou RRD - TUSD (kW)'+'RA1 ou RRD - TE (MWh)') /('RA0 ou RV - TUSD (MWh)'+'RA0 ou RV - TUSD (kW)'+'RA0 ou RV - TE (MWh)') -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18.452596527779" createdVersion="5" refreshedVersion="8" minRefreshableVersion="3" recordCount="336" xr:uid="{C6779E99-1CC1-45B9-89B8-4B17942AD435}">
  <cacheSource type="worksheet">
    <worksheetSource name="Subsidio"/>
  </cacheSource>
  <cacheFields count="34">
    <cacheField name="TipoMercado" numFmtId="0">
      <sharedItems/>
    </cacheField>
    <cacheField name="Subgrupo" numFmtId="0">
      <sharedItems count="4">
        <s v="A4"/>
        <s v="B1"/>
        <s v="B2"/>
        <s v="B3"/>
      </sharedItems>
    </cacheField>
    <cacheField name="Modalidade" numFmtId="0">
      <sharedItems count="4">
        <s v="Azul"/>
        <s v="Geração"/>
        <s v="Verde"/>
        <s v="Convencional"/>
      </sharedItems>
    </cacheField>
    <cacheField name="Classe" numFmtId="0">
      <sharedItems count="4">
        <s v="Serviço público"/>
        <s v="Não se aplica"/>
        <s v="Rural"/>
        <s v="Residencial"/>
      </sharedItems>
    </cacheField>
    <cacheField name="Subclasse" numFmtId="0">
      <sharedItems count="9">
        <s v="Água, esgoto e saneamento"/>
        <s v="Não se aplica"/>
        <s v="Residencial"/>
        <s v="Residencial baixa renda – faixa 01"/>
        <s v="Residencial baixa renda – faixa 02"/>
        <s v="Residencial baixa renda – faixa 03"/>
        <s v="Residencial baixa renda – faixa 04"/>
        <s v="Agropecuária rural"/>
        <s v="Aquicultura"/>
      </sharedItems>
    </cacheField>
    <cacheField name="Detalhe" numFmtId="0">
      <sharedItems count="3">
        <s v="Não se aplica"/>
        <s v="IRRIG./AQUIC."/>
        <s v="IRRIG./AQUIC. PR"/>
      </sharedItems>
    </cacheField>
    <cacheField name="Agente" numFmtId="0">
      <sharedItems count="2">
        <s v="Não se aplica"/>
        <s v="BURRO BRANCO I"/>
      </sharedItems>
    </cacheField>
    <cacheField name="Posto" numFmtId="0">
      <sharedItems count="3">
        <s v="Fora ponta"/>
        <s v="Ponta"/>
        <s v="Não se aplica"/>
      </sharedItems>
    </cacheField>
    <cacheField name="AnoMes" numFmtId="14">
      <sharedItems containsSemiMixedTypes="0" containsNonDate="0" containsDate="1" containsString="0" minDate="2021-09-01T00:00:00" maxDate="2022-08-02T00:00:00" count="12"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</sharedItems>
    </cacheField>
    <cacheField name="D" numFmtId="40">
      <sharedItems containsSemiMixedTypes="0" containsString="0" containsNumber="1" containsInteger="1" minValue="0" maxValue="909"/>
    </cacheField>
    <cacheField name="Daj" numFmtId="40">
      <sharedItems containsSemiMixedTypes="0" containsString="0" containsNumber="1" minValue="0" maxValue="909"/>
    </cacheField>
    <cacheField name="TUSD_E" numFmtId="40">
      <sharedItems containsSemiMixedTypes="0" containsString="0" containsNumber="1" minValue="-9.7929999999999993" maxValue="3726.4209999999998"/>
    </cacheField>
    <cacheField name="TUSD_Eaj" numFmtId="40">
      <sharedItems containsSemiMixedTypes="0" containsString="0" containsNumber="1" minValue="-9.7929999999999993" maxValue="3726.4209999999998"/>
    </cacheField>
    <cacheField name="TE_E" numFmtId="40">
      <sharedItems containsSemiMixedTypes="0" containsString="0" containsNumber="1" minValue="-9.7929999999999993" maxValue="3726.4209999999998"/>
    </cacheField>
    <cacheField name="TE_Eaj" numFmtId="40">
      <sharedItems containsSemiMixedTypes="0" containsString="0" containsNumber="1" minValue="-9.7929999999999993" maxValue="3726.4209999999998"/>
    </cacheField>
    <cacheField name="UC" numFmtId="40">
      <sharedItems containsSemiMixedTypes="0" containsString="0" containsNumber="1" containsInteger="1" minValue="0" maxValue="6547"/>
    </cacheField>
    <cacheField name="OPÇÃO" numFmtId="0">
      <sharedItems/>
    </cacheField>
    <cacheField name="CóD. AUX." numFmtId="0">
      <sharedItems containsSemiMixedTypes="0" containsString="0" containsNumber="1" containsInteger="1" minValue="0" maxValue="35415"/>
    </cacheField>
    <cacheField name="CóD. AUX. TUSD R$/kW" numFmtId="0">
      <sharedItems containsSemiMixedTypes="0" containsString="0" containsNumber="1" containsInteger="1" minValue="0" maxValue="16"/>
    </cacheField>
    <cacheField name="CóD. AUX. TUSD R$/MWh" numFmtId="0">
      <sharedItems containsSemiMixedTypes="0" containsString="0" containsNumber="1" containsInteger="1" minValue="0" maxValue="72"/>
    </cacheField>
    <cacheField name="CóD. AUX. TE R$/MWh" numFmtId="0">
      <sharedItems containsSemiMixedTypes="0" containsString="0" containsNumber="1" containsInteger="1" minValue="0" maxValue="83"/>
    </cacheField>
    <cacheField name="TUSD (R$/kW)" numFmtId="40">
      <sharedItems containsSemiMixedTypes="0" containsString="0" containsNumber="1" minValue="0" maxValue="77.17"/>
    </cacheField>
    <cacheField name="TUSD (R$/MWh)" numFmtId="40">
      <sharedItems containsSemiMixedTypes="0" containsString="0" containsNumber="1" minValue="0" maxValue="1922.56"/>
    </cacheField>
    <cacheField name="TE (R$/MWh)" numFmtId="40">
      <sharedItems containsSemiMixedTypes="0" containsString="0" containsNumber="1" minValue="0" maxValue="141.32"/>
    </cacheField>
    <cacheField name="TUSD (R$/kW) NOVA" numFmtId="40">
      <sharedItems containsString="0" containsBlank="1" containsNumber="1" minValue="3.410508540351314" maxValue="76.156132598985039"/>
    </cacheField>
    <cacheField name="TUSD (R$/MWh) NOVA" numFmtId="40">
      <sharedItems containsString="0" containsBlank="1" containsNumber="1" minValue="99.847749713611876" maxValue="1931.7033804673958"/>
    </cacheField>
    <cacheField name="TE (R$/MWh) NOVA" numFmtId="40">
      <sharedItems containsString="0" containsBlank="1" containsNumber="1" minValue="47.532191528466498" maxValue="135.80626150990429"/>
    </cacheField>
    <cacheField name="SUBSIDIO kW - TV" numFmtId="40">
      <sharedItems containsSemiMixedTypes="0" containsString="0" containsNumber="1" minValue="0" maxValue="5903.5050000000001"/>
    </cacheField>
    <cacheField name="SUBSIDIO MWh - TV" numFmtId="40">
      <sharedItems containsSemiMixedTypes="0" containsString="0" containsNumber="1" minValue="-609.12459999999942" maxValue="231783.38619999978"/>
    </cacheField>
    <cacheField name="SUBSIDIO kW - TN" numFmtId="40">
      <sharedItems containsSemiMixedTypes="0" containsString="0" containsNumber="1" minValue="0" maxValue="5825.9441438223557"/>
    </cacheField>
    <cacheField name="SUBSIDIO MWh - TN" numFmtId="40">
      <sharedItems containsSemiMixedTypes="0" containsString="0" containsNumber="1" minValue="-324.03906734082017" maxValue="123302.97001524012"/>
    </cacheField>
    <cacheField name="TIPO" numFmtId="0">
      <sharedItems containsBlank="1" count="6">
        <s v="SUBSIDIO ÁGUA, ESGOTO E SANEAMENTO"/>
        <s v="SUBSIDIO GERAÇÃO FONTE INCENTIVADA"/>
        <s v="SUBSIDIO RURAL"/>
        <m/>
        <s v="SUBSIDIO BAIXA RENDA"/>
        <s v="SUBSIDIO IRRIGANTE/AQUICULTOR"/>
      </sharedItems>
    </cacheField>
    <cacheField name="TOTAL TV" numFmtId="0" formula="'SUBSIDIO kW - TV'+'SUBSIDIO MWh - TV'" databaseField="0"/>
    <cacheField name="TOTAL TN" numFmtId="0" formula="'SUBSIDIO kW - TN'+'SUBSIDIO MWh - T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s v="Regular"/>
    <x v="0"/>
    <x v="0"/>
    <x v="0"/>
    <x v="0"/>
    <x v="0"/>
    <x v="0"/>
    <x v="0"/>
    <x v="0"/>
    <n v="497"/>
    <n v="422.45"/>
    <n v="245.80799999999999"/>
    <n v="231.05951999999999"/>
    <n v="245.80799999999999"/>
    <n v="231.05951999999999"/>
    <n v="0"/>
    <x v="0"/>
    <n v="0"/>
    <n v="12"/>
    <n v="1"/>
    <n v="51"/>
    <n v="25.66"/>
    <n v="66.22"/>
    <n v="141.32"/>
    <n v="25.189608465764316"/>
    <n v="99.847749713611876"/>
    <n v="135.80626150990429"/>
    <n v="10840.066999999999"/>
    <n v="15300.7614144"/>
    <n v="32653.331366399998"/>
    <n v="10641.350096362135"/>
    <n v="23070.773121907296"/>
    <n v="31379.329597472959"/>
  </r>
  <r>
    <s v="Regular"/>
    <x v="0"/>
    <x v="0"/>
    <x v="0"/>
    <x v="0"/>
    <x v="0"/>
    <x v="0"/>
    <x v="0"/>
    <x v="1"/>
    <n v="503"/>
    <n v="427.55"/>
    <n v="232.422"/>
    <n v="218.47667999999999"/>
    <n v="232.422"/>
    <n v="218.47667999999999"/>
    <n v="0"/>
    <x v="0"/>
    <n v="0"/>
    <n v="12"/>
    <n v="1"/>
    <n v="51"/>
    <n v="25.66"/>
    <n v="66.22"/>
    <n v="141.32"/>
    <n v="25.189608465764316"/>
    <n v="99.847749713611876"/>
    <n v="135.80626150990429"/>
    <n v="10970.933000000001"/>
    <n v="14467.525749599999"/>
    <n v="30875.124417599996"/>
    <n v="10769.817099537533"/>
    <n v="21814.404862900872"/>
    <n v="29670.501137895673"/>
  </r>
  <r>
    <s v="Regular"/>
    <x v="0"/>
    <x v="0"/>
    <x v="0"/>
    <x v="0"/>
    <x v="0"/>
    <x v="0"/>
    <x v="0"/>
    <x v="2"/>
    <n v="485"/>
    <n v="412.25"/>
    <n v="199.46799999999999"/>
    <n v="187.49992"/>
    <n v="199.46799999999999"/>
    <n v="187.49992"/>
    <n v="0"/>
    <x v="0"/>
    <n v="0"/>
    <n v="12"/>
    <n v="1"/>
    <n v="51"/>
    <n v="25.66"/>
    <n v="66.22"/>
    <n v="141.32"/>
    <n v="25.189608465764316"/>
    <n v="99.847749713611876"/>
    <n v="135.80626150990429"/>
    <n v="10578.335000000001"/>
    <n v="12416.244702399999"/>
    <n v="26497.488694399999"/>
    <n v="10384.416090011338"/>
    <n v="18721.445083482249"/>
    <n v="25463.663168606134"/>
  </r>
  <r>
    <s v="Regular"/>
    <x v="0"/>
    <x v="0"/>
    <x v="0"/>
    <x v="0"/>
    <x v="0"/>
    <x v="0"/>
    <x v="0"/>
    <x v="3"/>
    <n v="473"/>
    <n v="402.05"/>
    <n v="209.739"/>
    <n v="197.15466000000001"/>
    <n v="209.739"/>
    <n v="197.15466000000001"/>
    <n v="0"/>
    <x v="0"/>
    <n v="0"/>
    <n v="12"/>
    <n v="1"/>
    <n v="51"/>
    <n v="25.66"/>
    <n v="66.22"/>
    <n v="141.32"/>
    <n v="25.189608465764316"/>
    <n v="99.847749713611876"/>
    <n v="135.80626150990429"/>
    <n v="10316.603000000001"/>
    <n v="13055.5815852"/>
    <n v="27861.8965512"/>
    <n v="10127.482083660543"/>
    <n v="19685.449146552248"/>
    <n v="26774.837313856267"/>
  </r>
  <r>
    <s v="Regular"/>
    <x v="0"/>
    <x v="0"/>
    <x v="0"/>
    <x v="0"/>
    <x v="0"/>
    <x v="0"/>
    <x v="0"/>
    <x v="4"/>
    <n v="476"/>
    <n v="404.59999999999997"/>
    <n v="186.745"/>
    <n v="175.5403"/>
    <n v="186.745"/>
    <n v="175.5403"/>
    <n v="0"/>
    <x v="0"/>
    <n v="0"/>
    <n v="12"/>
    <n v="1"/>
    <n v="51"/>
    <n v="25.66"/>
    <n v="66.22"/>
    <n v="141.32"/>
    <n v="25.189608465764316"/>
    <n v="99.847749713611876"/>
    <n v="135.80626150990429"/>
    <n v="10382.036"/>
    <n v="11624.278666"/>
    <n v="24807.355196"/>
    <n v="10191.715585248241"/>
    <n v="17527.303939052345"/>
    <n v="23839.47188732705"/>
  </r>
  <r>
    <s v="Regular"/>
    <x v="0"/>
    <x v="0"/>
    <x v="0"/>
    <x v="0"/>
    <x v="0"/>
    <x v="0"/>
    <x v="0"/>
    <x v="5"/>
    <n v="473"/>
    <n v="402.05"/>
    <n v="175.04400000000001"/>
    <n v="164.54136"/>
    <n v="175.04400000000001"/>
    <n v="164.54136"/>
    <n v="0"/>
    <x v="0"/>
    <n v="0"/>
    <n v="12"/>
    <n v="1"/>
    <n v="51"/>
    <n v="25.66"/>
    <n v="66.22"/>
    <n v="141.32"/>
    <n v="25.189608465764316"/>
    <n v="99.847749713611876"/>
    <n v="135.80626150990429"/>
    <n v="10316.603000000001"/>
    <n v="10895.928859199999"/>
    <n v="23252.984995199997"/>
    <n v="10127.482083660543"/>
    <n v="16429.084530817308"/>
    <n v="22345.746965355305"/>
  </r>
  <r>
    <s v="Regular"/>
    <x v="0"/>
    <x v="0"/>
    <x v="0"/>
    <x v="0"/>
    <x v="0"/>
    <x v="0"/>
    <x v="0"/>
    <x v="6"/>
    <n v="476"/>
    <n v="404.59999999999997"/>
    <n v="190.74100000000001"/>
    <n v="179.29653999999999"/>
    <n v="190.74100000000001"/>
    <n v="179.29653999999999"/>
    <n v="0"/>
    <x v="0"/>
    <n v="0"/>
    <n v="12"/>
    <n v="1"/>
    <n v="51"/>
    <n v="25.66"/>
    <n v="66.22"/>
    <n v="141.32"/>
    <n v="25.189608465764316"/>
    <n v="99.847749713611876"/>
    <n v="135.80626150990429"/>
    <n v="10382.036"/>
    <n v="11873.016878799999"/>
    <n v="25338.187032799997"/>
    <n v="10191.715585248241"/>
    <n v="17902.3560504366"/>
    <n v="24349.592799061014"/>
  </r>
  <r>
    <s v="Regular"/>
    <x v="0"/>
    <x v="0"/>
    <x v="0"/>
    <x v="0"/>
    <x v="0"/>
    <x v="0"/>
    <x v="0"/>
    <x v="7"/>
    <n v="482"/>
    <n v="409.7"/>
    <n v="194.71899999999999"/>
    <n v="183.03586000000001"/>
    <n v="194.71899999999999"/>
    <n v="183.03586000000001"/>
    <n v="0"/>
    <x v="0"/>
    <n v="0"/>
    <n v="12"/>
    <n v="1"/>
    <n v="51"/>
    <n v="25.66"/>
    <n v="66.22"/>
    <n v="141.32"/>
    <n v="25.189608465764316"/>
    <n v="99.847749713611876"/>
    <n v="135.80626150990429"/>
    <n v="10512.902"/>
    <n v="12120.634649200001"/>
    <n v="25866.6277352"/>
    <n v="10320.18258842364"/>
    <n v="18275.718737895706"/>
    <n v="24857.415868850232"/>
  </r>
  <r>
    <s v="Regular"/>
    <x v="0"/>
    <x v="0"/>
    <x v="0"/>
    <x v="0"/>
    <x v="0"/>
    <x v="0"/>
    <x v="0"/>
    <x v="8"/>
    <n v="485"/>
    <n v="412.25"/>
    <n v="242.363"/>
    <n v="227.82122000000001"/>
    <n v="242.363"/>
    <n v="227.82122000000001"/>
    <n v="0"/>
    <x v="0"/>
    <n v="0"/>
    <n v="12"/>
    <n v="1"/>
    <n v="51"/>
    <n v="25.66"/>
    <n v="66.22"/>
    <n v="141.32"/>
    <n v="25.189608465764316"/>
    <n v="99.847749713611876"/>
    <n v="135.80626150990429"/>
    <n v="10578.335000000001"/>
    <n v="15086.321188400001"/>
    <n v="32195.6948104"/>
    <n v="10384.416090011338"/>
    <n v="22747.436154009709"/>
    <n v="30939.548180825437"/>
  </r>
  <r>
    <s v="Regular"/>
    <x v="0"/>
    <x v="0"/>
    <x v="0"/>
    <x v="0"/>
    <x v="0"/>
    <x v="0"/>
    <x v="0"/>
    <x v="9"/>
    <n v="487"/>
    <n v="413.95"/>
    <n v="249.66399999999999"/>
    <n v="234.68415999999999"/>
    <n v="249.66399999999999"/>
    <n v="234.68415999999999"/>
    <n v="0"/>
    <x v="0"/>
    <n v="0"/>
    <n v="12"/>
    <n v="1"/>
    <n v="51"/>
    <n v="25.66"/>
    <n v="66.22"/>
    <n v="141.32"/>
    <n v="25.189608465764316"/>
    <n v="99.847749713611876"/>
    <n v="135.80626150990429"/>
    <n v="10621.957"/>
    <n v="15540.785075199999"/>
    <n v="33165.565491199995"/>
    <n v="10427.238424403138"/>
    <n v="23432.685269429243"/>
    <n v="31871.57840519222"/>
  </r>
  <r>
    <s v="Regular"/>
    <x v="0"/>
    <x v="0"/>
    <x v="0"/>
    <x v="0"/>
    <x v="0"/>
    <x v="0"/>
    <x v="0"/>
    <x v="10"/>
    <n v="483"/>
    <n v="410.55"/>
    <n v="241.64599999999999"/>
    <n v="227.14724000000001"/>
    <n v="241.64599999999999"/>
    <n v="227.14724000000001"/>
    <n v="0"/>
    <x v="0"/>
    <n v="0"/>
    <n v="12"/>
    <n v="1"/>
    <n v="51"/>
    <n v="25.66"/>
    <n v="66.22"/>
    <n v="141.32"/>
    <n v="25.189608465764316"/>
    <n v="99.847749713611876"/>
    <n v="135.80626150990429"/>
    <n v="10534.713"/>
    <n v="15041.6902328"/>
    <n v="32100.447956799999"/>
    <n v="10341.59375561954"/>
    <n v="22680.140767657729"/>
    <n v="30848.017476692992"/>
  </r>
  <r>
    <s v="Regular"/>
    <x v="0"/>
    <x v="0"/>
    <x v="0"/>
    <x v="0"/>
    <x v="0"/>
    <x v="0"/>
    <x v="0"/>
    <x v="11"/>
    <n v="490"/>
    <n v="416.5"/>
    <n v="204.32599999999999"/>
    <n v="192.06644"/>
    <n v="204.32599999999999"/>
    <n v="192.06644"/>
    <n v="0"/>
    <x v="0"/>
    <n v="0"/>
    <n v="12"/>
    <n v="1"/>
    <n v="51"/>
    <n v="25.66"/>
    <n v="66.22"/>
    <n v="141.32"/>
    <n v="25.189608465764316"/>
    <n v="99.847749713611876"/>
    <n v="135.80626150990429"/>
    <n v="10687.39"/>
    <n v="12718.6396568"/>
    <n v="27142.8293008"/>
    <n v="10491.471925990838"/>
    <n v="19177.401829504452"/>
    <n v="26083.82517791634"/>
  </r>
  <r>
    <s v="Regular"/>
    <x v="0"/>
    <x v="0"/>
    <x v="0"/>
    <x v="0"/>
    <x v="0"/>
    <x v="0"/>
    <x v="1"/>
    <x v="0"/>
    <n v="492"/>
    <n v="418.2"/>
    <n v="24.686"/>
    <n v="23.204840000000001"/>
    <n v="24.686"/>
    <n v="23.204840000000001"/>
    <n v="0"/>
    <x v="0"/>
    <n v="0"/>
    <n v="10"/>
    <n v="1"/>
    <n v="44"/>
    <n v="77.17"/>
    <n v="66.22"/>
    <n v="141.32"/>
    <n v="76.156132598985039"/>
    <n v="99.847749713611876"/>
    <n v="135.80626150990429"/>
    <n v="32272.493999999999"/>
    <n v="1536.6245048000001"/>
    <n v="3279.3079887999997"/>
    <n v="31848.494652895541"/>
    <n v="2316.9510564644097"/>
    <n v="3151.3625693354875"/>
  </r>
  <r>
    <s v="Regular"/>
    <x v="0"/>
    <x v="0"/>
    <x v="0"/>
    <x v="0"/>
    <x v="0"/>
    <x v="0"/>
    <x v="1"/>
    <x v="1"/>
    <n v="503"/>
    <n v="427.55"/>
    <n v="22.405000000000001"/>
    <n v="21.060700000000001"/>
    <n v="22.405000000000001"/>
    <n v="21.060700000000001"/>
    <n v="0"/>
    <x v="0"/>
    <n v="0"/>
    <n v="10"/>
    <n v="1"/>
    <n v="44"/>
    <n v="77.17"/>
    <n v="66.22"/>
    <n v="141.32"/>
    <n v="76.156132598985039"/>
    <n v="99.847749713611876"/>
    <n v="135.80626150990429"/>
    <n v="32994.033500000005"/>
    <n v="1394.6395540000001"/>
    <n v="2976.2981239999999"/>
    <n v="32560.554492696054"/>
    <n v="2102.8635023934658"/>
    <n v="2860.1749317816411"/>
  </r>
  <r>
    <s v="Regular"/>
    <x v="0"/>
    <x v="0"/>
    <x v="0"/>
    <x v="0"/>
    <x v="0"/>
    <x v="0"/>
    <x v="1"/>
    <x v="2"/>
    <n v="485"/>
    <n v="412.25"/>
    <n v="18.599"/>
    <n v="17.483059999999998"/>
    <n v="18.599"/>
    <n v="17.483059999999998"/>
    <n v="0"/>
    <x v="0"/>
    <n v="0"/>
    <n v="10"/>
    <n v="1"/>
    <n v="44"/>
    <n v="77.17"/>
    <n v="66.22"/>
    <n v="141.32"/>
    <n v="76.156132598985039"/>
    <n v="99.847749713611876"/>
    <n v="135.80626150990429"/>
    <n v="31813.3325"/>
    <n v="1157.7282332"/>
    <n v="2470.7060391999999"/>
    <n v="31395.365663931581"/>
    <n v="1745.644199108059"/>
    <n v="2374.3090183533473"/>
  </r>
  <r>
    <s v="Regular"/>
    <x v="0"/>
    <x v="0"/>
    <x v="0"/>
    <x v="0"/>
    <x v="0"/>
    <x v="0"/>
    <x v="1"/>
    <x v="3"/>
    <n v="473"/>
    <n v="402.05"/>
    <n v="21.518000000000001"/>
    <n v="20.22692"/>
    <n v="21.518000000000001"/>
    <n v="20.22692"/>
    <n v="0"/>
    <x v="0"/>
    <n v="0"/>
    <n v="10"/>
    <n v="1"/>
    <n v="44"/>
    <n v="77.17"/>
    <n v="66.22"/>
    <n v="141.32"/>
    <n v="76.156132598985039"/>
    <n v="99.847749713611876"/>
    <n v="135.80626150990429"/>
    <n v="31026.198500000002"/>
    <n v="1339.4266424"/>
    <n v="2858.4683344"/>
    <n v="30618.573111421934"/>
    <n v="2019.6124456372504"/>
    <n v="2746.942387059913"/>
  </r>
  <r>
    <s v="Regular"/>
    <x v="0"/>
    <x v="0"/>
    <x v="0"/>
    <x v="0"/>
    <x v="0"/>
    <x v="0"/>
    <x v="1"/>
    <x v="4"/>
    <n v="473"/>
    <n v="402.05"/>
    <n v="17.815000000000001"/>
    <n v="16.746099999999998"/>
    <n v="17.815000000000001"/>
    <n v="16.746099999999998"/>
    <n v="0"/>
    <x v="0"/>
    <n v="0"/>
    <n v="10"/>
    <n v="1"/>
    <n v="44"/>
    <n v="77.17"/>
    <n v="66.22"/>
    <n v="141.32"/>
    <n v="76.156132598985039"/>
    <n v="99.847749713611876"/>
    <n v="135.80626150990429"/>
    <n v="31026.198500000002"/>
    <n v="1108.9267419999999"/>
    <n v="2366.5588519999997"/>
    <n v="30618.573111421934"/>
    <n v="1672.0604014791156"/>
    <n v="2274.225235871008"/>
  </r>
  <r>
    <s v="Regular"/>
    <x v="0"/>
    <x v="0"/>
    <x v="0"/>
    <x v="0"/>
    <x v="0"/>
    <x v="0"/>
    <x v="1"/>
    <x v="5"/>
    <n v="473"/>
    <n v="402.05"/>
    <n v="17.861999999999998"/>
    <n v="16.790279999999999"/>
    <n v="17.861999999999998"/>
    <n v="16.790279999999999"/>
    <n v="0"/>
    <x v="0"/>
    <n v="0"/>
    <n v="10"/>
    <n v="1"/>
    <n v="44"/>
    <n v="77.17"/>
    <n v="66.22"/>
    <n v="141.32"/>
    <n v="76.156132598985039"/>
    <n v="99.847749713611876"/>
    <n v="135.80626150990429"/>
    <n v="31026.198500000002"/>
    <n v="1111.8523415999998"/>
    <n v="2372.8023695999996"/>
    <n v="30618.573111421934"/>
    <n v="1676.4716750614632"/>
    <n v="2280.2251565045158"/>
  </r>
  <r>
    <s v="Regular"/>
    <x v="0"/>
    <x v="0"/>
    <x v="0"/>
    <x v="0"/>
    <x v="0"/>
    <x v="0"/>
    <x v="1"/>
    <x v="6"/>
    <n v="473"/>
    <n v="402.05"/>
    <n v="18.792000000000002"/>
    <n v="17.664480000000001"/>
    <n v="18.792000000000002"/>
    <n v="17.664480000000001"/>
    <n v="0"/>
    <x v="0"/>
    <n v="0"/>
    <n v="10"/>
    <n v="1"/>
    <n v="44"/>
    <n v="77.17"/>
    <n v="66.22"/>
    <n v="141.32"/>
    <n v="76.156132598985039"/>
    <n v="99.847749713611876"/>
    <n v="135.80626150990429"/>
    <n v="31026.198500000002"/>
    <n v="1169.7418656"/>
    <n v="2496.3443136000001"/>
    <n v="30618.573111421934"/>
    <n v="1763.7585778611028"/>
    <n v="2398.9469903164741"/>
  </r>
  <r>
    <s v="Regular"/>
    <x v="0"/>
    <x v="0"/>
    <x v="0"/>
    <x v="0"/>
    <x v="0"/>
    <x v="0"/>
    <x v="1"/>
    <x v="7"/>
    <n v="481"/>
    <n v="408.84999999999997"/>
    <n v="17.777000000000001"/>
    <n v="16.710380000000001"/>
    <n v="17.777000000000001"/>
    <n v="16.710380000000001"/>
    <n v="0"/>
    <x v="0"/>
    <n v="0"/>
    <n v="10"/>
    <n v="1"/>
    <n v="44"/>
    <n v="77.17"/>
    <n v="66.22"/>
    <n v="141.32"/>
    <n v="76.156132598985039"/>
    <n v="99.847749713611876"/>
    <n v="135.80626150990429"/>
    <n v="31550.9545"/>
    <n v="1106.5613636"/>
    <n v="2361.5109016000001"/>
    <n v="31136.434813095031"/>
    <n v="1668.4938398593456"/>
    <n v="2269.3742362098747"/>
  </r>
  <r>
    <s v="Regular"/>
    <x v="0"/>
    <x v="0"/>
    <x v="0"/>
    <x v="0"/>
    <x v="0"/>
    <x v="0"/>
    <x v="1"/>
    <x v="8"/>
    <n v="485"/>
    <n v="412.25"/>
    <n v="26.413"/>
    <n v="24.828220000000002"/>
    <n v="26.413"/>
    <n v="24.828220000000002"/>
    <n v="0"/>
    <x v="0"/>
    <n v="0"/>
    <n v="10"/>
    <n v="1"/>
    <n v="44"/>
    <n v="77.17"/>
    <n v="66.22"/>
    <n v="141.32"/>
    <n v="76.156132598985039"/>
    <n v="99.847749713611876"/>
    <n v="135.80626150990429"/>
    <n v="31813.3325"/>
    <n v="1644.1247284000001"/>
    <n v="3508.7240504000001"/>
    <n v="31395.365663931581"/>
    <n v="2479.0418963944926"/>
    <n v="3371.8277381454359"/>
  </r>
  <r>
    <s v="Regular"/>
    <x v="0"/>
    <x v="0"/>
    <x v="0"/>
    <x v="0"/>
    <x v="0"/>
    <x v="0"/>
    <x v="1"/>
    <x v="9"/>
    <n v="483"/>
    <n v="410.55"/>
    <n v="27.216000000000001"/>
    <n v="25.58304"/>
    <n v="27.216000000000001"/>
    <n v="25.58304"/>
    <n v="0"/>
    <x v="0"/>
    <n v="0"/>
    <n v="10"/>
    <n v="1"/>
    <n v="44"/>
    <n v="77.17"/>
    <n v="66.22"/>
    <n v="141.32"/>
    <n v="76.156132598985039"/>
    <n v="99.847749713611876"/>
    <n v="135.80626150990429"/>
    <n v="31682.143500000002"/>
    <n v="1694.1089088000001"/>
    <n v="3615.3952128000001"/>
    <n v="31265.90023851331"/>
    <n v="2554.4089748333213"/>
    <n v="3474.3370204583421"/>
  </r>
  <r>
    <s v="Regular"/>
    <x v="0"/>
    <x v="0"/>
    <x v="0"/>
    <x v="0"/>
    <x v="0"/>
    <x v="0"/>
    <x v="1"/>
    <x v="10"/>
    <n v="480"/>
    <n v="408"/>
    <n v="25.218"/>
    <n v="23.704920000000001"/>
    <n v="25.218"/>
    <n v="23.704920000000001"/>
    <n v="0"/>
    <x v="0"/>
    <n v="0"/>
    <n v="10"/>
    <n v="1"/>
    <n v="44"/>
    <n v="77.17"/>
    <n v="66.22"/>
    <n v="141.32"/>
    <n v="76.156132598985039"/>
    <n v="99.847749713611876"/>
    <n v="135.80626150990429"/>
    <n v="31485.360000000001"/>
    <n v="1569.7398024000001"/>
    <n v="3349.9792944000001"/>
    <n v="31071.702100385897"/>
    <n v="2366.8829191411924"/>
    <n v="3219.2765645913605"/>
  </r>
  <r>
    <s v="Regular"/>
    <x v="0"/>
    <x v="0"/>
    <x v="0"/>
    <x v="0"/>
    <x v="0"/>
    <x v="0"/>
    <x v="1"/>
    <x v="11"/>
    <n v="510"/>
    <n v="433.5"/>
    <n v="23.26"/>
    <n v="21.8644"/>
    <n v="23.26"/>
    <n v="21.8644"/>
    <n v="0"/>
    <x v="0"/>
    <n v="0"/>
    <n v="10"/>
    <n v="1"/>
    <n v="44"/>
    <n v="77.17"/>
    <n v="66.22"/>
    <n v="141.32"/>
    <n v="76.156132598985039"/>
    <n v="99.847749713611876"/>
    <n v="135.80626150990429"/>
    <n v="33453.195"/>
    <n v="1447.8605680000001"/>
    <n v="3089.8770079999999"/>
    <n v="33013.683481660017"/>
    <n v="2183.1111388382956"/>
    <n v="2969.3224241571511"/>
  </r>
  <r>
    <s v="Regular"/>
    <x v="0"/>
    <x v="1"/>
    <x v="1"/>
    <x v="1"/>
    <x v="0"/>
    <x v="1"/>
    <x v="2"/>
    <x v="0"/>
    <n v="909"/>
    <n v="909"/>
    <n v="0"/>
    <n v="0"/>
    <n v="0"/>
    <n v="0"/>
    <n v="0"/>
    <x v="1"/>
    <n v="35415"/>
    <n v="7"/>
    <n v="0"/>
    <n v="0"/>
    <n v="3.37"/>
    <n v="0"/>
    <n v="0"/>
    <n v="3.410508540351314"/>
    <m/>
    <m/>
    <n v="3063.33"/>
    <n v="0"/>
    <n v="0"/>
    <n v="3100.1522631793446"/>
    <n v="0"/>
    <n v="0"/>
  </r>
  <r>
    <s v="Regular"/>
    <x v="0"/>
    <x v="1"/>
    <x v="1"/>
    <x v="1"/>
    <x v="0"/>
    <x v="1"/>
    <x v="2"/>
    <x v="1"/>
    <n v="909"/>
    <n v="454.5"/>
    <n v="0"/>
    <n v="0"/>
    <n v="0"/>
    <n v="0"/>
    <n v="0"/>
    <x v="1"/>
    <n v="35415"/>
    <n v="7"/>
    <n v="0"/>
    <n v="0"/>
    <n v="3.37"/>
    <n v="0"/>
    <n v="0"/>
    <n v="3.410508540351314"/>
    <m/>
    <m/>
    <n v="1531.665"/>
    <n v="0"/>
    <n v="0"/>
    <n v="1550.0761315896723"/>
    <n v="0"/>
    <n v="0"/>
  </r>
  <r>
    <s v="Regular"/>
    <x v="0"/>
    <x v="1"/>
    <x v="1"/>
    <x v="1"/>
    <x v="0"/>
    <x v="1"/>
    <x v="2"/>
    <x v="2"/>
    <n v="909"/>
    <n v="454.5"/>
    <n v="0"/>
    <n v="0"/>
    <n v="0"/>
    <n v="0"/>
    <n v="0"/>
    <x v="1"/>
    <n v="35415"/>
    <n v="7"/>
    <n v="0"/>
    <n v="0"/>
    <n v="3.37"/>
    <n v="0"/>
    <n v="0"/>
    <n v="3.410508540351314"/>
    <m/>
    <m/>
    <n v="1531.665"/>
    <n v="0"/>
    <n v="0"/>
    <n v="1550.0761315896723"/>
    <n v="0"/>
    <n v="0"/>
  </r>
  <r>
    <s v="Regular"/>
    <x v="0"/>
    <x v="1"/>
    <x v="1"/>
    <x v="1"/>
    <x v="0"/>
    <x v="1"/>
    <x v="2"/>
    <x v="3"/>
    <n v="909"/>
    <n v="454.5"/>
    <n v="0"/>
    <n v="0"/>
    <n v="0"/>
    <n v="0"/>
    <n v="0"/>
    <x v="1"/>
    <n v="35415"/>
    <n v="7"/>
    <n v="0"/>
    <n v="0"/>
    <n v="3.37"/>
    <n v="0"/>
    <n v="0"/>
    <n v="3.410508540351314"/>
    <m/>
    <m/>
    <n v="1531.665"/>
    <n v="0"/>
    <n v="0"/>
    <n v="1550.0761315896723"/>
    <n v="0"/>
    <n v="0"/>
  </r>
  <r>
    <s v="Regular"/>
    <x v="0"/>
    <x v="1"/>
    <x v="1"/>
    <x v="1"/>
    <x v="0"/>
    <x v="1"/>
    <x v="2"/>
    <x v="4"/>
    <n v="909"/>
    <n v="454.5"/>
    <n v="0"/>
    <n v="0"/>
    <n v="0"/>
    <n v="0"/>
    <n v="0"/>
    <x v="1"/>
    <n v="35415"/>
    <n v="7"/>
    <n v="0"/>
    <n v="0"/>
    <n v="3.37"/>
    <n v="0"/>
    <n v="0"/>
    <n v="3.410508540351314"/>
    <m/>
    <m/>
    <n v="1531.665"/>
    <n v="0"/>
    <n v="0"/>
    <n v="1550.0761315896723"/>
    <n v="0"/>
    <n v="0"/>
  </r>
  <r>
    <s v="Regular"/>
    <x v="0"/>
    <x v="1"/>
    <x v="1"/>
    <x v="1"/>
    <x v="0"/>
    <x v="1"/>
    <x v="2"/>
    <x v="5"/>
    <n v="909"/>
    <n v="454.5"/>
    <n v="0"/>
    <n v="0"/>
    <n v="0"/>
    <n v="0"/>
    <n v="0"/>
    <x v="1"/>
    <n v="35415"/>
    <n v="7"/>
    <n v="0"/>
    <n v="0"/>
    <n v="3.37"/>
    <n v="0"/>
    <n v="0"/>
    <n v="3.410508540351314"/>
    <m/>
    <m/>
    <n v="1531.665"/>
    <n v="0"/>
    <n v="0"/>
    <n v="1550.0761315896723"/>
    <n v="0"/>
    <n v="0"/>
  </r>
  <r>
    <s v="Regular"/>
    <x v="0"/>
    <x v="1"/>
    <x v="1"/>
    <x v="1"/>
    <x v="0"/>
    <x v="1"/>
    <x v="2"/>
    <x v="6"/>
    <n v="909"/>
    <n v="454.5"/>
    <n v="0"/>
    <n v="0"/>
    <n v="0"/>
    <n v="0"/>
    <n v="0"/>
    <x v="1"/>
    <n v="35415"/>
    <n v="7"/>
    <n v="0"/>
    <n v="0"/>
    <n v="3.37"/>
    <n v="0"/>
    <n v="0"/>
    <n v="3.410508540351314"/>
    <m/>
    <m/>
    <n v="1531.665"/>
    <n v="0"/>
    <n v="0"/>
    <n v="1550.0761315896723"/>
    <n v="0"/>
    <n v="0"/>
  </r>
  <r>
    <s v="Regular"/>
    <x v="0"/>
    <x v="1"/>
    <x v="1"/>
    <x v="1"/>
    <x v="0"/>
    <x v="1"/>
    <x v="2"/>
    <x v="7"/>
    <n v="909"/>
    <n v="454.5"/>
    <n v="0"/>
    <n v="0"/>
    <n v="0"/>
    <n v="0"/>
    <n v="0"/>
    <x v="1"/>
    <n v="35415"/>
    <n v="7"/>
    <n v="0"/>
    <n v="0"/>
    <n v="3.37"/>
    <n v="0"/>
    <n v="0"/>
    <n v="3.410508540351314"/>
    <m/>
    <m/>
    <n v="1531.665"/>
    <n v="0"/>
    <n v="0"/>
    <n v="1550.0761315896723"/>
    <n v="0"/>
    <n v="0"/>
  </r>
  <r>
    <s v="Regular"/>
    <x v="0"/>
    <x v="1"/>
    <x v="1"/>
    <x v="1"/>
    <x v="0"/>
    <x v="1"/>
    <x v="2"/>
    <x v="8"/>
    <n v="909"/>
    <n v="454.5"/>
    <n v="0"/>
    <n v="0"/>
    <n v="0"/>
    <n v="0"/>
    <n v="0"/>
    <x v="1"/>
    <n v="35415"/>
    <n v="7"/>
    <n v="0"/>
    <n v="0"/>
    <n v="3.37"/>
    <n v="0"/>
    <n v="0"/>
    <n v="3.410508540351314"/>
    <m/>
    <m/>
    <n v="1531.665"/>
    <n v="0"/>
    <n v="0"/>
    <n v="1550.0761315896723"/>
    <n v="0"/>
    <n v="0"/>
  </r>
  <r>
    <s v="Regular"/>
    <x v="0"/>
    <x v="1"/>
    <x v="1"/>
    <x v="1"/>
    <x v="0"/>
    <x v="1"/>
    <x v="2"/>
    <x v="9"/>
    <n v="909"/>
    <n v="454.5"/>
    <n v="0"/>
    <n v="0"/>
    <n v="0"/>
    <n v="0"/>
    <n v="0"/>
    <x v="1"/>
    <n v="35415"/>
    <n v="7"/>
    <n v="0"/>
    <n v="0"/>
    <n v="3.37"/>
    <n v="0"/>
    <n v="0"/>
    <n v="3.410508540351314"/>
    <m/>
    <m/>
    <n v="1531.665"/>
    <n v="0"/>
    <n v="0"/>
    <n v="1550.0761315896723"/>
    <n v="0"/>
    <n v="0"/>
  </r>
  <r>
    <s v="Regular"/>
    <x v="0"/>
    <x v="1"/>
    <x v="1"/>
    <x v="1"/>
    <x v="0"/>
    <x v="1"/>
    <x v="2"/>
    <x v="10"/>
    <n v="909"/>
    <n v="454.5"/>
    <n v="0"/>
    <n v="0"/>
    <n v="0"/>
    <n v="0"/>
    <n v="0"/>
    <x v="1"/>
    <n v="35415"/>
    <n v="7"/>
    <n v="0"/>
    <n v="0"/>
    <n v="3.37"/>
    <n v="0"/>
    <n v="0"/>
    <n v="3.410508540351314"/>
    <m/>
    <m/>
    <n v="1531.665"/>
    <n v="0"/>
    <n v="0"/>
    <n v="1550.0761315896723"/>
    <n v="0"/>
    <n v="0"/>
  </r>
  <r>
    <s v="Regular"/>
    <x v="0"/>
    <x v="1"/>
    <x v="1"/>
    <x v="1"/>
    <x v="0"/>
    <x v="1"/>
    <x v="2"/>
    <x v="11"/>
    <n v="909"/>
    <n v="454.5"/>
    <n v="0"/>
    <n v="0"/>
    <n v="0"/>
    <n v="0"/>
    <n v="0"/>
    <x v="1"/>
    <n v="35415"/>
    <n v="7"/>
    <n v="0"/>
    <n v="0"/>
    <n v="3.37"/>
    <n v="0"/>
    <n v="0"/>
    <n v="3.410508540351314"/>
    <m/>
    <m/>
    <n v="1531.665"/>
    <n v="0"/>
    <n v="0"/>
    <n v="1550.0761315896723"/>
    <n v="0"/>
    <n v="0"/>
  </r>
  <r>
    <s v="Regular"/>
    <x v="0"/>
    <x v="2"/>
    <x v="2"/>
    <x v="1"/>
    <x v="0"/>
    <x v="0"/>
    <x v="0"/>
    <x v="0"/>
    <n v="0"/>
    <n v="0"/>
    <n v="29.594000000000001"/>
    <n v="29.594000000000001"/>
    <n v="29.594000000000001"/>
    <n v="29.594000000000001"/>
    <n v="0"/>
    <x v="0"/>
    <n v="0"/>
    <n v="0"/>
    <n v="23"/>
    <n v="51"/>
    <n v="0"/>
    <n v="66.22"/>
    <n v="141.32"/>
    <m/>
    <n v="99.847749713611876"/>
    <n v="135.80626150990429"/>
    <n v="0"/>
    <n v="1959.71468"/>
    <n v="4182.22408"/>
    <n v="0"/>
    <n v="2954.8943050246298"/>
    <n v="4019.0505031241078"/>
  </r>
  <r>
    <s v="Regular"/>
    <x v="0"/>
    <x v="2"/>
    <x v="2"/>
    <x v="1"/>
    <x v="0"/>
    <x v="0"/>
    <x v="0"/>
    <x v="1"/>
    <n v="0"/>
    <n v="0"/>
    <n v="36.151000000000003"/>
    <n v="36.151000000000003"/>
    <n v="36.151000000000003"/>
    <n v="36.151000000000003"/>
    <n v="0"/>
    <x v="0"/>
    <n v="0"/>
    <n v="0"/>
    <n v="23"/>
    <n v="51"/>
    <n v="0"/>
    <n v="66.22"/>
    <n v="141.32"/>
    <m/>
    <n v="99.847749713611876"/>
    <n v="135.80626150990429"/>
    <n v="0"/>
    <n v="2393.9192200000002"/>
    <n v="5108.8593200000005"/>
    <n v="0"/>
    <n v="3609.5959998967833"/>
    <n v="4909.5321598445507"/>
  </r>
  <r>
    <s v="Regular"/>
    <x v="0"/>
    <x v="2"/>
    <x v="2"/>
    <x v="1"/>
    <x v="0"/>
    <x v="0"/>
    <x v="0"/>
    <x v="2"/>
    <n v="0"/>
    <n v="0"/>
    <n v="30.135000000000002"/>
    <n v="30.135000000000002"/>
    <n v="30.135000000000002"/>
    <n v="30.135000000000002"/>
    <n v="0"/>
    <x v="0"/>
    <n v="0"/>
    <n v="0"/>
    <n v="23"/>
    <n v="51"/>
    <n v="0"/>
    <n v="66.22"/>
    <n v="141.32"/>
    <m/>
    <n v="99.847749713611876"/>
    <n v="135.80626150990429"/>
    <n v="0"/>
    <n v="1995.5397"/>
    <n v="4258.6782000000003"/>
    <n v="0"/>
    <n v="3008.9119376196941"/>
    <n v="4092.5216906009659"/>
  </r>
  <r>
    <s v="Regular"/>
    <x v="0"/>
    <x v="2"/>
    <x v="2"/>
    <x v="1"/>
    <x v="0"/>
    <x v="0"/>
    <x v="0"/>
    <x v="3"/>
    <n v="0"/>
    <n v="0"/>
    <n v="29.385999999999999"/>
    <n v="29.385999999999999"/>
    <n v="29.385999999999999"/>
    <n v="29.385999999999999"/>
    <n v="0"/>
    <x v="0"/>
    <n v="0"/>
    <n v="0"/>
    <n v="23"/>
    <n v="51"/>
    <n v="0"/>
    <n v="66.22"/>
    <n v="141.32"/>
    <m/>
    <n v="99.847749713611876"/>
    <n v="135.80626150990429"/>
    <n v="0"/>
    <n v="1945.94092"/>
    <n v="4152.8295199999993"/>
    <n v="0"/>
    <n v="2934.1259730841984"/>
    <n v="3990.8028007300472"/>
  </r>
  <r>
    <s v="Regular"/>
    <x v="0"/>
    <x v="2"/>
    <x v="2"/>
    <x v="1"/>
    <x v="0"/>
    <x v="0"/>
    <x v="0"/>
    <x v="4"/>
    <n v="0"/>
    <n v="0"/>
    <n v="24.986999999999998"/>
    <n v="24.986999999999998"/>
    <n v="24.986999999999998"/>
    <n v="24.986999999999998"/>
    <n v="0"/>
    <x v="0"/>
    <n v="0"/>
    <n v="0"/>
    <n v="23"/>
    <n v="51"/>
    <n v="0"/>
    <n v="66.22"/>
    <n v="141.32"/>
    <m/>
    <n v="99.847749713611876"/>
    <n v="135.80626150990429"/>
    <n v="0"/>
    <n v="1654.6391399999998"/>
    <n v="3531.1628399999995"/>
    <n v="0"/>
    <n v="2494.8957220940197"/>
    <n v="3393.3910563479781"/>
  </r>
  <r>
    <s v="Regular"/>
    <x v="0"/>
    <x v="2"/>
    <x v="2"/>
    <x v="1"/>
    <x v="0"/>
    <x v="0"/>
    <x v="0"/>
    <x v="5"/>
    <n v="0"/>
    <n v="0"/>
    <n v="27.552"/>
    <n v="27.552"/>
    <n v="27.552"/>
    <n v="27.552"/>
    <n v="0"/>
    <x v="0"/>
    <n v="0"/>
    <n v="0"/>
    <n v="23"/>
    <n v="51"/>
    <n v="0"/>
    <n v="66.22"/>
    <n v="141.32"/>
    <m/>
    <n v="99.847749713611876"/>
    <n v="135.80626150990429"/>
    <n v="0"/>
    <n v="1824.49344"/>
    <n v="3893.6486399999999"/>
    <n v="0"/>
    <n v="2751.0052001094346"/>
    <n v="3741.7341171208827"/>
  </r>
  <r>
    <s v="Regular"/>
    <x v="0"/>
    <x v="2"/>
    <x v="2"/>
    <x v="1"/>
    <x v="0"/>
    <x v="0"/>
    <x v="0"/>
    <x v="6"/>
    <n v="0"/>
    <n v="0"/>
    <n v="32.405000000000001"/>
    <n v="32.405000000000001"/>
    <n v="32.405000000000001"/>
    <n v="32.405000000000001"/>
    <n v="0"/>
    <x v="0"/>
    <n v="0"/>
    <n v="0"/>
    <n v="23"/>
    <n v="51"/>
    <n v="0"/>
    <n v="66.22"/>
    <n v="141.32"/>
    <m/>
    <n v="99.847749713611876"/>
    <n v="135.80626150990429"/>
    <n v="0"/>
    <n v="2145.8591000000001"/>
    <n v="4579.4745999999996"/>
    <n v="0"/>
    <n v="3235.5663294695928"/>
    <n v="4400.8019042284486"/>
  </r>
  <r>
    <s v="Regular"/>
    <x v="0"/>
    <x v="2"/>
    <x v="2"/>
    <x v="1"/>
    <x v="0"/>
    <x v="0"/>
    <x v="0"/>
    <x v="7"/>
    <n v="0"/>
    <n v="0"/>
    <n v="31.109000000000002"/>
    <n v="31.109000000000002"/>
    <n v="31.109000000000002"/>
    <n v="31.109000000000002"/>
    <n v="0"/>
    <x v="0"/>
    <n v="0"/>
    <n v="0"/>
    <n v="23"/>
    <n v="51"/>
    <n v="0"/>
    <n v="66.22"/>
    <n v="141.32"/>
    <m/>
    <n v="99.847749713611876"/>
    <n v="135.80626150990429"/>
    <n v="0"/>
    <n v="2060.0379800000001"/>
    <n v="4396.3238799999999"/>
    <n v="0"/>
    <n v="3106.163645840752"/>
    <n v="4224.7969893116124"/>
  </r>
  <r>
    <s v="Regular"/>
    <x v="0"/>
    <x v="2"/>
    <x v="2"/>
    <x v="1"/>
    <x v="0"/>
    <x v="0"/>
    <x v="0"/>
    <x v="8"/>
    <n v="0"/>
    <n v="0"/>
    <n v="34.581000000000003"/>
    <n v="34.581000000000003"/>
    <n v="34.581000000000003"/>
    <n v="34.581000000000003"/>
    <n v="0"/>
    <x v="0"/>
    <n v="0"/>
    <n v="0"/>
    <n v="23"/>
    <n v="51"/>
    <n v="0"/>
    <n v="66.22"/>
    <n v="141.32"/>
    <m/>
    <n v="99.847749713611876"/>
    <n v="135.80626150990429"/>
    <n v="0"/>
    <n v="2289.9538200000002"/>
    <n v="4886.9869200000003"/>
    <n v="0"/>
    <n v="3452.8350328464126"/>
    <n v="4696.316329274001"/>
  </r>
  <r>
    <s v="Regular"/>
    <x v="0"/>
    <x v="2"/>
    <x v="2"/>
    <x v="1"/>
    <x v="0"/>
    <x v="0"/>
    <x v="0"/>
    <x v="9"/>
    <n v="0"/>
    <n v="0"/>
    <n v="34.792000000000002"/>
    <n v="34.792000000000002"/>
    <n v="34.792000000000002"/>
    <n v="34.792000000000002"/>
    <n v="0"/>
    <x v="0"/>
    <n v="0"/>
    <n v="0"/>
    <n v="23"/>
    <n v="51"/>
    <n v="0"/>
    <n v="66.22"/>
    <n v="141.32"/>
    <m/>
    <n v="99.847749713611876"/>
    <n v="135.80626150990429"/>
    <n v="0"/>
    <n v="2303.9262400000002"/>
    <n v="4916.8054400000001"/>
    <n v="0"/>
    <n v="3473.9029080359846"/>
    <n v="4724.97145045259"/>
  </r>
  <r>
    <s v="Regular"/>
    <x v="0"/>
    <x v="2"/>
    <x v="2"/>
    <x v="1"/>
    <x v="0"/>
    <x v="0"/>
    <x v="0"/>
    <x v="10"/>
    <n v="0"/>
    <n v="0"/>
    <n v="41.357999999999997"/>
    <n v="41.357999999999997"/>
    <n v="41.357999999999997"/>
    <n v="41.357999999999997"/>
    <n v="0"/>
    <x v="0"/>
    <n v="0"/>
    <n v="0"/>
    <n v="23"/>
    <n v="51"/>
    <n v="0"/>
    <n v="66.22"/>
    <n v="141.32"/>
    <m/>
    <n v="99.847749713611876"/>
    <n v="135.80626150990429"/>
    <n v="0"/>
    <n v="2738.7267599999996"/>
    <n v="5844.712559999999"/>
    <n v="0"/>
    <n v="4129.5032326555593"/>
    <n v="5616.6753635266214"/>
  </r>
  <r>
    <s v="Regular"/>
    <x v="0"/>
    <x v="2"/>
    <x v="2"/>
    <x v="1"/>
    <x v="0"/>
    <x v="0"/>
    <x v="0"/>
    <x v="11"/>
    <n v="0"/>
    <n v="0"/>
    <n v="33.491"/>
    <n v="33.491"/>
    <n v="33.491"/>
    <n v="33.491"/>
    <n v="0"/>
    <x v="0"/>
    <n v="0"/>
    <n v="0"/>
    <n v="23"/>
    <n v="51"/>
    <n v="0"/>
    <n v="66.22"/>
    <n v="141.32"/>
    <m/>
    <n v="99.847749713611876"/>
    <n v="135.80626150990429"/>
    <n v="0"/>
    <n v="2217.7740199999998"/>
    <n v="4732.94812"/>
    <n v="0"/>
    <n v="3344.0009856585752"/>
    <n v="4548.2875042282049"/>
  </r>
  <r>
    <s v="Regular"/>
    <x v="0"/>
    <x v="2"/>
    <x v="2"/>
    <x v="1"/>
    <x v="0"/>
    <x v="0"/>
    <x v="2"/>
    <x v="0"/>
    <n v="263"/>
    <n v="263"/>
    <n v="0"/>
    <n v="0"/>
    <n v="0"/>
    <n v="0"/>
    <n v="3"/>
    <x v="0"/>
    <n v="0"/>
    <n v="16"/>
    <n v="0"/>
    <n v="0"/>
    <n v="25.66"/>
    <n v="0"/>
    <n v="0"/>
    <n v="25.189608465764316"/>
    <m/>
    <m/>
    <n v="6748.58"/>
    <n v="0"/>
    <n v="0"/>
    <n v="6624.8670264960147"/>
    <n v="0"/>
    <n v="0"/>
  </r>
  <r>
    <s v="Regular"/>
    <x v="0"/>
    <x v="2"/>
    <x v="2"/>
    <x v="1"/>
    <x v="0"/>
    <x v="0"/>
    <x v="2"/>
    <x v="1"/>
    <n v="300"/>
    <n v="300"/>
    <n v="0"/>
    <n v="0"/>
    <n v="0"/>
    <n v="0"/>
    <n v="3"/>
    <x v="0"/>
    <n v="0"/>
    <n v="16"/>
    <n v="0"/>
    <n v="0"/>
    <n v="25.66"/>
    <n v="0"/>
    <n v="0"/>
    <n v="25.189608465764316"/>
    <m/>
    <m/>
    <n v="7698"/>
    <n v="0"/>
    <n v="0"/>
    <n v="7556.8825397292949"/>
    <n v="0"/>
    <n v="0"/>
  </r>
  <r>
    <s v="Regular"/>
    <x v="0"/>
    <x v="2"/>
    <x v="2"/>
    <x v="1"/>
    <x v="0"/>
    <x v="0"/>
    <x v="2"/>
    <x v="2"/>
    <n v="310"/>
    <n v="310"/>
    <n v="0"/>
    <n v="0"/>
    <n v="0"/>
    <n v="0"/>
    <n v="3"/>
    <x v="0"/>
    <n v="0"/>
    <n v="16"/>
    <n v="0"/>
    <n v="0"/>
    <n v="25.66"/>
    <n v="0"/>
    <n v="0"/>
    <n v="25.189608465764316"/>
    <m/>
    <m/>
    <n v="7954.6"/>
    <n v="0"/>
    <n v="0"/>
    <n v="7808.7786243869377"/>
    <n v="0"/>
    <n v="0"/>
  </r>
  <r>
    <s v="Regular"/>
    <x v="0"/>
    <x v="2"/>
    <x v="2"/>
    <x v="1"/>
    <x v="0"/>
    <x v="0"/>
    <x v="2"/>
    <x v="3"/>
    <n v="320"/>
    <n v="320"/>
    <n v="0"/>
    <n v="0"/>
    <n v="0"/>
    <n v="0"/>
    <n v="3"/>
    <x v="0"/>
    <n v="0"/>
    <n v="16"/>
    <n v="0"/>
    <n v="0"/>
    <n v="25.66"/>
    <n v="0"/>
    <n v="0"/>
    <n v="25.189608465764316"/>
    <m/>
    <m/>
    <n v="8211.2000000000007"/>
    <n v="0"/>
    <n v="0"/>
    <n v="8060.6747090445806"/>
    <n v="0"/>
    <n v="0"/>
  </r>
  <r>
    <s v="Regular"/>
    <x v="0"/>
    <x v="2"/>
    <x v="2"/>
    <x v="1"/>
    <x v="0"/>
    <x v="0"/>
    <x v="2"/>
    <x v="4"/>
    <n v="313"/>
    <n v="313"/>
    <n v="0"/>
    <n v="0"/>
    <n v="0"/>
    <n v="0"/>
    <n v="3"/>
    <x v="0"/>
    <n v="0"/>
    <n v="16"/>
    <n v="0"/>
    <n v="0"/>
    <n v="25.66"/>
    <n v="0"/>
    <n v="0"/>
    <n v="25.189608465764316"/>
    <m/>
    <m/>
    <n v="8031.58"/>
    <n v="0"/>
    <n v="0"/>
    <n v="7884.3474497842308"/>
    <n v="0"/>
    <n v="0"/>
  </r>
  <r>
    <s v="Regular"/>
    <x v="0"/>
    <x v="2"/>
    <x v="2"/>
    <x v="1"/>
    <x v="0"/>
    <x v="0"/>
    <x v="2"/>
    <x v="5"/>
    <n v="321"/>
    <n v="321"/>
    <n v="0"/>
    <n v="0"/>
    <n v="0"/>
    <n v="0"/>
    <n v="3"/>
    <x v="0"/>
    <n v="0"/>
    <n v="16"/>
    <n v="0"/>
    <n v="0"/>
    <n v="25.66"/>
    <n v="0"/>
    <n v="0"/>
    <n v="25.189608465764316"/>
    <m/>
    <m/>
    <n v="8236.86"/>
    <n v="0"/>
    <n v="0"/>
    <n v="8085.8643175103452"/>
    <n v="0"/>
    <n v="0"/>
  </r>
  <r>
    <s v="Regular"/>
    <x v="0"/>
    <x v="2"/>
    <x v="2"/>
    <x v="1"/>
    <x v="0"/>
    <x v="0"/>
    <x v="2"/>
    <x v="6"/>
    <n v="326"/>
    <n v="326"/>
    <n v="0"/>
    <n v="0"/>
    <n v="0"/>
    <n v="0"/>
    <n v="3"/>
    <x v="0"/>
    <n v="0"/>
    <n v="16"/>
    <n v="0"/>
    <n v="0"/>
    <n v="25.66"/>
    <n v="0"/>
    <n v="0"/>
    <n v="25.189608465764316"/>
    <m/>
    <m/>
    <n v="8365.16"/>
    <n v="0"/>
    <n v="0"/>
    <n v="8211.8123598391667"/>
    <n v="0"/>
    <n v="0"/>
  </r>
  <r>
    <s v="Regular"/>
    <x v="0"/>
    <x v="2"/>
    <x v="2"/>
    <x v="1"/>
    <x v="0"/>
    <x v="0"/>
    <x v="2"/>
    <x v="7"/>
    <n v="314"/>
    <n v="314"/>
    <n v="0"/>
    <n v="0"/>
    <n v="0"/>
    <n v="0"/>
    <n v="3"/>
    <x v="0"/>
    <n v="0"/>
    <n v="16"/>
    <n v="0"/>
    <n v="0"/>
    <n v="25.66"/>
    <n v="0"/>
    <n v="0"/>
    <n v="25.189608465764316"/>
    <m/>
    <m/>
    <n v="8057.24"/>
    <n v="0"/>
    <n v="0"/>
    <n v="7909.5370582499954"/>
    <n v="0"/>
    <n v="0"/>
  </r>
  <r>
    <s v="Regular"/>
    <x v="0"/>
    <x v="2"/>
    <x v="2"/>
    <x v="1"/>
    <x v="0"/>
    <x v="0"/>
    <x v="2"/>
    <x v="8"/>
    <n v="335"/>
    <n v="335"/>
    <n v="0"/>
    <n v="0"/>
    <n v="0"/>
    <n v="0"/>
    <n v="3"/>
    <x v="0"/>
    <n v="0"/>
    <n v="16"/>
    <n v="0"/>
    <n v="0"/>
    <n v="25.66"/>
    <n v="0"/>
    <n v="0"/>
    <n v="25.189608465764316"/>
    <m/>
    <m/>
    <n v="8596.1"/>
    <n v="0"/>
    <n v="0"/>
    <n v="8438.5188360310458"/>
    <n v="0"/>
    <n v="0"/>
  </r>
  <r>
    <s v="Regular"/>
    <x v="0"/>
    <x v="2"/>
    <x v="2"/>
    <x v="1"/>
    <x v="0"/>
    <x v="0"/>
    <x v="2"/>
    <x v="9"/>
    <n v="326"/>
    <n v="326"/>
    <n v="0"/>
    <n v="0"/>
    <n v="0"/>
    <n v="0"/>
    <n v="3"/>
    <x v="0"/>
    <n v="0"/>
    <n v="16"/>
    <n v="0"/>
    <n v="0"/>
    <n v="25.66"/>
    <n v="0"/>
    <n v="0"/>
    <n v="25.189608465764316"/>
    <m/>
    <m/>
    <n v="8365.16"/>
    <n v="0"/>
    <n v="0"/>
    <n v="8211.8123598391667"/>
    <n v="0"/>
    <n v="0"/>
  </r>
  <r>
    <s v="Regular"/>
    <x v="0"/>
    <x v="2"/>
    <x v="2"/>
    <x v="1"/>
    <x v="0"/>
    <x v="0"/>
    <x v="2"/>
    <x v="10"/>
    <n v="359"/>
    <n v="359"/>
    <n v="0"/>
    <n v="0"/>
    <n v="0"/>
    <n v="0"/>
    <n v="3"/>
    <x v="0"/>
    <n v="0"/>
    <n v="16"/>
    <n v="0"/>
    <n v="0"/>
    <n v="25.66"/>
    <n v="0"/>
    <n v="0"/>
    <n v="25.189608465764316"/>
    <m/>
    <m/>
    <n v="9211.94"/>
    <n v="0"/>
    <n v="0"/>
    <n v="9043.0694392093901"/>
    <n v="0"/>
    <n v="0"/>
  </r>
  <r>
    <s v="Regular"/>
    <x v="0"/>
    <x v="2"/>
    <x v="2"/>
    <x v="1"/>
    <x v="0"/>
    <x v="0"/>
    <x v="2"/>
    <x v="11"/>
    <n v="356"/>
    <n v="356"/>
    <n v="0"/>
    <n v="0"/>
    <n v="0"/>
    <n v="0"/>
    <n v="3"/>
    <x v="0"/>
    <n v="0"/>
    <n v="16"/>
    <n v="0"/>
    <n v="0"/>
    <n v="25.66"/>
    <n v="0"/>
    <n v="0"/>
    <n v="25.189608465764316"/>
    <m/>
    <m/>
    <n v="9134.9600000000009"/>
    <n v="0"/>
    <n v="0"/>
    <n v="8967.5006138120971"/>
    <n v="0"/>
    <n v="0"/>
  </r>
  <r>
    <s v="Regular"/>
    <x v="0"/>
    <x v="2"/>
    <x v="2"/>
    <x v="1"/>
    <x v="0"/>
    <x v="0"/>
    <x v="1"/>
    <x v="0"/>
    <n v="0"/>
    <n v="0"/>
    <n v="2.1179999999999999"/>
    <n v="2.1179999999999999"/>
    <n v="2.1179999999999999"/>
    <n v="2.1179999999999999"/>
    <n v="0"/>
    <x v="0"/>
    <n v="0"/>
    <n v="0"/>
    <n v="25"/>
    <n v="44"/>
    <n v="0"/>
    <n v="1922.56"/>
    <n v="141.32"/>
    <m/>
    <n v="1931.7033804673958"/>
    <n v="135.80626150990429"/>
    <n v="0"/>
    <n v="4071.9820799999998"/>
    <n v="299.31575999999995"/>
    <n v="0"/>
    <n v="4091.3477598299442"/>
    <n v="287.63766187797728"/>
  </r>
  <r>
    <s v="Regular"/>
    <x v="0"/>
    <x v="2"/>
    <x v="2"/>
    <x v="1"/>
    <x v="0"/>
    <x v="0"/>
    <x v="1"/>
    <x v="1"/>
    <n v="0"/>
    <n v="0"/>
    <n v="2.3210000000000002"/>
    <n v="2.3210000000000002"/>
    <n v="2.3210000000000002"/>
    <n v="2.3210000000000002"/>
    <n v="0"/>
    <x v="0"/>
    <n v="0"/>
    <n v="0"/>
    <n v="25"/>
    <n v="44"/>
    <n v="0"/>
    <n v="1922.56"/>
    <n v="141.32"/>
    <m/>
    <n v="1931.7033804673958"/>
    <n v="135.80626150990429"/>
    <n v="0"/>
    <n v="4462.2617600000003"/>
    <n v="328.00371999999999"/>
    <n v="0"/>
    <n v="4483.4835460648264"/>
    <n v="315.2063329644879"/>
  </r>
  <r>
    <s v="Regular"/>
    <x v="0"/>
    <x v="2"/>
    <x v="2"/>
    <x v="1"/>
    <x v="0"/>
    <x v="0"/>
    <x v="1"/>
    <x v="2"/>
    <n v="0"/>
    <n v="0"/>
    <n v="1.647"/>
    <n v="1.647"/>
    <n v="1.647"/>
    <n v="1.647"/>
    <n v="0"/>
    <x v="0"/>
    <n v="0"/>
    <n v="0"/>
    <n v="25"/>
    <n v="44"/>
    <n v="0"/>
    <n v="1922.56"/>
    <n v="141.32"/>
    <m/>
    <n v="1931.7033804673958"/>
    <n v="135.80626150990429"/>
    <n v="0"/>
    <n v="3166.4563199999998"/>
    <n v="232.75404"/>
    <n v="0"/>
    <n v="3181.5154676298012"/>
    <n v="223.67291270681235"/>
  </r>
  <r>
    <s v="Regular"/>
    <x v="0"/>
    <x v="2"/>
    <x v="2"/>
    <x v="1"/>
    <x v="0"/>
    <x v="0"/>
    <x v="1"/>
    <x v="3"/>
    <n v="0"/>
    <n v="0"/>
    <n v="1.8440000000000001"/>
    <n v="1.8440000000000001"/>
    <n v="1.8440000000000001"/>
    <n v="1.8440000000000001"/>
    <n v="0"/>
    <x v="0"/>
    <n v="0"/>
    <n v="0"/>
    <n v="25"/>
    <n v="44"/>
    <n v="0"/>
    <n v="1922.56"/>
    <n v="141.32"/>
    <m/>
    <n v="1931.7033804673958"/>
    <n v="135.80626150990429"/>
    <n v="0"/>
    <n v="3545.20064"/>
    <n v="260.59408000000002"/>
    <n v="0"/>
    <n v="3562.0610335818783"/>
    <n v="250.42674622426352"/>
  </r>
  <r>
    <s v="Regular"/>
    <x v="0"/>
    <x v="2"/>
    <x v="2"/>
    <x v="1"/>
    <x v="0"/>
    <x v="0"/>
    <x v="1"/>
    <x v="4"/>
    <n v="0"/>
    <n v="0"/>
    <n v="1.756"/>
    <n v="1.756"/>
    <n v="1.756"/>
    <n v="1.756"/>
    <n v="0"/>
    <x v="0"/>
    <n v="0"/>
    <n v="0"/>
    <n v="25"/>
    <n v="44"/>
    <n v="0"/>
    <n v="1922.56"/>
    <n v="141.32"/>
    <m/>
    <n v="1931.7033804673958"/>
    <n v="135.80626150990429"/>
    <n v="0"/>
    <n v="3376.0153599999999"/>
    <n v="248.15791999999999"/>
    <n v="0"/>
    <n v="3392.071136100747"/>
    <n v="238.47579521139193"/>
  </r>
  <r>
    <s v="Regular"/>
    <x v="0"/>
    <x v="2"/>
    <x v="2"/>
    <x v="1"/>
    <x v="0"/>
    <x v="0"/>
    <x v="1"/>
    <x v="5"/>
    <n v="0"/>
    <n v="0"/>
    <n v="1.758"/>
    <n v="1.758"/>
    <n v="1.758"/>
    <n v="1.758"/>
    <n v="0"/>
    <x v="0"/>
    <n v="0"/>
    <n v="0"/>
    <n v="25"/>
    <n v="44"/>
    <n v="0"/>
    <n v="1922.56"/>
    <n v="141.32"/>
    <m/>
    <n v="1931.7033804673958"/>
    <n v="135.80626150990429"/>
    <n v="0"/>
    <n v="3379.8604799999998"/>
    <n v="248.44055999999998"/>
    <n v="0"/>
    <n v="3395.9345428616821"/>
    <n v="238.74740773441175"/>
  </r>
  <r>
    <s v="Regular"/>
    <x v="0"/>
    <x v="2"/>
    <x v="2"/>
    <x v="1"/>
    <x v="0"/>
    <x v="0"/>
    <x v="1"/>
    <x v="6"/>
    <n v="0"/>
    <n v="0"/>
    <n v="1.974"/>
    <n v="1.974"/>
    <n v="1.974"/>
    <n v="1.974"/>
    <n v="0"/>
    <x v="0"/>
    <n v="0"/>
    <n v="0"/>
    <n v="25"/>
    <n v="44"/>
    <n v="0"/>
    <n v="1922.56"/>
    <n v="141.32"/>
    <m/>
    <n v="1931.7033804673958"/>
    <n v="135.80626150990429"/>
    <n v="0"/>
    <n v="3795.1334400000001"/>
    <n v="278.96567999999996"/>
    <n v="0"/>
    <n v="3813.1824730426392"/>
    <n v="268.08156022055107"/>
  </r>
  <r>
    <s v="Regular"/>
    <x v="0"/>
    <x v="2"/>
    <x v="2"/>
    <x v="1"/>
    <x v="0"/>
    <x v="0"/>
    <x v="1"/>
    <x v="7"/>
    <n v="0"/>
    <n v="0"/>
    <n v="1.9390000000000001"/>
    <n v="1.9390000000000001"/>
    <n v="1.9390000000000001"/>
    <n v="1.9390000000000001"/>
    <n v="0"/>
    <x v="0"/>
    <n v="0"/>
    <n v="0"/>
    <n v="25"/>
    <n v="44"/>
    <n v="0"/>
    <n v="1922.56"/>
    <n v="141.32"/>
    <m/>
    <n v="1931.7033804673958"/>
    <n v="135.80626150990429"/>
    <n v="0"/>
    <n v="3727.84384"/>
    <n v="274.01947999999999"/>
    <n v="0"/>
    <n v="3745.5728547262806"/>
    <n v="263.3283410677044"/>
  </r>
  <r>
    <s v="Regular"/>
    <x v="0"/>
    <x v="2"/>
    <x v="2"/>
    <x v="1"/>
    <x v="0"/>
    <x v="0"/>
    <x v="1"/>
    <x v="8"/>
    <n v="0"/>
    <n v="0"/>
    <n v="2.0470000000000002"/>
    <n v="2.0470000000000002"/>
    <n v="2.0470000000000002"/>
    <n v="2.0470000000000002"/>
    <n v="0"/>
    <x v="0"/>
    <n v="0"/>
    <n v="0"/>
    <n v="25"/>
    <n v="44"/>
    <n v="0"/>
    <n v="1922.56"/>
    <n v="141.32"/>
    <m/>
    <n v="1931.7033804673958"/>
    <n v="135.80626150990429"/>
    <n v="0"/>
    <n v="3935.4803200000001"/>
    <n v="289.28203999999999"/>
    <n v="0"/>
    <n v="3954.1968198167597"/>
    <n v="277.99541731077409"/>
  </r>
  <r>
    <s v="Regular"/>
    <x v="0"/>
    <x v="2"/>
    <x v="2"/>
    <x v="1"/>
    <x v="0"/>
    <x v="0"/>
    <x v="1"/>
    <x v="9"/>
    <n v="0"/>
    <n v="0"/>
    <n v="2.2669999999999999"/>
    <n v="2.2669999999999999"/>
    <n v="2.2669999999999999"/>
    <n v="2.2669999999999999"/>
    <n v="0"/>
    <x v="0"/>
    <n v="0"/>
    <n v="0"/>
    <n v="25"/>
    <n v="44"/>
    <n v="0"/>
    <n v="1922.56"/>
    <n v="141.32"/>
    <m/>
    <n v="1931.7033804673958"/>
    <n v="135.80626150990429"/>
    <n v="0"/>
    <n v="4358.4435199999998"/>
    <n v="320.37243999999998"/>
    <n v="0"/>
    <n v="4379.171563519586"/>
    <n v="307.872794842953"/>
  </r>
  <r>
    <s v="Regular"/>
    <x v="0"/>
    <x v="2"/>
    <x v="2"/>
    <x v="1"/>
    <x v="0"/>
    <x v="0"/>
    <x v="1"/>
    <x v="10"/>
    <n v="0"/>
    <n v="0"/>
    <n v="2.5880000000000001"/>
    <n v="2.5880000000000001"/>
    <n v="2.5880000000000001"/>
    <n v="2.5880000000000001"/>
    <n v="0"/>
    <x v="0"/>
    <n v="0"/>
    <n v="0"/>
    <n v="25"/>
    <n v="44"/>
    <n v="0"/>
    <n v="1922.56"/>
    <n v="141.32"/>
    <m/>
    <n v="1931.7033804673958"/>
    <n v="135.80626150990429"/>
    <n v="0"/>
    <n v="4975.5852800000002"/>
    <n v="365.73615999999998"/>
    <n v="0"/>
    <n v="4999.2483486496203"/>
    <n v="351.46660478763232"/>
  </r>
  <r>
    <s v="Regular"/>
    <x v="0"/>
    <x v="2"/>
    <x v="2"/>
    <x v="1"/>
    <x v="0"/>
    <x v="0"/>
    <x v="1"/>
    <x v="11"/>
    <n v="0"/>
    <n v="0"/>
    <n v="2.2269999999999999"/>
    <n v="2.2269999999999999"/>
    <n v="2.2269999999999999"/>
    <n v="2.2269999999999999"/>
    <n v="0"/>
    <x v="0"/>
    <n v="0"/>
    <n v="0"/>
    <n v="25"/>
    <n v="44"/>
    <n v="0"/>
    <n v="1922.56"/>
    <n v="141.32"/>
    <m/>
    <n v="1931.7033804673958"/>
    <n v="135.80626150990429"/>
    <n v="0"/>
    <n v="4281.5411199999999"/>
    <n v="314.71963999999997"/>
    <n v="0"/>
    <n v="4301.9034283008905"/>
    <n v="302.44054438255682"/>
  </r>
  <r>
    <s v="Regular"/>
    <x v="0"/>
    <x v="2"/>
    <x v="3"/>
    <x v="1"/>
    <x v="0"/>
    <x v="0"/>
    <x v="0"/>
    <x v="0"/>
    <n v="0"/>
    <n v="0"/>
    <n v="2285.2629999999999"/>
    <n v="2285.2629999999999"/>
    <n v="2285.2629999999999"/>
    <n v="2285.2629999999999"/>
    <n v="0"/>
    <x v="0"/>
    <n v="0"/>
    <n v="0"/>
    <n v="23"/>
    <n v="51"/>
    <n v="0"/>
    <n v="66.22"/>
    <n v="141.32"/>
    <m/>
    <n v="99.847749713611876"/>
    <n v="135.80626150990429"/>
    <n v="0"/>
    <n v="151330.11585999999"/>
    <n v="322953.36715999997"/>
    <n v="0"/>
    <n v="228178.36805377781"/>
    <n v="310353.02459690842"/>
  </r>
  <r>
    <s v="Sistema de Compensação"/>
    <x v="0"/>
    <x v="2"/>
    <x v="3"/>
    <x v="1"/>
    <x v="0"/>
    <x v="0"/>
    <x v="0"/>
    <x v="0"/>
    <n v="0"/>
    <n v="0"/>
    <n v="0.39"/>
    <n v="0.39"/>
    <n v="0.39"/>
    <n v="0.39"/>
    <n v="0"/>
    <x v="0"/>
    <n v="0"/>
    <n v="0"/>
    <n v="23"/>
    <n v="51"/>
    <n v="0"/>
    <n v="66.22"/>
    <n v="141.32"/>
    <m/>
    <n v="99.847749713611876"/>
    <n v="135.80626150990429"/>
    <n v="0"/>
    <n v="25.825800000000001"/>
    <n v="55.114800000000002"/>
    <n v="0"/>
    <n v="38.940622388308633"/>
    <n v="52.964441988862674"/>
  </r>
  <r>
    <s v="Regular"/>
    <x v="0"/>
    <x v="2"/>
    <x v="3"/>
    <x v="1"/>
    <x v="0"/>
    <x v="0"/>
    <x v="0"/>
    <x v="1"/>
    <n v="0"/>
    <n v="0"/>
    <n v="2156.15"/>
    <n v="2156.15"/>
    <n v="2156.15"/>
    <n v="2156.15"/>
    <n v="0"/>
    <x v="0"/>
    <n v="0"/>
    <n v="0"/>
    <n v="23"/>
    <n v="51"/>
    <n v="0"/>
    <n v="66.22"/>
    <n v="141.32"/>
    <m/>
    <n v="99.847749713611876"/>
    <n v="135.80626150990429"/>
    <n v="0"/>
    <n v="142780.253"/>
    <n v="304707.11800000002"/>
    <n v="0"/>
    <n v="215286.72554500424"/>
    <n v="292818.67075458012"/>
  </r>
  <r>
    <s v="Regular"/>
    <x v="0"/>
    <x v="2"/>
    <x v="3"/>
    <x v="1"/>
    <x v="0"/>
    <x v="0"/>
    <x v="0"/>
    <x v="2"/>
    <n v="0"/>
    <n v="0"/>
    <n v="2218.4679999999998"/>
    <n v="2218.4679999999998"/>
    <n v="2218.4679999999998"/>
    <n v="2218.4679999999998"/>
    <n v="0"/>
    <x v="0"/>
    <n v="0"/>
    <n v="0"/>
    <n v="23"/>
    <n v="51"/>
    <n v="0"/>
    <n v="66.22"/>
    <n v="141.32"/>
    <m/>
    <n v="99.847749713611876"/>
    <n v="135.80626150990429"/>
    <n v="0"/>
    <n v="146906.95095999999"/>
    <n v="313513.89775999996"/>
    <n v="0"/>
    <n v="221509.03761165708"/>
    <n v="301281.84535935434"/>
  </r>
  <r>
    <s v="Sistema de Compensação"/>
    <x v="0"/>
    <x v="2"/>
    <x v="3"/>
    <x v="1"/>
    <x v="0"/>
    <x v="0"/>
    <x v="0"/>
    <x v="2"/>
    <n v="0"/>
    <n v="0"/>
    <n v="11.406000000000001"/>
    <n v="11.406000000000001"/>
    <n v="11.406000000000001"/>
    <n v="11.406000000000001"/>
    <n v="0"/>
    <x v="0"/>
    <n v="0"/>
    <n v="0"/>
    <n v="23"/>
    <n v="51"/>
    <n v="0"/>
    <n v="66.22"/>
    <n v="141.32"/>
    <m/>
    <n v="99.847749713611876"/>
    <n v="135.80626150990429"/>
    <n v="0"/>
    <n v="755.30532000000005"/>
    <n v="1611.8959199999999"/>
    <n v="0"/>
    <n v="1138.863433233457"/>
    <n v="1549.0062187819683"/>
  </r>
  <r>
    <s v="Regular"/>
    <x v="0"/>
    <x v="2"/>
    <x v="3"/>
    <x v="1"/>
    <x v="0"/>
    <x v="0"/>
    <x v="0"/>
    <x v="3"/>
    <n v="0"/>
    <n v="0"/>
    <n v="1925.65"/>
    <n v="1925.65"/>
    <n v="1925.65"/>
    <n v="1925.65"/>
    <n v="0"/>
    <x v="0"/>
    <n v="0"/>
    <n v="0"/>
    <n v="23"/>
    <n v="51"/>
    <n v="0"/>
    <n v="66.22"/>
    <n v="141.32"/>
    <m/>
    <n v="99.847749713611876"/>
    <n v="135.80626150990429"/>
    <n v="0"/>
    <n v="127516.54300000001"/>
    <n v="272132.85800000001"/>
    <n v="0"/>
    <n v="192271.81923601672"/>
    <n v="261515.32747654722"/>
  </r>
  <r>
    <s v="Sistema de Compensação"/>
    <x v="0"/>
    <x v="2"/>
    <x v="3"/>
    <x v="1"/>
    <x v="0"/>
    <x v="0"/>
    <x v="0"/>
    <x v="3"/>
    <n v="0"/>
    <n v="0"/>
    <n v="6.08"/>
    <n v="6.08"/>
    <n v="6.08"/>
    <n v="6.08"/>
    <n v="0"/>
    <x v="0"/>
    <n v="0"/>
    <n v="0"/>
    <n v="23"/>
    <n v="51"/>
    <n v="0"/>
    <n v="66.22"/>
    <n v="141.32"/>
    <m/>
    <n v="99.847749713611876"/>
    <n v="135.80626150990429"/>
    <n v="0"/>
    <n v="402.61759999999998"/>
    <n v="859.22559999999999"/>
    <n v="0"/>
    <n v="607.07431825876017"/>
    <n v="825.70206998021808"/>
  </r>
  <r>
    <s v="Regular"/>
    <x v="0"/>
    <x v="2"/>
    <x v="3"/>
    <x v="1"/>
    <x v="0"/>
    <x v="0"/>
    <x v="0"/>
    <x v="4"/>
    <n v="0"/>
    <n v="0"/>
    <n v="2135.4859999999999"/>
    <n v="2135.4859999999999"/>
    <n v="2135.4859999999999"/>
    <n v="2135.4859999999999"/>
    <n v="0"/>
    <x v="0"/>
    <n v="0"/>
    <n v="0"/>
    <n v="23"/>
    <n v="51"/>
    <n v="0"/>
    <n v="66.22"/>
    <n v="141.32"/>
    <m/>
    <n v="99.847749713611876"/>
    <n v="135.80626150990429"/>
    <n v="0"/>
    <n v="141411.88292"/>
    <n v="301786.88152"/>
    <n v="0"/>
    <n v="213223.47164492216"/>
    <n v="290012.37016673945"/>
  </r>
  <r>
    <s v="Sistema de Compensação"/>
    <x v="0"/>
    <x v="2"/>
    <x v="3"/>
    <x v="1"/>
    <x v="0"/>
    <x v="0"/>
    <x v="0"/>
    <x v="4"/>
    <n v="0"/>
    <n v="0"/>
    <n v="9.3309999999999995"/>
    <n v="9.3309999999999995"/>
    <n v="9.3309999999999995"/>
    <n v="9.3309999999999995"/>
    <n v="0"/>
    <x v="0"/>
    <n v="0"/>
    <n v="0"/>
    <n v="23"/>
    <n v="51"/>
    <n v="0"/>
    <n v="66.22"/>
    <n v="141.32"/>
    <m/>
    <n v="99.847749713611876"/>
    <n v="135.80626150990429"/>
    <n v="0"/>
    <n v="617.89882"/>
    <n v="1318.6569199999999"/>
    <n v="0"/>
    <n v="931.67935257771239"/>
    <n v="1267.2082261489168"/>
  </r>
  <r>
    <s v="Regular"/>
    <x v="0"/>
    <x v="2"/>
    <x v="3"/>
    <x v="1"/>
    <x v="0"/>
    <x v="0"/>
    <x v="0"/>
    <x v="5"/>
    <n v="0"/>
    <n v="0"/>
    <n v="2130.1379999999999"/>
    <n v="2130.1379999999999"/>
    <n v="2130.1379999999999"/>
    <n v="2130.1379999999999"/>
    <n v="0"/>
    <x v="0"/>
    <n v="0"/>
    <n v="0"/>
    <n v="23"/>
    <n v="51"/>
    <n v="0"/>
    <n v="66.22"/>
    <n v="141.32"/>
    <m/>
    <n v="99.847749713611876"/>
    <n v="135.80626150990429"/>
    <n v="0"/>
    <n v="141057.73835999999"/>
    <n v="301031.10215999995"/>
    <n v="0"/>
    <n v="212689.48587945377"/>
    <n v="289286.07828018448"/>
  </r>
  <r>
    <s v="Regular"/>
    <x v="0"/>
    <x v="2"/>
    <x v="3"/>
    <x v="1"/>
    <x v="0"/>
    <x v="0"/>
    <x v="0"/>
    <x v="6"/>
    <n v="0"/>
    <n v="0"/>
    <n v="2388.7150000000001"/>
    <n v="2388.7150000000001"/>
    <n v="2388.7150000000001"/>
    <n v="2388.7150000000001"/>
    <n v="0"/>
    <x v="0"/>
    <n v="0"/>
    <n v="0"/>
    <n v="23"/>
    <n v="51"/>
    <n v="0"/>
    <n v="66.22"/>
    <n v="141.32"/>
    <m/>
    <n v="99.847749713611876"/>
    <n v="135.80626150990429"/>
    <n v="0"/>
    <n v="158180.70730000001"/>
    <n v="337573.20380000002"/>
    <n v="0"/>
    <n v="238507.81745715041"/>
    <n v="324402.45396263106"/>
  </r>
  <r>
    <s v="Regular"/>
    <x v="0"/>
    <x v="2"/>
    <x v="3"/>
    <x v="1"/>
    <x v="0"/>
    <x v="0"/>
    <x v="0"/>
    <x v="7"/>
    <n v="0"/>
    <n v="0"/>
    <n v="2183.6680000000001"/>
    <n v="2183.6680000000001"/>
    <n v="2183.6680000000001"/>
    <n v="2183.6680000000001"/>
    <n v="0"/>
    <x v="0"/>
    <n v="0"/>
    <n v="0"/>
    <n v="23"/>
    <n v="51"/>
    <n v="0"/>
    <n v="66.22"/>
    <n v="141.32"/>
    <m/>
    <n v="99.847749713611876"/>
    <n v="135.80626150990429"/>
    <n v="0"/>
    <n v="144602.49496000001"/>
    <n v="308595.96175999998"/>
    <n v="0"/>
    <n v="218034.33592162342"/>
    <n v="296555.78745880967"/>
  </r>
  <r>
    <s v="Sistema de Compensação"/>
    <x v="0"/>
    <x v="2"/>
    <x v="3"/>
    <x v="1"/>
    <x v="0"/>
    <x v="0"/>
    <x v="0"/>
    <x v="7"/>
    <n v="0"/>
    <n v="0"/>
    <n v="9.5489999999999995"/>
    <n v="9.5489999999999995"/>
    <n v="9.5489999999999995"/>
    <n v="9.5489999999999995"/>
    <n v="0"/>
    <x v="0"/>
    <n v="0"/>
    <n v="0"/>
    <n v="23"/>
    <n v="51"/>
    <n v="0"/>
    <n v="66.22"/>
    <n v="141.32"/>
    <m/>
    <n v="99.847749713611876"/>
    <n v="135.80626150990429"/>
    <n v="0"/>
    <n v="632.33477999999991"/>
    <n v="1349.4646799999998"/>
    <n v="0"/>
    <n v="953.4461620152797"/>
    <n v="1296.8139911580761"/>
  </r>
  <r>
    <s v="Regular"/>
    <x v="0"/>
    <x v="2"/>
    <x v="3"/>
    <x v="1"/>
    <x v="0"/>
    <x v="0"/>
    <x v="0"/>
    <x v="8"/>
    <n v="0"/>
    <n v="0"/>
    <n v="2325.7579999999998"/>
    <n v="2325.7579999999998"/>
    <n v="2325.7579999999998"/>
    <n v="2325.7579999999998"/>
    <n v="0"/>
    <x v="0"/>
    <n v="0"/>
    <n v="0"/>
    <n v="23"/>
    <n v="51"/>
    <n v="0"/>
    <n v="66.22"/>
    <n v="141.32"/>
    <m/>
    <n v="99.847749713611876"/>
    <n v="135.80626150990429"/>
    <n v="0"/>
    <n v="154011.69475999998"/>
    <n v="328676.12055999995"/>
    <n v="0"/>
    <n v="232221.70267843051"/>
    <n v="315852.49915675196"/>
  </r>
  <r>
    <s v="Sistema de Compensação"/>
    <x v="0"/>
    <x v="2"/>
    <x v="3"/>
    <x v="1"/>
    <x v="0"/>
    <x v="0"/>
    <x v="0"/>
    <x v="8"/>
    <n v="0"/>
    <n v="0"/>
    <n v="18.254999999999999"/>
    <n v="18.254999999999999"/>
    <n v="18.254999999999999"/>
    <n v="18.254999999999999"/>
    <n v="0"/>
    <x v="0"/>
    <n v="0"/>
    <n v="0"/>
    <n v="23"/>
    <n v="51"/>
    <n v="0"/>
    <n v="66.22"/>
    <n v="141.32"/>
    <m/>
    <n v="99.847749713611876"/>
    <n v="135.80626150990429"/>
    <n v="0"/>
    <n v="1208.8461"/>
    <n v="2579.7965999999997"/>
    <n v="0"/>
    <n v="1822.7206710219848"/>
    <n v="2479.1433038633027"/>
  </r>
  <r>
    <s v="Regular"/>
    <x v="0"/>
    <x v="2"/>
    <x v="3"/>
    <x v="1"/>
    <x v="0"/>
    <x v="0"/>
    <x v="0"/>
    <x v="9"/>
    <n v="0"/>
    <n v="0"/>
    <n v="2333.8119999999999"/>
    <n v="2333.8119999999999"/>
    <n v="2333.8119999999999"/>
    <n v="2333.8119999999999"/>
    <n v="0"/>
    <x v="0"/>
    <n v="0"/>
    <n v="0"/>
    <n v="23"/>
    <n v="51"/>
    <n v="0"/>
    <n v="66.22"/>
    <n v="141.32"/>
    <m/>
    <n v="99.847749713611876"/>
    <n v="135.80626150990429"/>
    <n v="0"/>
    <n v="154545.03063999998"/>
    <n v="329814.31183999998"/>
    <n v="0"/>
    <n v="233025.87645462394"/>
    <n v="316946.28278695274"/>
  </r>
  <r>
    <s v="Sistema de Compensação"/>
    <x v="0"/>
    <x v="2"/>
    <x v="3"/>
    <x v="1"/>
    <x v="0"/>
    <x v="0"/>
    <x v="0"/>
    <x v="9"/>
    <n v="0"/>
    <n v="0"/>
    <n v="21.763999999999999"/>
    <n v="21.763999999999999"/>
    <n v="21.763999999999999"/>
    <n v="21.763999999999999"/>
    <n v="0"/>
    <x v="0"/>
    <n v="0"/>
    <n v="0"/>
    <n v="23"/>
    <n v="51"/>
    <n v="0"/>
    <n v="66.22"/>
    <n v="141.32"/>
    <m/>
    <n v="99.847749713611876"/>
    <n v="135.80626150990429"/>
    <n v="0"/>
    <n v="1441.21208"/>
    <n v="3075.6884799999998"/>
    <n v="0"/>
    <n v="2173.0864247670488"/>
    <n v="2955.6874755015569"/>
  </r>
  <r>
    <s v="Regular"/>
    <x v="0"/>
    <x v="2"/>
    <x v="3"/>
    <x v="1"/>
    <x v="0"/>
    <x v="0"/>
    <x v="0"/>
    <x v="10"/>
    <n v="0"/>
    <n v="0"/>
    <n v="2324.8240000000001"/>
    <n v="2324.8240000000001"/>
    <n v="2324.8240000000001"/>
    <n v="2324.8240000000001"/>
    <n v="0"/>
    <x v="0"/>
    <n v="0"/>
    <n v="0"/>
    <n v="23"/>
    <n v="51"/>
    <n v="0"/>
    <n v="66.22"/>
    <n v="141.32"/>
    <m/>
    <n v="99.847749713611876"/>
    <n v="135.80626150990429"/>
    <n v="0"/>
    <n v="153949.84528000001"/>
    <n v="328544.12767999998"/>
    <n v="0"/>
    <n v="232128.44488019802"/>
    <n v="315725.65610850172"/>
  </r>
  <r>
    <s v="Regular"/>
    <x v="0"/>
    <x v="2"/>
    <x v="3"/>
    <x v="1"/>
    <x v="0"/>
    <x v="0"/>
    <x v="0"/>
    <x v="11"/>
    <n v="0"/>
    <n v="0"/>
    <n v="2422.6669999999999"/>
    <n v="2422.6669999999999"/>
    <n v="2422.6669999999999"/>
    <n v="2422.6669999999999"/>
    <n v="0"/>
    <x v="0"/>
    <n v="0"/>
    <n v="0"/>
    <n v="23"/>
    <n v="51"/>
    <n v="0"/>
    <n v="66.22"/>
    <n v="141.32"/>
    <m/>
    <n v="99.847749713611876"/>
    <n v="135.80626150990429"/>
    <n v="0"/>
    <n v="160429.00873999999"/>
    <n v="342371.30043999996"/>
    <n v="0"/>
    <n v="241897.84825542694"/>
    <n v="329013.34815341531"/>
  </r>
  <r>
    <s v="Sistema de Compensação"/>
    <x v="0"/>
    <x v="2"/>
    <x v="3"/>
    <x v="1"/>
    <x v="0"/>
    <x v="0"/>
    <x v="0"/>
    <x v="11"/>
    <n v="0"/>
    <n v="0"/>
    <n v="16.36"/>
    <n v="16.36"/>
    <n v="16.36"/>
    <n v="16.36"/>
    <n v="0"/>
    <x v="0"/>
    <n v="0"/>
    <n v="0"/>
    <n v="23"/>
    <n v="51"/>
    <n v="0"/>
    <n v="66.22"/>
    <n v="141.32"/>
    <m/>
    <n v="99.847749713611876"/>
    <n v="135.80626150990429"/>
    <n v="0"/>
    <n v="1083.3591999999999"/>
    <n v="2311.9951999999998"/>
    <n v="0"/>
    <n v="1633.5091853146903"/>
    <n v="2221.7904383020341"/>
  </r>
  <r>
    <s v="Regular"/>
    <x v="0"/>
    <x v="2"/>
    <x v="3"/>
    <x v="1"/>
    <x v="0"/>
    <x v="0"/>
    <x v="2"/>
    <x v="0"/>
    <n v="9810"/>
    <n v="9810"/>
    <n v="0"/>
    <n v="0"/>
    <n v="0"/>
    <n v="0"/>
    <n v="32"/>
    <x v="0"/>
    <n v="0"/>
    <n v="16"/>
    <n v="0"/>
    <n v="0"/>
    <n v="25.66"/>
    <n v="0"/>
    <n v="0"/>
    <n v="25.189608465764316"/>
    <m/>
    <m/>
    <n v="251724.6"/>
    <n v="0"/>
    <n v="0"/>
    <n v="247110.05904914794"/>
    <n v="0"/>
    <n v="0"/>
  </r>
  <r>
    <s v="Sistema de Compensação"/>
    <x v="0"/>
    <x v="2"/>
    <x v="3"/>
    <x v="1"/>
    <x v="0"/>
    <x v="0"/>
    <x v="2"/>
    <x v="0"/>
    <n v="190"/>
    <n v="190"/>
    <n v="0"/>
    <n v="0"/>
    <n v="0"/>
    <n v="0"/>
    <n v="1"/>
    <x v="0"/>
    <n v="0"/>
    <n v="16"/>
    <n v="0"/>
    <n v="0"/>
    <n v="25.66"/>
    <n v="0"/>
    <n v="0"/>
    <n v="25.189608465764316"/>
    <m/>
    <m/>
    <n v="4875.3999999999996"/>
    <n v="0"/>
    <n v="0"/>
    <n v="4786.0256084952198"/>
    <n v="0"/>
    <n v="0"/>
  </r>
  <r>
    <s v="Regular"/>
    <x v="0"/>
    <x v="2"/>
    <x v="3"/>
    <x v="1"/>
    <x v="0"/>
    <x v="0"/>
    <x v="2"/>
    <x v="1"/>
    <n v="9913"/>
    <n v="9913"/>
    <n v="0"/>
    <n v="0"/>
    <n v="0"/>
    <n v="0"/>
    <n v="32"/>
    <x v="0"/>
    <n v="0"/>
    <n v="16"/>
    <n v="0"/>
    <n v="0"/>
    <n v="25.66"/>
    <n v="0"/>
    <n v="0"/>
    <n v="25.189608465764316"/>
    <m/>
    <m/>
    <n v="254367.58"/>
    <n v="0"/>
    <n v="0"/>
    <n v="249704.58872112166"/>
    <n v="0"/>
    <n v="0"/>
  </r>
  <r>
    <s v="Sistema de Compensação"/>
    <x v="0"/>
    <x v="2"/>
    <x v="3"/>
    <x v="1"/>
    <x v="0"/>
    <x v="0"/>
    <x v="2"/>
    <x v="1"/>
    <n v="192"/>
    <n v="192"/>
    <n v="0"/>
    <n v="0"/>
    <n v="0"/>
    <n v="0"/>
    <n v="1"/>
    <x v="0"/>
    <n v="0"/>
    <n v="16"/>
    <n v="0"/>
    <n v="0"/>
    <n v="25.66"/>
    <n v="0"/>
    <n v="0"/>
    <n v="25.189608465764316"/>
    <m/>
    <m/>
    <n v="4926.72"/>
    <n v="0"/>
    <n v="0"/>
    <n v="4836.4048254267491"/>
    <n v="0"/>
    <n v="0"/>
  </r>
  <r>
    <s v="Regular"/>
    <x v="0"/>
    <x v="2"/>
    <x v="3"/>
    <x v="1"/>
    <x v="0"/>
    <x v="0"/>
    <x v="2"/>
    <x v="2"/>
    <n v="9750"/>
    <n v="9750"/>
    <n v="0"/>
    <n v="0"/>
    <n v="0"/>
    <n v="0"/>
    <n v="31"/>
    <x v="0"/>
    <n v="0"/>
    <n v="16"/>
    <n v="0"/>
    <n v="0"/>
    <n v="25.66"/>
    <n v="0"/>
    <n v="0"/>
    <n v="25.189608465764316"/>
    <m/>
    <m/>
    <n v="250185"/>
    <n v="0"/>
    <n v="0"/>
    <n v="245598.68254120208"/>
    <n v="0"/>
    <n v="0"/>
  </r>
  <r>
    <s v="Sistema de Compensação"/>
    <x v="0"/>
    <x v="2"/>
    <x v="3"/>
    <x v="1"/>
    <x v="0"/>
    <x v="0"/>
    <x v="2"/>
    <x v="2"/>
    <n v="397"/>
    <n v="397"/>
    <n v="0"/>
    <n v="0"/>
    <n v="0"/>
    <n v="0"/>
    <n v="2"/>
    <x v="0"/>
    <n v="0"/>
    <n v="16"/>
    <n v="0"/>
    <n v="0"/>
    <n v="25.66"/>
    <n v="0"/>
    <n v="0"/>
    <n v="25.189608465764316"/>
    <m/>
    <m/>
    <n v="10187.02"/>
    <n v="0"/>
    <n v="0"/>
    <n v="10000.274560908434"/>
    <n v="0"/>
    <n v="0"/>
  </r>
  <r>
    <s v="Regular"/>
    <x v="0"/>
    <x v="2"/>
    <x v="3"/>
    <x v="1"/>
    <x v="0"/>
    <x v="0"/>
    <x v="2"/>
    <x v="3"/>
    <n v="9709"/>
    <n v="9709"/>
    <n v="0"/>
    <n v="0"/>
    <n v="0"/>
    <n v="0"/>
    <n v="31"/>
    <x v="0"/>
    <n v="0"/>
    <n v="16"/>
    <n v="0"/>
    <n v="0"/>
    <n v="25.66"/>
    <n v="0"/>
    <n v="0"/>
    <n v="25.189608465764316"/>
    <m/>
    <m/>
    <n v="249132.94"/>
    <n v="0"/>
    <n v="0"/>
    <n v="244565.90859410574"/>
    <n v="0"/>
    <n v="0"/>
  </r>
  <r>
    <s v="Sistema de Compensação"/>
    <x v="0"/>
    <x v="2"/>
    <x v="3"/>
    <x v="1"/>
    <x v="0"/>
    <x v="0"/>
    <x v="2"/>
    <x v="3"/>
    <n v="440"/>
    <n v="440"/>
    <n v="0"/>
    <n v="0"/>
    <n v="0"/>
    <n v="0"/>
    <n v="2"/>
    <x v="0"/>
    <n v="0"/>
    <n v="16"/>
    <n v="0"/>
    <n v="0"/>
    <n v="25.66"/>
    <n v="0"/>
    <n v="0"/>
    <n v="25.189608465764316"/>
    <m/>
    <m/>
    <n v="11290.4"/>
    <n v="0"/>
    <n v="0"/>
    <n v="11083.427724936299"/>
    <n v="0"/>
    <n v="0"/>
  </r>
  <r>
    <s v="Regular"/>
    <x v="0"/>
    <x v="2"/>
    <x v="3"/>
    <x v="1"/>
    <x v="0"/>
    <x v="0"/>
    <x v="2"/>
    <x v="4"/>
    <n v="10715"/>
    <n v="10715"/>
    <n v="0"/>
    <n v="0"/>
    <n v="0"/>
    <n v="0"/>
    <n v="31"/>
    <x v="0"/>
    <n v="0"/>
    <n v="16"/>
    <n v="0"/>
    <n v="0"/>
    <n v="25.66"/>
    <n v="0"/>
    <n v="0"/>
    <n v="25.189608465764316"/>
    <m/>
    <m/>
    <n v="274946.90000000002"/>
    <n v="0"/>
    <n v="0"/>
    <n v="269906.65471066465"/>
    <n v="0"/>
    <n v="0"/>
  </r>
  <r>
    <s v="Sistema de Compensação"/>
    <x v="0"/>
    <x v="2"/>
    <x v="3"/>
    <x v="1"/>
    <x v="0"/>
    <x v="0"/>
    <x v="2"/>
    <x v="4"/>
    <n v="440"/>
    <n v="440"/>
    <n v="0"/>
    <n v="0"/>
    <n v="0"/>
    <n v="0"/>
    <n v="2"/>
    <x v="0"/>
    <n v="0"/>
    <n v="16"/>
    <n v="0"/>
    <n v="0"/>
    <n v="25.66"/>
    <n v="0"/>
    <n v="0"/>
    <n v="25.189608465764316"/>
    <m/>
    <m/>
    <n v="11290.4"/>
    <n v="0"/>
    <n v="0"/>
    <n v="11083.427724936299"/>
    <n v="0"/>
    <n v="0"/>
  </r>
  <r>
    <s v="Regular"/>
    <x v="0"/>
    <x v="2"/>
    <x v="3"/>
    <x v="1"/>
    <x v="0"/>
    <x v="0"/>
    <x v="2"/>
    <x v="5"/>
    <n v="10888"/>
    <n v="10888"/>
    <n v="0"/>
    <n v="0"/>
    <n v="0"/>
    <n v="0"/>
    <n v="31"/>
    <x v="0"/>
    <n v="0"/>
    <n v="16"/>
    <n v="0"/>
    <n v="0"/>
    <n v="25.66"/>
    <n v="0"/>
    <n v="0"/>
    <n v="25.189608465764316"/>
    <m/>
    <m/>
    <n v="279386.08"/>
    <n v="0"/>
    <n v="0"/>
    <n v="274264.45697524189"/>
    <n v="0"/>
    <n v="0"/>
  </r>
  <r>
    <s v="Sistema de Compensação"/>
    <x v="0"/>
    <x v="2"/>
    <x v="3"/>
    <x v="1"/>
    <x v="0"/>
    <x v="0"/>
    <x v="2"/>
    <x v="5"/>
    <n v="454"/>
    <n v="454"/>
    <n v="0"/>
    <n v="0"/>
    <n v="0"/>
    <n v="0"/>
    <n v="2"/>
    <x v="0"/>
    <n v="0"/>
    <n v="16"/>
    <n v="0"/>
    <n v="0"/>
    <n v="25.66"/>
    <n v="0"/>
    <n v="0"/>
    <n v="25.189608465764316"/>
    <m/>
    <m/>
    <n v="11649.64"/>
    <n v="0"/>
    <n v="0"/>
    <n v="11436.082243457"/>
    <n v="0"/>
    <n v="0"/>
  </r>
  <r>
    <s v="Regular"/>
    <x v="0"/>
    <x v="2"/>
    <x v="3"/>
    <x v="1"/>
    <x v="0"/>
    <x v="0"/>
    <x v="2"/>
    <x v="6"/>
    <n v="10757"/>
    <n v="10757"/>
    <n v="0"/>
    <n v="0"/>
    <n v="0"/>
    <n v="0"/>
    <n v="30"/>
    <x v="0"/>
    <n v="0"/>
    <n v="16"/>
    <n v="0"/>
    <n v="0"/>
    <n v="25.66"/>
    <n v="0"/>
    <n v="0"/>
    <n v="25.189608465764316"/>
    <m/>
    <m/>
    <n v="276024.62"/>
    <n v="0"/>
    <n v="0"/>
    <n v="270964.61826622672"/>
    <n v="0"/>
    <n v="0"/>
  </r>
  <r>
    <s v="Sistema de Compensação"/>
    <x v="0"/>
    <x v="2"/>
    <x v="3"/>
    <x v="1"/>
    <x v="0"/>
    <x v="0"/>
    <x v="2"/>
    <x v="6"/>
    <n v="446"/>
    <n v="446"/>
    <n v="0"/>
    <n v="0"/>
    <n v="0"/>
    <n v="0"/>
    <n v="2"/>
    <x v="0"/>
    <n v="0"/>
    <n v="16"/>
    <n v="0"/>
    <n v="0"/>
    <n v="25.66"/>
    <n v="0"/>
    <n v="0"/>
    <n v="25.189608465764316"/>
    <m/>
    <m/>
    <n v="11444.36"/>
    <n v="0"/>
    <n v="0"/>
    <n v="11234.565375730885"/>
    <n v="0"/>
    <n v="0"/>
  </r>
  <r>
    <s v="Regular"/>
    <x v="0"/>
    <x v="2"/>
    <x v="3"/>
    <x v="1"/>
    <x v="0"/>
    <x v="0"/>
    <x v="2"/>
    <x v="7"/>
    <n v="10877"/>
    <n v="10877"/>
    <n v="0"/>
    <n v="0"/>
    <n v="0"/>
    <n v="0"/>
    <n v="30"/>
    <x v="0"/>
    <n v="0"/>
    <n v="16"/>
    <n v="0"/>
    <n v="0"/>
    <n v="25.66"/>
    <n v="0"/>
    <n v="0"/>
    <n v="25.189608465764316"/>
    <m/>
    <m/>
    <n v="279103.82"/>
    <n v="0"/>
    <n v="0"/>
    <n v="273987.37128211849"/>
    <n v="0"/>
    <n v="0"/>
  </r>
  <r>
    <s v="Sistema de Compensação"/>
    <x v="0"/>
    <x v="2"/>
    <x v="3"/>
    <x v="1"/>
    <x v="0"/>
    <x v="0"/>
    <x v="2"/>
    <x v="7"/>
    <n v="481"/>
    <n v="481"/>
    <n v="0"/>
    <n v="0"/>
    <n v="0"/>
    <n v="0"/>
    <n v="2"/>
    <x v="0"/>
    <n v="0"/>
    <n v="16"/>
    <n v="0"/>
    <n v="0"/>
    <n v="25.66"/>
    <n v="0"/>
    <n v="0"/>
    <n v="25.189608465764316"/>
    <m/>
    <m/>
    <n v="12342.460000000001"/>
    <n v="0"/>
    <n v="0"/>
    <n v="12116.201672032636"/>
    <n v="0"/>
    <n v="0"/>
  </r>
  <r>
    <s v="Regular"/>
    <x v="0"/>
    <x v="2"/>
    <x v="3"/>
    <x v="1"/>
    <x v="0"/>
    <x v="0"/>
    <x v="2"/>
    <x v="8"/>
    <n v="10896"/>
    <n v="10896"/>
    <n v="0"/>
    <n v="0"/>
    <n v="0"/>
    <n v="0"/>
    <n v="30"/>
    <x v="0"/>
    <n v="0"/>
    <n v="16"/>
    <n v="0"/>
    <n v="0"/>
    <n v="25.66"/>
    <n v="0"/>
    <n v="0"/>
    <n v="25.189608465764316"/>
    <m/>
    <m/>
    <n v="279591.36"/>
    <n v="0"/>
    <n v="0"/>
    <n v="274465.973842968"/>
    <n v="0"/>
    <n v="0"/>
  </r>
  <r>
    <s v="Sistema de Compensação"/>
    <x v="0"/>
    <x v="2"/>
    <x v="3"/>
    <x v="1"/>
    <x v="0"/>
    <x v="0"/>
    <x v="2"/>
    <x v="8"/>
    <n v="470"/>
    <n v="470"/>
    <n v="0"/>
    <n v="0"/>
    <n v="0"/>
    <n v="0"/>
    <n v="2"/>
    <x v="0"/>
    <n v="0"/>
    <n v="16"/>
    <n v="0"/>
    <n v="0"/>
    <n v="25.66"/>
    <n v="0"/>
    <n v="0"/>
    <n v="25.189608465764316"/>
    <m/>
    <m/>
    <n v="12060.2"/>
    <n v="0"/>
    <n v="0"/>
    <n v="11839.115978909229"/>
    <n v="0"/>
    <n v="0"/>
  </r>
  <r>
    <s v="Regular"/>
    <x v="0"/>
    <x v="2"/>
    <x v="3"/>
    <x v="1"/>
    <x v="0"/>
    <x v="0"/>
    <x v="2"/>
    <x v="9"/>
    <n v="10878"/>
    <n v="10878"/>
    <n v="0"/>
    <n v="0"/>
    <n v="0"/>
    <n v="0"/>
    <n v="30"/>
    <x v="0"/>
    <n v="0"/>
    <n v="16"/>
    <n v="0"/>
    <n v="0"/>
    <n v="25.66"/>
    <n v="0"/>
    <n v="0"/>
    <n v="25.189608465764316"/>
    <m/>
    <m/>
    <n v="279129.48"/>
    <n v="0"/>
    <n v="0"/>
    <n v="274012.56089058425"/>
    <n v="0"/>
    <n v="0"/>
  </r>
  <r>
    <s v="Sistema de Compensação"/>
    <x v="0"/>
    <x v="2"/>
    <x v="3"/>
    <x v="1"/>
    <x v="0"/>
    <x v="0"/>
    <x v="2"/>
    <x v="9"/>
    <n v="440"/>
    <n v="440"/>
    <n v="0"/>
    <n v="0"/>
    <n v="0"/>
    <n v="0"/>
    <n v="2"/>
    <x v="0"/>
    <n v="0"/>
    <n v="16"/>
    <n v="0"/>
    <n v="0"/>
    <n v="25.66"/>
    <n v="0"/>
    <n v="0"/>
    <n v="25.189608465764316"/>
    <m/>
    <m/>
    <n v="11290.4"/>
    <n v="0"/>
    <n v="0"/>
    <n v="11083.427724936299"/>
    <n v="0"/>
    <n v="0"/>
  </r>
  <r>
    <s v="Regular"/>
    <x v="0"/>
    <x v="2"/>
    <x v="3"/>
    <x v="1"/>
    <x v="0"/>
    <x v="0"/>
    <x v="2"/>
    <x v="10"/>
    <n v="10786"/>
    <n v="10786"/>
    <n v="0"/>
    <n v="0"/>
    <n v="0"/>
    <n v="0"/>
    <n v="30"/>
    <x v="0"/>
    <n v="0"/>
    <n v="16"/>
    <n v="0"/>
    <n v="0"/>
    <n v="25.66"/>
    <n v="0"/>
    <n v="0"/>
    <n v="25.189608465764316"/>
    <m/>
    <m/>
    <n v="276768.76"/>
    <n v="0"/>
    <n v="0"/>
    <n v="271695.11691173393"/>
    <n v="0"/>
    <n v="0"/>
  </r>
  <r>
    <s v="Sistema de Compensação"/>
    <x v="0"/>
    <x v="2"/>
    <x v="3"/>
    <x v="1"/>
    <x v="0"/>
    <x v="0"/>
    <x v="2"/>
    <x v="10"/>
    <n v="450"/>
    <n v="450"/>
    <n v="0"/>
    <n v="0"/>
    <n v="0"/>
    <n v="0"/>
    <n v="2"/>
    <x v="0"/>
    <n v="0"/>
    <n v="16"/>
    <n v="0"/>
    <n v="0"/>
    <n v="25.66"/>
    <n v="0"/>
    <n v="0"/>
    <n v="25.189608465764316"/>
    <m/>
    <m/>
    <n v="11547"/>
    <n v="0"/>
    <n v="0"/>
    <n v="11335.323809593941"/>
    <n v="0"/>
    <n v="0"/>
  </r>
  <r>
    <s v="Regular"/>
    <x v="0"/>
    <x v="2"/>
    <x v="3"/>
    <x v="1"/>
    <x v="0"/>
    <x v="0"/>
    <x v="2"/>
    <x v="11"/>
    <n v="10756"/>
    <n v="10756"/>
    <n v="0"/>
    <n v="0"/>
    <n v="0"/>
    <n v="0"/>
    <n v="29"/>
    <x v="0"/>
    <n v="0"/>
    <n v="16"/>
    <n v="0"/>
    <n v="0"/>
    <n v="25.66"/>
    <n v="0"/>
    <n v="0"/>
    <n v="25.189608465764316"/>
    <m/>
    <m/>
    <n v="275998.96000000002"/>
    <n v="0"/>
    <n v="0"/>
    <n v="270939.42865776096"/>
    <n v="0"/>
    <n v="0"/>
  </r>
  <r>
    <s v="Sistema de Compensação"/>
    <x v="0"/>
    <x v="2"/>
    <x v="3"/>
    <x v="1"/>
    <x v="0"/>
    <x v="0"/>
    <x v="2"/>
    <x v="11"/>
    <n v="578"/>
    <n v="578"/>
    <n v="0"/>
    <n v="0"/>
    <n v="0"/>
    <n v="0"/>
    <n v="3"/>
    <x v="0"/>
    <n v="0"/>
    <n v="16"/>
    <n v="0"/>
    <n v="0"/>
    <n v="25.66"/>
    <n v="0"/>
    <n v="0"/>
    <n v="25.189608465764316"/>
    <m/>
    <m/>
    <n v="14831.48"/>
    <n v="0"/>
    <n v="0"/>
    <n v="14559.593693211775"/>
    <n v="0"/>
    <n v="0"/>
  </r>
  <r>
    <s v="Regular"/>
    <x v="0"/>
    <x v="2"/>
    <x v="3"/>
    <x v="1"/>
    <x v="0"/>
    <x v="0"/>
    <x v="1"/>
    <x v="0"/>
    <n v="0"/>
    <n v="0"/>
    <n v="52.817999999999998"/>
    <n v="52.817999999999998"/>
    <n v="52.817999999999998"/>
    <n v="52.817999999999998"/>
    <n v="0"/>
    <x v="0"/>
    <n v="0"/>
    <n v="0"/>
    <n v="25"/>
    <n v="44"/>
    <n v="0"/>
    <n v="1922.56"/>
    <n v="141.32"/>
    <m/>
    <n v="1931.7033804673958"/>
    <n v="135.80626150990429"/>
    <n v="0"/>
    <n v="101545.77407999999"/>
    <n v="7464.2397599999995"/>
    <n v="0"/>
    <n v="102028.70914952691"/>
    <n v="7173.0151204301246"/>
  </r>
  <r>
    <s v="Sistema de Compensação"/>
    <x v="0"/>
    <x v="2"/>
    <x v="3"/>
    <x v="1"/>
    <x v="0"/>
    <x v="0"/>
    <x v="1"/>
    <x v="0"/>
    <n v="0"/>
    <n v="0"/>
    <n v="0.89500000000000002"/>
    <n v="0.89500000000000002"/>
    <n v="0.89500000000000002"/>
    <n v="0.89500000000000002"/>
    <n v="0"/>
    <x v="0"/>
    <n v="0"/>
    <n v="0"/>
    <n v="25"/>
    <n v="44"/>
    <n v="0"/>
    <n v="1922.56"/>
    <n v="141.32"/>
    <m/>
    <n v="1931.7033804673958"/>
    <n v="135.80626150990429"/>
    <n v="0"/>
    <n v="1720.6912"/>
    <n v="126.48139999999999"/>
    <n v="0"/>
    <n v="1728.8745255183194"/>
    <n v="121.54660405136434"/>
  </r>
  <r>
    <s v="Regular"/>
    <x v="0"/>
    <x v="2"/>
    <x v="3"/>
    <x v="1"/>
    <x v="0"/>
    <x v="0"/>
    <x v="1"/>
    <x v="1"/>
    <n v="0"/>
    <n v="0"/>
    <n v="58.448999999999998"/>
    <n v="58.448999999999998"/>
    <n v="58.448999999999998"/>
    <n v="58.448999999999998"/>
    <n v="0"/>
    <x v="0"/>
    <n v="0"/>
    <n v="0"/>
    <n v="25"/>
    <n v="44"/>
    <n v="0"/>
    <n v="1922.56"/>
    <n v="141.32"/>
    <m/>
    <n v="1931.7033804673958"/>
    <n v="135.80626150990429"/>
    <n v="0"/>
    <n v="112371.70943999999"/>
    <n v="8260.0126799999998"/>
    <n v="0"/>
    <n v="112906.13088493882"/>
    <n v="7937.7401789923952"/>
  </r>
  <r>
    <s v="Regular"/>
    <x v="0"/>
    <x v="2"/>
    <x v="3"/>
    <x v="1"/>
    <x v="0"/>
    <x v="0"/>
    <x v="1"/>
    <x v="2"/>
    <n v="0"/>
    <n v="0"/>
    <n v="54.72"/>
    <n v="54.72"/>
    <n v="54.72"/>
    <n v="54.72"/>
    <n v="0"/>
    <x v="0"/>
    <n v="0"/>
    <n v="0"/>
    <n v="25"/>
    <n v="44"/>
    <n v="0"/>
    <n v="1922.56"/>
    <n v="141.32"/>
    <m/>
    <n v="1931.7033804673958"/>
    <n v="135.80626150990429"/>
    <n v="0"/>
    <n v="105202.48319999999"/>
    <n v="7733.0303999999996"/>
    <n v="0"/>
    <n v="105702.8089791759"/>
    <n v="7431.3186298219625"/>
  </r>
  <r>
    <s v="Sistema de Compensação"/>
    <x v="0"/>
    <x v="2"/>
    <x v="3"/>
    <x v="1"/>
    <x v="0"/>
    <x v="0"/>
    <x v="1"/>
    <x v="2"/>
    <n v="0"/>
    <n v="0"/>
    <n v="0.21299999999999999"/>
    <n v="0.21299999999999999"/>
    <n v="0.21299999999999999"/>
    <n v="0.21299999999999999"/>
    <n v="0"/>
    <x v="0"/>
    <n v="0"/>
    <n v="0"/>
    <n v="25"/>
    <n v="44"/>
    <n v="0"/>
    <n v="1922.56"/>
    <n v="141.32"/>
    <m/>
    <n v="1931.7033804673958"/>
    <n v="135.80626150990429"/>
    <n v="0"/>
    <n v="409.50527999999997"/>
    <n v="30.101159999999997"/>
    <n v="0"/>
    <n v="411.45282003955532"/>
    <n v="28.926733701609614"/>
  </r>
  <r>
    <s v="Regular"/>
    <x v="0"/>
    <x v="2"/>
    <x v="3"/>
    <x v="1"/>
    <x v="0"/>
    <x v="0"/>
    <x v="1"/>
    <x v="3"/>
    <n v="0"/>
    <n v="0"/>
    <n v="64.216999999999999"/>
    <n v="64.216999999999999"/>
    <n v="64.216999999999999"/>
    <n v="64.216999999999999"/>
    <n v="0"/>
    <x v="0"/>
    <n v="0"/>
    <n v="0"/>
    <n v="25"/>
    <n v="44"/>
    <n v="0"/>
    <n v="1922.56"/>
    <n v="141.32"/>
    <m/>
    <n v="1931.7033804673958"/>
    <n v="135.80626150990429"/>
    <n v="0"/>
    <n v="123461.03551999999"/>
    <n v="9075.1464399999986"/>
    <n v="0"/>
    <n v="124048.19598347475"/>
    <n v="8721.0706953815243"/>
  </r>
  <r>
    <s v="Sistema de Compensação"/>
    <x v="0"/>
    <x v="2"/>
    <x v="3"/>
    <x v="1"/>
    <x v="0"/>
    <x v="0"/>
    <x v="1"/>
    <x v="3"/>
    <n v="0"/>
    <n v="0"/>
    <n v="0.17199999999999999"/>
    <n v="0.17199999999999999"/>
    <n v="0.17199999999999999"/>
    <n v="0.17199999999999999"/>
    <n v="0"/>
    <x v="0"/>
    <n v="0"/>
    <n v="0"/>
    <n v="25"/>
    <n v="44"/>
    <n v="0"/>
    <n v="1922.56"/>
    <n v="141.32"/>
    <m/>
    <n v="1931.7033804673958"/>
    <n v="135.80626150990429"/>
    <n v="0"/>
    <n v="330.68031999999994"/>
    <n v="24.307039999999997"/>
    <n v="0"/>
    <n v="332.25298144039203"/>
    <n v="23.358676979703535"/>
  </r>
  <r>
    <s v="Regular"/>
    <x v="0"/>
    <x v="2"/>
    <x v="3"/>
    <x v="1"/>
    <x v="0"/>
    <x v="0"/>
    <x v="1"/>
    <x v="4"/>
    <n v="0"/>
    <n v="0"/>
    <n v="68.721000000000004"/>
    <n v="68.721000000000004"/>
    <n v="68.721000000000004"/>
    <n v="68.721000000000004"/>
    <n v="0"/>
    <x v="0"/>
    <n v="0"/>
    <n v="0"/>
    <n v="25"/>
    <n v="44"/>
    <n v="0"/>
    <n v="1922.56"/>
    <n v="141.32"/>
    <m/>
    <n v="1931.7033804673958"/>
    <n v="135.80626150990429"/>
    <n v="0"/>
    <n v="132120.24575999999"/>
    <n v="9711.6517199999998"/>
    <n v="0"/>
    <n v="132748.58800909991"/>
    <n v="9332.7420972221335"/>
  </r>
  <r>
    <s v="Sistema de Compensação"/>
    <x v="0"/>
    <x v="2"/>
    <x v="3"/>
    <x v="1"/>
    <x v="0"/>
    <x v="0"/>
    <x v="1"/>
    <x v="4"/>
    <n v="0"/>
    <n v="0"/>
    <n v="0.183"/>
    <n v="0.183"/>
    <n v="0.183"/>
    <n v="0.183"/>
    <n v="0"/>
    <x v="0"/>
    <n v="0"/>
    <n v="0"/>
    <n v="25"/>
    <n v="44"/>
    <n v="0"/>
    <n v="1922.56"/>
    <n v="141.32"/>
    <m/>
    <n v="1931.7033804673958"/>
    <n v="135.80626150990429"/>
    <n v="0"/>
    <n v="351.82847999999996"/>
    <n v="25.861559999999997"/>
    <n v="0"/>
    <n v="353.50171862553344"/>
    <n v="24.852545856312485"/>
  </r>
  <r>
    <s v="Regular"/>
    <x v="0"/>
    <x v="2"/>
    <x v="3"/>
    <x v="1"/>
    <x v="0"/>
    <x v="0"/>
    <x v="1"/>
    <x v="5"/>
    <n v="0"/>
    <n v="0"/>
    <n v="51.87"/>
    <n v="51.87"/>
    <n v="51.87"/>
    <n v="51.87"/>
    <n v="0"/>
    <x v="0"/>
    <n v="0"/>
    <n v="0"/>
    <n v="25"/>
    <n v="44"/>
    <n v="0"/>
    <n v="1922.56"/>
    <n v="141.32"/>
    <m/>
    <n v="1931.7033804673958"/>
    <n v="135.80626150990429"/>
    <n v="0"/>
    <n v="99723.187199999986"/>
    <n v="7330.268399999999"/>
    <n v="0"/>
    <n v="100197.45434484382"/>
    <n v="7044.2707845187351"/>
  </r>
  <r>
    <s v="Regular"/>
    <x v="0"/>
    <x v="2"/>
    <x v="3"/>
    <x v="1"/>
    <x v="0"/>
    <x v="0"/>
    <x v="1"/>
    <x v="6"/>
    <n v="0"/>
    <n v="0"/>
    <n v="60.518000000000001"/>
    <n v="60.518000000000001"/>
    <n v="60.518000000000001"/>
    <n v="60.518000000000001"/>
    <n v="0"/>
    <x v="0"/>
    <n v="0"/>
    <n v="0"/>
    <n v="25"/>
    <n v="44"/>
    <n v="0"/>
    <n v="1922.56"/>
    <n v="141.32"/>
    <m/>
    <n v="1931.7033804673958"/>
    <n v="135.80626150990429"/>
    <n v="0"/>
    <n v="116349.48608"/>
    <n v="8552.4037599999992"/>
    <n v="0"/>
    <n v="116902.82517912587"/>
    <n v="8218.7233340563871"/>
  </r>
  <r>
    <s v="Regular"/>
    <x v="0"/>
    <x v="2"/>
    <x v="3"/>
    <x v="1"/>
    <x v="0"/>
    <x v="0"/>
    <x v="1"/>
    <x v="7"/>
    <n v="0"/>
    <n v="0"/>
    <n v="55.094000000000001"/>
    <n v="55.094000000000001"/>
    <n v="55.094000000000001"/>
    <n v="55.094000000000001"/>
    <n v="0"/>
    <x v="0"/>
    <n v="0"/>
    <n v="0"/>
    <n v="25"/>
    <n v="44"/>
    <n v="0"/>
    <n v="1922.56"/>
    <n v="141.32"/>
    <m/>
    <n v="1931.7033804673958"/>
    <n v="135.80626150990429"/>
    <n v="0"/>
    <n v="105921.52064"/>
    <n v="7785.8840799999998"/>
    <n v="0"/>
    <n v="106425.26604347071"/>
    <n v="7482.1101716266667"/>
  </r>
  <r>
    <s v="Sistema de Compensação"/>
    <x v="0"/>
    <x v="2"/>
    <x v="3"/>
    <x v="1"/>
    <x v="0"/>
    <x v="0"/>
    <x v="1"/>
    <x v="7"/>
    <n v="0"/>
    <n v="0"/>
    <n v="0.50800000000000001"/>
    <n v="0.50800000000000001"/>
    <n v="0.50800000000000001"/>
    <n v="0.50800000000000001"/>
    <n v="0"/>
    <x v="0"/>
    <n v="0"/>
    <n v="0"/>
    <n v="25"/>
    <n v="44"/>
    <n v="0"/>
    <n v="1922.56"/>
    <n v="141.32"/>
    <m/>
    <n v="1931.7033804673958"/>
    <n v="135.80626150990429"/>
    <n v="0"/>
    <n v="976.66048000000001"/>
    <n v="71.790559999999999"/>
    <n v="0"/>
    <n v="981.3053172774371"/>
    <n v="68.989580847031377"/>
  </r>
  <r>
    <s v="Regular"/>
    <x v="0"/>
    <x v="2"/>
    <x v="3"/>
    <x v="1"/>
    <x v="0"/>
    <x v="0"/>
    <x v="1"/>
    <x v="8"/>
    <n v="0"/>
    <n v="0"/>
    <n v="90.688999999999993"/>
    <n v="90.688999999999993"/>
    <n v="90.688999999999993"/>
    <n v="90.688999999999993"/>
    <n v="0"/>
    <x v="0"/>
    <n v="0"/>
    <n v="0"/>
    <n v="25"/>
    <n v="44"/>
    <n v="0"/>
    <n v="1922.56"/>
    <n v="141.32"/>
    <m/>
    <n v="1931.7033804673958"/>
    <n v="135.80626150990429"/>
    <n v="0"/>
    <n v="174355.04383999997"/>
    <n v="12816.169479999999"/>
    <n v="0"/>
    <n v="175184.24787120766"/>
    <n v="12316.134050071709"/>
  </r>
  <r>
    <s v="Sistema de Compensação"/>
    <x v="0"/>
    <x v="2"/>
    <x v="3"/>
    <x v="1"/>
    <x v="0"/>
    <x v="0"/>
    <x v="1"/>
    <x v="8"/>
    <n v="0"/>
    <n v="0"/>
    <n v="0.38800000000000001"/>
    <n v="0.38800000000000001"/>
    <n v="0.38800000000000001"/>
    <n v="0.38800000000000001"/>
    <n v="0"/>
    <x v="0"/>
    <n v="0"/>
    <n v="0"/>
    <n v="25"/>
    <n v="44"/>
    <n v="0"/>
    <n v="1922.56"/>
    <n v="141.32"/>
    <m/>
    <n v="1931.7033804673958"/>
    <n v="135.80626150990429"/>
    <n v="0"/>
    <n v="745.95327999999995"/>
    <n v="54.832160000000002"/>
    <n v="0"/>
    <n v="749.50091162134959"/>
    <n v="52.692829465842863"/>
  </r>
  <r>
    <s v="Regular"/>
    <x v="0"/>
    <x v="2"/>
    <x v="3"/>
    <x v="1"/>
    <x v="0"/>
    <x v="0"/>
    <x v="1"/>
    <x v="9"/>
    <n v="0"/>
    <n v="0"/>
    <n v="98.597999999999999"/>
    <n v="98.597999999999999"/>
    <n v="98.597999999999999"/>
    <n v="98.597999999999999"/>
    <n v="0"/>
    <x v="0"/>
    <n v="0"/>
    <n v="0"/>
    <n v="25"/>
    <n v="44"/>
    <n v="0"/>
    <n v="1922.56"/>
    <n v="141.32"/>
    <m/>
    <n v="1931.7033804673958"/>
    <n v="135.80626150990429"/>
    <n v="0"/>
    <n v="189560.57087999998"/>
    <n v="13933.869359999999"/>
    <n v="0"/>
    <n v="190462.08990732429"/>
    <n v="13390.225772353542"/>
  </r>
  <r>
    <s v="Sistema de Compensação"/>
    <x v="0"/>
    <x v="2"/>
    <x v="3"/>
    <x v="1"/>
    <x v="0"/>
    <x v="0"/>
    <x v="1"/>
    <x v="9"/>
    <n v="0"/>
    <n v="0"/>
    <n v="0.34300000000000003"/>
    <n v="0.34300000000000003"/>
    <n v="0.34300000000000003"/>
    <n v="0.34300000000000003"/>
    <n v="0"/>
    <x v="0"/>
    <n v="0"/>
    <n v="0"/>
    <n v="25"/>
    <n v="44"/>
    <n v="0"/>
    <n v="1922.56"/>
    <n v="141.32"/>
    <m/>
    <n v="1931.7033804673958"/>
    <n v="135.80626150990429"/>
    <n v="0"/>
    <n v="659.43808000000001"/>
    <n v="48.472760000000001"/>
    <n v="0"/>
    <n v="662.57425950031677"/>
    <n v="46.581547697897172"/>
  </r>
  <r>
    <s v="Regular"/>
    <x v="0"/>
    <x v="2"/>
    <x v="3"/>
    <x v="1"/>
    <x v="0"/>
    <x v="0"/>
    <x v="1"/>
    <x v="10"/>
    <n v="0"/>
    <n v="0"/>
    <n v="121.75"/>
    <n v="121.75"/>
    <n v="121.75"/>
    <n v="121.75"/>
    <n v="0"/>
    <x v="0"/>
    <n v="0"/>
    <n v="0"/>
    <n v="25"/>
    <n v="44"/>
    <n v="0"/>
    <n v="1922.56"/>
    <n v="141.32"/>
    <m/>
    <n v="1931.7033804673958"/>
    <n v="135.80626150990429"/>
    <n v="0"/>
    <n v="234071.67999999999"/>
    <n v="17205.71"/>
    <n v="0"/>
    <n v="235184.88657190543"/>
    <n v="16534.412338830847"/>
  </r>
  <r>
    <s v="Regular"/>
    <x v="0"/>
    <x v="2"/>
    <x v="3"/>
    <x v="1"/>
    <x v="0"/>
    <x v="0"/>
    <x v="1"/>
    <x v="11"/>
    <n v="0"/>
    <n v="0"/>
    <n v="129.63300000000001"/>
    <n v="129.63300000000001"/>
    <n v="129.63300000000001"/>
    <n v="129.63300000000001"/>
    <n v="0"/>
    <x v="0"/>
    <n v="0"/>
    <n v="0"/>
    <n v="25"/>
    <n v="44"/>
    <n v="0"/>
    <n v="1922.56"/>
    <n v="141.32"/>
    <m/>
    <n v="1931.7033804673958"/>
    <n v="135.80626150990429"/>
    <n v="0"/>
    <n v="249227.22048000002"/>
    <n v="18319.735560000001"/>
    <n v="0"/>
    <n v="250412.50432012996"/>
    <n v="17604.973098313425"/>
  </r>
  <r>
    <s v="Sistema de Compensação"/>
    <x v="0"/>
    <x v="2"/>
    <x v="3"/>
    <x v="1"/>
    <x v="0"/>
    <x v="0"/>
    <x v="1"/>
    <x v="11"/>
    <n v="0"/>
    <n v="0"/>
    <n v="0.998"/>
    <n v="0.998"/>
    <n v="0.998"/>
    <n v="0.998"/>
    <n v="0"/>
    <x v="0"/>
    <n v="0"/>
    <n v="0"/>
    <n v="25"/>
    <n v="44"/>
    <n v="0"/>
    <n v="1922.56"/>
    <n v="141.32"/>
    <m/>
    <n v="1931.7033804673958"/>
    <n v="135.80626150990429"/>
    <n v="0"/>
    <n v="1918.71488"/>
    <n v="141.03736000000001"/>
    <n v="0"/>
    <n v="1927.839973706461"/>
    <n v="135.53464898688449"/>
  </r>
  <r>
    <s v="Regular"/>
    <x v="0"/>
    <x v="2"/>
    <x v="4"/>
    <x v="1"/>
    <x v="0"/>
    <x v="0"/>
    <x v="0"/>
    <x v="0"/>
    <n v="0"/>
    <n v="0"/>
    <n v="24.815999999999999"/>
    <n v="23.823360000000001"/>
    <n v="24.815999999999999"/>
    <n v="23.823360000000001"/>
    <n v="0"/>
    <x v="0"/>
    <n v="0"/>
    <n v="0"/>
    <n v="23"/>
    <n v="51"/>
    <n v="0"/>
    <n v="66.22"/>
    <n v="141.32"/>
    <m/>
    <n v="99.847749713611876"/>
    <n v="135.80626150990429"/>
    <n v="0"/>
    <n v="1577.5828991999999"/>
    <n v="3366.7172351999998"/>
    <n v="0"/>
    <n v="2378.7088866172726"/>
    <n v="3235.3614582045934"/>
  </r>
  <r>
    <s v="Sistema de Compensação"/>
    <x v="0"/>
    <x v="2"/>
    <x v="4"/>
    <x v="1"/>
    <x v="0"/>
    <x v="0"/>
    <x v="0"/>
    <x v="0"/>
    <n v="0"/>
    <n v="0"/>
    <n v="36.305999999999997"/>
    <n v="34.853759999999994"/>
    <n v="36.305999999999997"/>
    <n v="34.853759999999994"/>
    <n v="0"/>
    <x v="0"/>
    <n v="0"/>
    <n v="0"/>
    <n v="23"/>
    <n v="51"/>
    <n v="0"/>
    <n v="66.22"/>
    <n v="141.32"/>
    <m/>
    <n v="99.847749713611876"/>
    <n v="135.80626150990429"/>
    <n v="0"/>
    <n v="2308.0159871999995"/>
    <n v="4925.5333631999993"/>
    <n v="0"/>
    <n v="3480.0695050582963"/>
    <n v="4733.3588451634405"/>
  </r>
  <r>
    <s v="Regular"/>
    <x v="0"/>
    <x v="2"/>
    <x v="4"/>
    <x v="1"/>
    <x v="0"/>
    <x v="0"/>
    <x v="0"/>
    <x v="1"/>
    <n v="0"/>
    <n v="0"/>
    <n v="11.069000000000001"/>
    <n v="10.626239999999999"/>
    <n v="11.069000000000001"/>
    <n v="10.626239999999999"/>
    <n v="0"/>
    <x v="0"/>
    <n v="0"/>
    <n v="0"/>
    <n v="23"/>
    <n v="51"/>
    <n v="0"/>
    <n v="66.22"/>
    <n v="141.32"/>
    <m/>
    <n v="99.847749713611876"/>
    <n v="135.80626150990429"/>
    <n v="0"/>
    <n v="703.66961279999998"/>
    <n v="1501.7002367999999"/>
    <n v="0"/>
    <n v="1061.0061519167709"/>
    <n v="1443.1099283070052"/>
  </r>
  <r>
    <s v="Sistema de Compensação"/>
    <x v="0"/>
    <x v="2"/>
    <x v="4"/>
    <x v="1"/>
    <x v="0"/>
    <x v="0"/>
    <x v="0"/>
    <x v="1"/>
    <n v="0"/>
    <n v="0"/>
    <n v="33.93"/>
    <n v="32.572800000000001"/>
    <n v="33.93"/>
    <n v="32.572800000000001"/>
    <n v="0"/>
    <x v="0"/>
    <n v="0"/>
    <n v="0"/>
    <n v="23"/>
    <n v="51"/>
    <n v="0"/>
    <n v="66.22"/>
    <n v="141.32"/>
    <m/>
    <n v="99.847749713611876"/>
    <n v="135.80626150990429"/>
    <n v="0"/>
    <n v="2156.970816"/>
    <n v="4603.1880959999999"/>
    <n v="0"/>
    <n v="3252.3207818715368"/>
    <n v="4423.5901949098106"/>
  </r>
  <r>
    <s v="Regular"/>
    <x v="0"/>
    <x v="2"/>
    <x v="4"/>
    <x v="1"/>
    <x v="0"/>
    <x v="0"/>
    <x v="0"/>
    <x v="2"/>
    <n v="0"/>
    <n v="0"/>
    <n v="24.327999999999999"/>
    <n v="23.354880000000001"/>
    <n v="24.327999999999999"/>
    <n v="23.354880000000001"/>
    <n v="0"/>
    <x v="0"/>
    <n v="0"/>
    <n v="0"/>
    <n v="23"/>
    <n v="51"/>
    <n v="0"/>
    <n v="66.22"/>
    <n v="141.32"/>
    <m/>
    <n v="99.847749713611876"/>
    <n v="135.80626150990429"/>
    <n v="0"/>
    <n v="1546.5601536000001"/>
    <n v="3300.5116416000001"/>
    <n v="0"/>
    <n v="2331.9322128314398"/>
    <n v="3171.7389408124336"/>
  </r>
  <r>
    <s v="Sistema de Compensação"/>
    <x v="0"/>
    <x v="2"/>
    <x v="4"/>
    <x v="1"/>
    <x v="0"/>
    <x v="0"/>
    <x v="0"/>
    <x v="2"/>
    <n v="0"/>
    <n v="0"/>
    <n v="32.448"/>
    <n v="31.150079999999999"/>
    <n v="32.448"/>
    <n v="31.150079999999999"/>
    <n v="0"/>
    <x v="0"/>
    <n v="0"/>
    <n v="0"/>
    <n v="23"/>
    <n v="51"/>
    <n v="0"/>
    <n v="66.22"/>
    <n v="141.32"/>
    <m/>
    <n v="99.847749713611876"/>
    <n v="135.80626150990429"/>
    <n v="0"/>
    <n v="2062.7582975999999"/>
    <n v="4402.1293055999995"/>
    <n v="0"/>
    <n v="3110.265391398987"/>
    <n v="4230.3759105344388"/>
  </r>
  <r>
    <s v="Regular"/>
    <x v="0"/>
    <x v="2"/>
    <x v="4"/>
    <x v="1"/>
    <x v="0"/>
    <x v="0"/>
    <x v="0"/>
    <x v="3"/>
    <n v="0"/>
    <n v="0"/>
    <n v="1.9530000000000001"/>
    <n v="1.8748800000000001"/>
    <n v="1.9530000000000001"/>
    <n v="1.8748800000000001"/>
    <n v="0"/>
    <x v="0"/>
    <n v="0"/>
    <n v="0"/>
    <n v="23"/>
    <n v="51"/>
    <n v="0"/>
    <n v="66.22"/>
    <n v="141.32"/>
    <m/>
    <n v="99.847749713611876"/>
    <n v="135.80626150990429"/>
    <n v="0"/>
    <n v="124.1545536"/>
    <n v="264.9580416"/>
    <n v="0"/>
    <n v="187.20254898305663"/>
    <n v="254.62044357968938"/>
  </r>
  <r>
    <s v="Sistema de Compensação"/>
    <x v="0"/>
    <x v="2"/>
    <x v="4"/>
    <x v="1"/>
    <x v="0"/>
    <x v="0"/>
    <x v="0"/>
    <x v="3"/>
    <n v="0"/>
    <n v="0"/>
    <n v="41.04"/>
    <n v="39.398400000000002"/>
    <n v="41.04"/>
    <n v="39.398400000000002"/>
    <n v="0"/>
    <x v="0"/>
    <n v="0"/>
    <n v="0"/>
    <n v="23"/>
    <n v="51"/>
    <n v="0"/>
    <n v="66.22"/>
    <n v="141.32"/>
    <m/>
    <n v="99.847749713611876"/>
    <n v="135.80626150990429"/>
    <n v="0"/>
    <n v="2608.9620480000003"/>
    <n v="5567.7818880000004"/>
    <n v="0"/>
    <n v="3933.8415823167666"/>
    <n v="5350.5494134718138"/>
  </r>
  <r>
    <s v="Regular"/>
    <x v="0"/>
    <x v="2"/>
    <x v="4"/>
    <x v="1"/>
    <x v="0"/>
    <x v="0"/>
    <x v="0"/>
    <x v="4"/>
    <n v="0"/>
    <n v="0"/>
    <n v="23.11"/>
    <n v="22.185600000000001"/>
    <n v="23.11"/>
    <n v="22.185600000000001"/>
    <n v="0"/>
    <x v="0"/>
    <n v="0"/>
    <n v="0"/>
    <n v="23"/>
    <n v="51"/>
    <n v="0"/>
    <n v="66.22"/>
    <n v="141.32"/>
    <m/>
    <n v="99.847749713611876"/>
    <n v="135.80626150990429"/>
    <n v="0"/>
    <n v="1469.1304319999999"/>
    <n v="3135.2689919999998"/>
    <n v="0"/>
    <n v="2215.1822360463079"/>
    <n v="3012.9433953541329"/>
  </r>
  <r>
    <s v="Sistema de Compensação"/>
    <x v="0"/>
    <x v="2"/>
    <x v="4"/>
    <x v="1"/>
    <x v="0"/>
    <x v="0"/>
    <x v="0"/>
    <x v="4"/>
    <n v="0"/>
    <n v="0"/>
    <n v="38.734999999999999"/>
    <n v="37.185600000000001"/>
    <n v="38.734999999999999"/>
    <n v="37.185600000000001"/>
    <n v="0"/>
    <x v="0"/>
    <n v="0"/>
    <n v="0"/>
    <n v="23"/>
    <n v="51"/>
    <n v="0"/>
    <n v="66.22"/>
    <n v="141.32"/>
    <m/>
    <n v="99.847749713611876"/>
    <n v="135.80626150990429"/>
    <n v="0"/>
    <n v="2462.4304320000001"/>
    <n v="5255.0689919999995"/>
    <n v="0"/>
    <n v="3712.8984817504856"/>
    <n v="5050.0373180026972"/>
  </r>
  <r>
    <s v="Regular"/>
    <x v="0"/>
    <x v="2"/>
    <x v="4"/>
    <x v="1"/>
    <x v="0"/>
    <x v="0"/>
    <x v="0"/>
    <x v="5"/>
    <n v="0"/>
    <n v="0"/>
    <n v="20.693000000000001"/>
    <n v="19.865279999999998"/>
    <n v="20.693000000000001"/>
    <n v="19.865279999999998"/>
    <n v="0"/>
    <x v="0"/>
    <n v="0"/>
    <n v="0"/>
    <n v="23"/>
    <n v="51"/>
    <n v="0"/>
    <n v="66.22"/>
    <n v="141.32"/>
    <m/>
    <n v="99.847749713611876"/>
    <n v="135.80626150990429"/>
    <n v="0"/>
    <n v="1315.4788415999999"/>
    <n v="2807.3613695999998"/>
    <n v="0"/>
    <n v="1983.5035054308196"/>
    <n v="2697.8294106474714"/>
  </r>
  <r>
    <s v="Sistema de Compensação"/>
    <x v="0"/>
    <x v="2"/>
    <x v="4"/>
    <x v="1"/>
    <x v="0"/>
    <x v="0"/>
    <x v="0"/>
    <x v="5"/>
    <n v="0"/>
    <n v="0"/>
    <n v="32.728000000000002"/>
    <n v="31.418880000000001"/>
    <n v="32.728000000000002"/>
    <n v="31.418880000000001"/>
    <n v="0"/>
    <x v="0"/>
    <n v="0"/>
    <n v="0"/>
    <n v="23"/>
    <n v="51"/>
    <n v="0"/>
    <n v="66.22"/>
    <n v="141.32"/>
    <m/>
    <n v="99.847749713611876"/>
    <n v="135.80626150990429"/>
    <n v="0"/>
    <n v="2080.5582336000002"/>
    <n v="4440.1161216"/>
    <n v="0"/>
    <n v="3137.1044665220061"/>
    <n v="4266.8806336283014"/>
  </r>
  <r>
    <s v="Regular"/>
    <x v="0"/>
    <x v="2"/>
    <x v="4"/>
    <x v="1"/>
    <x v="0"/>
    <x v="0"/>
    <x v="0"/>
    <x v="6"/>
    <n v="0"/>
    <n v="0"/>
    <n v="18.538"/>
    <n v="17.796479999999999"/>
    <n v="18.538"/>
    <n v="17.796479999999999"/>
    <n v="0"/>
    <x v="0"/>
    <n v="0"/>
    <n v="0"/>
    <n v="23"/>
    <n v="51"/>
    <n v="0"/>
    <n v="66.22"/>
    <n v="141.32"/>
    <m/>
    <n v="99.847749713611876"/>
    <n v="135.80626150990429"/>
    <n v="0"/>
    <n v="1178.4829055999999"/>
    <n v="2514.9985535999999"/>
    <n v="0"/>
    <n v="1776.9384808232994"/>
    <n v="2416.8734168357814"/>
  </r>
  <r>
    <s v="Sistema de Compensação"/>
    <x v="0"/>
    <x v="2"/>
    <x v="4"/>
    <x v="1"/>
    <x v="0"/>
    <x v="0"/>
    <x v="0"/>
    <x v="6"/>
    <n v="0"/>
    <n v="0"/>
    <n v="47.869"/>
    <n v="45.954239999999999"/>
    <n v="47.869"/>
    <n v="45.954239999999999"/>
    <n v="0"/>
    <x v="0"/>
    <n v="0"/>
    <n v="0"/>
    <n v="23"/>
    <n v="51"/>
    <n v="0"/>
    <n v="66.22"/>
    <n v="141.32"/>
    <m/>
    <n v="99.847749713611876"/>
    <n v="135.80626150990429"/>
    <n v="0"/>
    <n v="3043.0897728"/>
    <n v="6494.2531967999994"/>
    <n v="0"/>
    <n v="4588.4274537992515"/>
    <n v="6240.8735349289036"/>
  </r>
  <r>
    <s v="Regular"/>
    <x v="0"/>
    <x v="2"/>
    <x v="4"/>
    <x v="1"/>
    <x v="0"/>
    <x v="0"/>
    <x v="0"/>
    <x v="7"/>
    <n v="0"/>
    <n v="0"/>
    <n v="13.742000000000001"/>
    <n v="13.19232"/>
    <n v="13.742000000000001"/>
    <n v="13.19232"/>
    <n v="0"/>
    <x v="0"/>
    <n v="0"/>
    <n v="0"/>
    <n v="23"/>
    <n v="51"/>
    <n v="0"/>
    <n v="66.22"/>
    <n v="141.32"/>
    <m/>
    <n v="99.847749713611876"/>
    <n v="135.80626150990429"/>
    <n v="0"/>
    <n v="873.59543040000005"/>
    <n v="1864.3386624"/>
    <n v="0"/>
    <n v="1317.2234655018763"/>
    <n v="1791.5996598423405"/>
  </r>
  <r>
    <s v="Sistema de Compensação"/>
    <x v="0"/>
    <x v="2"/>
    <x v="4"/>
    <x v="1"/>
    <x v="0"/>
    <x v="0"/>
    <x v="0"/>
    <x v="7"/>
    <n v="0"/>
    <n v="0"/>
    <n v="43.215000000000003"/>
    <n v="41.486400000000003"/>
    <n v="43.215000000000003"/>
    <n v="41.486400000000003"/>
    <n v="0"/>
    <x v="0"/>
    <n v="0"/>
    <n v="0"/>
    <n v="23"/>
    <n v="51"/>
    <n v="0"/>
    <n v="66.22"/>
    <n v="141.32"/>
    <m/>
    <n v="99.847749713611876"/>
    <n v="135.80626150990429"/>
    <n v="0"/>
    <n v="2747.2294080000001"/>
    <n v="5862.8580480000001"/>
    <n v="0"/>
    <n v="4142.3236837187878"/>
    <n v="5634.1128875044933"/>
  </r>
  <r>
    <s v="Regular"/>
    <x v="0"/>
    <x v="2"/>
    <x v="4"/>
    <x v="1"/>
    <x v="0"/>
    <x v="0"/>
    <x v="0"/>
    <x v="8"/>
    <n v="0"/>
    <n v="0"/>
    <n v="21.577000000000002"/>
    <n v="20.713920000000002"/>
    <n v="21.577000000000002"/>
    <n v="20.713920000000002"/>
    <n v="0"/>
    <x v="0"/>
    <n v="0"/>
    <n v="0"/>
    <n v="23"/>
    <n v="51"/>
    <n v="0"/>
    <n v="66.22"/>
    <n v="141.32"/>
    <m/>
    <n v="99.847749713611876"/>
    <n v="135.80626150990429"/>
    <n v="0"/>
    <n v="1371.6757824000001"/>
    <n v="2927.2911744000003"/>
    <n v="0"/>
    <n v="2068.2382997477794"/>
    <n v="2813.0800364152369"/>
  </r>
  <r>
    <s v="Sistema de Compensação"/>
    <x v="0"/>
    <x v="2"/>
    <x v="4"/>
    <x v="1"/>
    <x v="0"/>
    <x v="0"/>
    <x v="0"/>
    <x v="8"/>
    <n v="0"/>
    <n v="0"/>
    <n v="23.762"/>
    <n v="22.811520000000002"/>
    <n v="23.762"/>
    <n v="22.811520000000002"/>
    <n v="0"/>
    <x v="0"/>
    <n v="0"/>
    <n v="0"/>
    <n v="23"/>
    <n v="51"/>
    <n v="0"/>
    <n v="66.22"/>
    <n v="141.32"/>
    <m/>
    <n v="99.847749713611876"/>
    <n v="135.80626150990429"/>
    <n v="0"/>
    <n v="1510.5788544000002"/>
    <n v="3223.7240064000002"/>
    <n v="0"/>
    <n v="2277.6789395470519"/>
    <n v="3097.9472505584122"/>
  </r>
  <r>
    <s v="Regular"/>
    <x v="0"/>
    <x v="2"/>
    <x v="4"/>
    <x v="1"/>
    <x v="0"/>
    <x v="0"/>
    <x v="0"/>
    <x v="9"/>
    <n v="0"/>
    <n v="0"/>
    <n v="2.1389999999999998"/>
    <n v="2.0534400000000002"/>
    <n v="2.1389999999999998"/>
    <n v="2.0534400000000002"/>
    <n v="0"/>
    <x v="0"/>
    <n v="0"/>
    <n v="0"/>
    <n v="23"/>
    <n v="51"/>
    <n v="0"/>
    <n v="66.22"/>
    <n v="141.32"/>
    <m/>
    <n v="99.847749713611876"/>
    <n v="135.80626150990429"/>
    <n v="0"/>
    <n v="135.9787968"/>
    <n v="290.1921408"/>
    <n v="0"/>
    <n v="205.0313631719192"/>
    <n v="278.87000963489788"/>
  </r>
  <r>
    <s v="Sistema de Compensação"/>
    <x v="0"/>
    <x v="2"/>
    <x v="4"/>
    <x v="1"/>
    <x v="0"/>
    <x v="0"/>
    <x v="0"/>
    <x v="9"/>
    <n v="0"/>
    <n v="0"/>
    <n v="35.104999999999997"/>
    <n v="33.700800000000001"/>
    <n v="35.104999999999997"/>
    <n v="33.700800000000001"/>
    <n v="0"/>
    <x v="0"/>
    <n v="0"/>
    <n v="0"/>
    <n v="23"/>
    <n v="51"/>
    <n v="0"/>
    <n v="66.22"/>
    <n v="141.32"/>
    <m/>
    <n v="99.847749713611876"/>
    <n v="135.80626150990429"/>
    <n v="0"/>
    <n v="2231.666976"/>
    <n v="4762.5970559999996"/>
    <n v="0"/>
    <n v="3364.9490435484913"/>
    <n v="4576.7796578929829"/>
  </r>
  <r>
    <s v="Regular"/>
    <x v="0"/>
    <x v="2"/>
    <x v="4"/>
    <x v="1"/>
    <x v="0"/>
    <x v="0"/>
    <x v="0"/>
    <x v="10"/>
    <n v="0"/>
    <n v="0"/>
    <n v="0.872"/>
    <n v="0.83711999999999998"/>
    <n v="0.872"/>
    <n v="0.83711999999999998"/>
    <n v="0"/>
    <x v="0"/>
    <n v="0"/>
    <n v="0"/>
    <n v="23"/>
    <n v="51"/>
    <n v="0"/>
    <n v="66.22"/>
    <n v="141.32"/>
    <m/>
    <n v="99.847749713611876"/>
    <n v="135.80626150990429"/>
    <n v="0"/>
    <n v="55.434086399999998"/>
    <n v="118.3017984"/>
    <n v="0"/>
    <n v="83.584548240258769"/>
    <n v="113.68613763517108"/>
  </r>
  <r>
    <s v="Regular"/>
    <x v="0"/>
    <x v="2"/>
    <x v="4"/>
    <x v="1"/>
    <x v="0"/>
    <x v="0"/>
    <x v="0"/>
    <x v="11"/>
    <n v="0"/>
    <n v="0"/>
    <n v="15.085000000000001"/>
    <n v="14.4816"/>
    <n v="15.085000000000001"/>
    <n v="14.4816"/>
    <n v="0"/>
    <x v="0"/>
    <n v="0"/>
    <n v="0"/>
    <n v="23"/>
    <n v="51"/>
    <n v="0"/>
    <n v="66.22"/>
    <n v="141.32"/>
    <m/>
    <n v="99.847749713611876"/>
    <n v="135.80626150990429"/>
    <n v="0"/>
    <n v="958.97155199999997"/>
    <n v="2046.539712"/>
    <n v="0"/>
    <n v="1445.9551722526417"/>
    <n v="1966.6919566818299"/>
  </r>
  <r>
    <s v="Sistema de Compensação"/>
    <x v="0"/>
    <x v="2"/>
    <x v="4"/>
    <x v="1"/>
    <x v="0"/>
    <x v="0"/>
    <x v="0"/>
    <x v="11"/>
    <n v="0"/>
    <n v="0"/>
    <n v="56.241"/>
    <n v="53.99136"/>
    <n v="56.241"/>
    <n v="53.99136"/>
    <n v="0"/>
    <x v="0"/>
    <n v="0"/>
    <n v="0"/>
    <n v="23"/>
    <n v="51"/>
    <n v="0"/>
    <n v="66.22"/>
    <n v="141.32"/>
    <m/>
    <n v="99.847749713611876"/>
    <n v="135.80626150990429"/>
    <n v="0"/>
    <n v="3575.3078592000002"/>
    <n v="7630.0589952"/>
    <n v="0"/>
    <n v="5390.9157999775161"/>
    <n v="7332.3647554353856"/>
  </r>
  <r>
    <s v="Regular"/>
    <x v="0"/>
    <x v="2"/>
    <x v="4"/>
    <x v="1"/>
    <x v="0"/>
    <x v="0"/>
    <x v="2"/>
    <x v="0"/>
    <n v="90"/>
    <n v="86.4"/>
    <n v="0"/>
    <n v="0"/>
    <n v="0"/>
    <n v="0"/>
    <n v="1"/>
    <x v="0"/>
    <n v="0"/>
    <n v="16"/>
    <n v="0"/>
    <n v="0"/>
    <n v="25.66"/>
    <n v="0"/>
    <n v="0"/>
    <n v="25.189608465764316"/>
    <m/>
    <m/>
    <n v="2217.0240000000003"/>
    <n v="0"/>
    <n v="0"/>
    <n v="2176.3821714420369"/>
    <n v="0"/>
    <n v="0"/>
  </r>
  <r>
    <s v="Sistema de Compensação"/>
    <x v="0"/>
    <x v="2"/>
    <x v="4"/>
    <x v="1"/>
    <x v="0"/>
    <x v="0"/>
    <x v="2"/>
    <x v="0"/>
    <n v="264"/>
    <n v="253.44"/>
    <n v="0"/>
    <n v="0"/>
    <n v="0"/>
    <n v="0"/>
    <n v="2"/>
    <x v="0"/>
    <n v="0"/>
    <n v="16"/>
    <n v="0"/>
    <n v="0"/>
    <n v="25.66"/>
    <n v="0"/>
    <n v="0"/>
    <n v="25.189608465764316"/>
    <m/>
    <m/>
    <n v="6503.2704000000003"/>
    <n v="0"/>
    <n v="0"/>
    <n v="6384.0543695633078"/>
    <n v="0"/>
    <n v="0"/>
  </r>
  <r>
    <s v="Regular"/>
    <x v="0"/>
    <x v="2"/>
    <x v="4"/>
    <x v="1"/>
    <x v="0"/>
    <x v="0"/>
    <x v="2"/>
    <x v="1"/>
    <n v="90"/>
    <n v="86.4"/>
    <n v="0"/>
    <n v="0"/>
    <n v="0"/>
    <n v="0"/>
    <n v="1"/>
    <x v="0"/>
    <n v="0"/>
    <n v="16"/>
    <n v="0"/>
    <n v="0"/>
    <n v="25.66"/>
    <n v="0"/>
    <n v="0"/>
    <n v="25.189608465764316"/>
    <m/>
    <m/>
    <n v="2217.0240000000003"/>
    <n v="0"/>
    <n v="0"/>
    <n v="2176.3821714420369"/>
    <n v="0"/>
    <n v="0"/>
  </r>
  <r>
    <s v="Sistema de Compensação"/>
    <x v="0"/>
    <x v="2"/>
    <x v="4"/>
    <x v="1"/>
    <x v="0"/>
    <x v="0"/>
    <x v="2"/>
    <x v="1"/>
    <n v="254"/>
    <n v="243.84"/>
    <n v="0"/>
    <n v="0"/>
    <n v="0"/>
    <n v="0"/>
    <n v="2"/>
    <x v="0"/>
    <n v="0"/>
    <n v="16"/>
    <n v="0"/>
    <n v="0"/>
    <n v="25.66"/>
    <n v="0"/>
    <n v="0"/>
    <n v="25.189608465764316"/>
    <m/>
    <m/>
    <n v="6256.9344000000001"/>
    <n v="0"/>
    <n v="0"/>
    <n v="6142.2341282919706"/>
    <n v="0"/>
    <n v="0"/>
  </r>
  <r>
    <s v="Regular"/>
    <x v="0"/>
    <x v="2"/>
    <x v="4"/>
    <x v="1"/>
    <x v="0"/>
    <x v="0"/>
    <x v="2"/>
    <x v="2"/>
    <n v="90"/>
    <n v="86.4"/>
    <n v="0"/>
    <n v="0"/>
    <n v="0"/>
    <n v="0"/>
    <n v="1"/>
    <x v="0"/>
    <n v="0"/>
    <n v="16"/>
    <n v="0"/>
    <n v="0"/>
    <n v="25.66"/>
    <n v="0"/>
    <n v="0"/>
    <n v="25.189608465764316"/>
    <m/>
    <m/>
    <n v="2217.0240000000003"/>
    <n v="0"/>
    <n v="0"/>
    <n v="2176.3821714420369"/>
    <n v="0"/>
    <n v="0"/>
  </r>
  <r>
    <s v="Sistema de Compensação"/>
    <x v="0"/>
    <x v="2"/>
    <x v="4"/>
    <x v="1"/>
    <x v="0"/>
    <x v="0"/>
    <x v="2"/>
    <x v="2"/>
    <n v="259"/>
    <n v="248.64"/>
    <n v="0"/>
    <n v="0"/>
    <n v="0"/>
    <n v="0"/>
    <n v="2"/>
    <x v="0"/>
    <n v="0"/>
    <n v="16"/>
    <n v="0"/>
    <n v="0"/>
    <n v="25.66"/>
    <n v="0"/>
    <n v="0"/>
    <n v="25.189608465764316"/>
    <m/>
    <m/>
    <n v="6380.1023999999998"/>
    <n v="0"/>
    <n v="0"/>
    <n v="6263.1442489276387"/>
    <n v="0"/>
    <n v="0"/>
  </r>
  <r>
    <s v="Regular"/>
    <x v="0"/>
    <x v="2"/>
    <x v="4"/>
    <x v="1"/>
    <x v="0"/>
    <x v="0"/>
    <x v="2"/>
    <x v="3"/>
    <n v="90"/>
    <n v="86.4"/>
    <n v="0"/>
    <n v="0"/>
    <n v="0"/>
    <n v="0"/>
    <n v="1"/>
    <x v="0"/>
    <n v="0"/>
    <n v="16"/>
    <n v="0"/>
    <n v="0"/>
    <n v="25.66"/>
    <n v="0"/>
    <n v="0"/>
    <n v="25.189608465764316"/>
    <m/>
    <m/>
    <n v="2217.0240000000003"/>
    <n v="0"/>
    <n v="0"/>
    <n v="2176.3821714420369"/>
    <n v="0"/>
    <n v="0"/>
  </r>
  <r>
    <s v="Sistema de Compensação"/>
    <x v="0"/>
    <x v="2"/>
    <x v="4"/>
    <x v="1"/>
    <x v="0"/>
    <x v="0"/>
    <x v="2"/>
    <x v="3"/>
    <n v="279"/>
    <n v="267.83999999999997"/>
    <n v="0"/>
    <n v="0"/>
    <n v="0"/>
    <n v="0"/>
    <n v="2"/>
    <x v="0"/>
    <n v="0"/>
    <n v="16"/>
    <n v="0"/>
    <n v="0"/>
    <n v="25.66"/>
    <n v="0"/>
    <n v="0"/>
    <n v="25.189608465764316"/>
    <m/>
    <m/>
    <n v="6872.7743999999993"/>
    <n v="0"/>
    <n v="0"/>
    <n v="6746.784731470314"/>
    <n v="0"/>
    <n v="0"/>
  </r>
  <r>
    <s v="Regular"/>
    <x v="0"/>
    <x v="2"/>
    <x v="4"/>
    <x v="1"/>
    <x v="0"/>
    <x v="0"/>
    <x v="2"/>
    <x v="4"/>
    <n v="90"/>
    <n v="86.4"/>
    <n v="0"/>
    <n v="0"/>
    <n v="0"/>
    <n v="0"/>
    <n v="1"/>
    <x v="0"/>
    <n v="0"/>
    <n v="16"/>
    <n v="0"/>
    <n v="0"/>
    <n v="25.66"/>
    <n v="0"/>
    <n v="0"/>
    <n v="25.189608465764316"/>
    <m/>
    <m/>
    <n v="2217.0240000000003"/>
    <n v="0"/>
    <n v="0"/>
    <n v="2176.3821714420369"/>
    <n v="0"/>
    <n v="0"/>
  </r>
  <r>
    <s v="Sistema de Compensação"/>
    <x v="0"/>
    <x v="2"/>
    <x v="4"/>
    <x v="1"/>
    <x v="0"/>
    <x v="0"/>
    <x v="2"/>
    <x v="4"/>
    <n v="255"/>
    <n v="244.8"/>
    <n v="0"/>
    <n v="0"/>
    <n v="0"/>
    <n v="0"/>
    <n v="2"/>
    <x v="0"/>
    <n v="0"/>
    <n v="16"/>
    <n v="0"/>
    <n v="0"/>
    <n v="25.66"/>
    <n v="0"/>
    <n v="0"/>
    <n v="25.189608465764316"/>
    <m/>
    <m/>
    <n v="6281.5680000000002"/>
    <n v="0"/>
    <n v="0"/>
    <n v="6166.4161524191049"/>
    <n v="0"/>
    <n v="0"/>
  </r>
  <r>
    <s v="Regular"/>
    <x v="0"/>
    <x v="2"/>
    <x v="4"/>
    <x v="1"/>
    <x v="0"/>
    <x v="0"/>
    <x v="2"/>
    <x v="5"/>
    <n v="90"/>
    <n v="86.4"/>
    <n v="0"/>
    <n v="0"/>
    <n v="0"/>
    <n v="0"/>
    <n v="1"/>
    <x v="0"/>
    <n v="0"/>
    <n v="16"/>
    <n v="0"/>
    <n v="0"/>
    <n v="25.66"/>
    <n v="0"/>
    <n v="0"/>
    <n v="25.189608465764316"/>
    <m/>
    <m/>
    <n v="2217.0240000000003"/>
    <n v="0"/>
    <n v="0"/>
    <n v="2176.3821714420369"/>
    <n v="0"/>
    <n v="0"/>
  </r>
  <r>
    <s v="Sistema de Compensação"/>
    <x v="0"/>
    <x v="2"/>
    <x v="4"/>
    <x v="1"/>
    <x v="0"/>
    <x v="0"/>
    <x v="2"/>
    <x v="5"/>
    <n v="269"/>
    <n v="258.24"/>
    <n v="0"/>
    <n v="0"/>
    <n v="0"/>
    <n v="0"/>
    <n v="2"/>
    <x v="0"/>
    <n v="0"/>
    <n v="16"/>
    <n v="0"/>
    <n v="0"/>
    <n v="25.66"/>
    <n v="0"/>
    <n v="0"/>
    <n v="25.189608465764316"/>
    <m/>
    <m/>
    <n v="6626.4384"/>
    <n v="0"/>
    <n v="0"/>
    <n v="6504.9644901989768"/>
    <n v="0"/>
    <n v="0"/>
  </r>
  <r>
    <s v="Regular"/>
    <x v="0"/>
    <x v="2"/>
    <x v="4"/>
    <x v="1"/>
    <x v="0"/>
    <x v="0"/>
    <x v="2"/>
    <x v="6"/>
    <n v="90"/>
    <n v="86.4"/>
    <n v="0"/>
    <n v="0"/>
    <n v="0"/>
    <n v="0"/>
    <n v="1"/>
    <x v="0"/>
    <n v="0"/>
    <n v="16"/>
    <n v="0"/>
    <n v="0"/>
    <n v="25.66"/>
    <n v="0"/>
    <n v="0"/>
    <n v="25.189608465764316"/>
    <m/>
    <m/>
    <n v="2217.0240000000003"/>
    <n v="0"/>
    <n v="0"/>
    <n v="2176.3821714420369"/>
    <n v="0"/>
    <n v="0"/>
  </r>
  <r>
    <s v="Sistema de Compensação"/>
    <x v="0"/>
    <x v="2"/>
    <x v="4"/>
    <x v="1"/>
    <x v="0"/>
    <x v="0"/>
    <x v="2"/>
    <x v="6"/>
    <n v="295"/>
    <n v="283.2"/>
    <n v="0"/>
    <n v="0"/>
    <n v="0"/>
    <n v="0"/>
    <n v="2"/>
    <x v="0"/>
    <n v="0"/>
    <n v="16"/>
    <n v="0"/>
    <n v="0"/>
    <n v="25.66"/>
    <n v="0"/>
    <n v="0"/>
    <n v="25.189608465764316"/>
    <m/>
    <m/>
    <n v="7266.9119999999994"/>
    <n v="0"/>
    <n v="0"/>
    <n v="7133.6971175044537"/>
    <n v="0"/>
    <n v="0"/>
  </r>
  <r>
    <s v="Regular"/>
    <x v="0"/>
    <x v="2"/>
    <x v="4"/>
    <x v="1"/>
    <x v="0"/>
    <x v="0"/>
    <x v="2"/>
    <x v="7"/>
    <n v="90"/>
    <n v="86.4"/>
    <n v="0"/>
    <n v="0"/>
    <n v="0"/>
    <n v="0"/>
    <n v="1"/>
    <x v="0"/>
    <n v="0"/>
    <n v="16"/>
    <n v="0"/>
    <n v="0"/>
    <n v="25.66"/>
    <n v="0"/>
    <n v="0"/>
    <n v="25.189608465764316"/>
    <m/>
    <m/>
    <n v="2217.0240000000003"/>
    <n v="0"/>
    <n v="0"/>
    <n v="2176.3821714420369"/>
    <n v="0"/>
    <n v="0"/>
  </r>
  <r>
    <s v="Sistema de Compensação"/>
    <x v="0"/>
    <x v="2"/>
    <x v="4"/>
    <x v="1"/>
    <x v="0"/>
    <x v="0"/>
    <x v="2"/>
    <x v="7"/>
    <n v="270"/>
    <n v="259.2"/>
    <n v="0"/>
    <n v="0"/>
    <n v="0"/>
    <n v="0"/>
    <n v="2"/>
    <x v="0"/>
    <n v="0"/>
    <n v="16"/>
    <n v="0"/>
    <n v="0"/>
    <n v="25.66"/>
    <n v="0"/>
    <n v="0"/>
    <n v="25.189608465764316"/>
    <m/>
    <m/>
    <n v="6651.0720000000001"/>
    <n v="0"/>
    <n v="0"/>
    <n v="6529.1465143261103"/>
    <n v="0"/>
    <n v="0"/>
  </r>
  <r>
    <s v="Regular"/>
    <x v="0"/>
    <x v="2"/>
    <x v="4"/>
    <x v="1"/>
    <x v="0"/>
    <x v="0"/>
    <x v="2"/>
    <x v="8"/>
    <n v="90"/>
    <n v="86.4"/>
    <n v="0"/>
    <n v="0"/>
    <n v="0"/>
    <n v="0"/>
    <n v="1"/>
    <x v="0"/>
    <n v="0"/>
    <n v="16"/>
    <n v="0"/>
    <n v="0"/>
    <n v="25.66"/>
    <n v="0"/>
    <n v="0"/>
    <n v="25.189608465764316"/>
    <m/>
    <m/>
    <n v="2217.0240000000003"/>
    <n v="0"/>
    <n v="0"/>
    <n v="2176.3821714420369"/>
    <n v="0"/>
    <n v="0"/>
  </r>
  <r>
    <s v="Sistema de Compensação"/>
    <x v="0"/>
    <x v="2"/>
    <x v="4"/>
    <x v="1"/>
    <x v="0"/>
    <x v="0"/>
    <x v="2"/>
    <x v="8"/>
    <n v="250"/>
    <n v="240"/>
    <n v="0"/>
    <n v="0"/>
    <n v="0"/>
    <n v="0"/>
    <n v="2"/>
    <x v="0"/>
    <n v="0"/>
    <n v="16"/>
    <n v="0"/>
    <n v="0"/>
    <n v="25.66"/>
    <n v="0"/>
    <n v="0"/>
    <n v="25.189608465764316"/>
    <m/>
    <m/>
    <n v="6158.4"/>
    <n v="0"/>
    <n v="0"/>
    <n v="6045.5060317834359"/>
    <n v="0"/>
    <n v="0"/>
  </r>
  <r>
    <s v="Regular"/>
    <x v="0"/>
    <x v="2"/>
    <x v="4"/>
    <x v="1"/>
    <x v="0"/>
    <x v="0"/>
    <x v="2"/>
    <x v="9"/>
    <n v="90"/>
    <n v="86.4"/>
    <n v="0"/>
    <n v="0"/>
    <n v="0"/>
    <n v="0"/>
    <n v="1"/>
    <x v="0"/>
    <n v="0"/>
    <n v="16"/>
    <n v="0"/>
    <n v="0"/>
    <n v="25.66"/>
    <n v="0"/>
    <n v="0"/>
    <n v="25.189608465764316"/>
    <m/>
    <m/>
    <n v="2217.0240000000003"/>
    <n v="0"/>
    <n v="0"/>
    <n v="2176.3821714420369"/>
    <n v="0"/>
    <n v="0"/>
  </r>
  <r>
    <s v="Sistema de Compensação"/>
    <x v="0"/>
    <x v="2"/>
    <x v="4"/>
    <x v="1"/>
    <x v="0"/>
    <x v="0"/>
    <x v="2"/>
    <x v="9"/>
    <n v="259"/>
    <n v="248.64"/>
    <n v="0"/>
    <n v="0"/>
    <n v="0"/>
    <n v="0"/>
    <n v="2"/>
    <x v="0"/>
    <n v="0"/>
    <n v="16"/>
    <n v="0"/>
    <n v="0"/>
    <n v="25.66"/>
    <n v="0"/>
    <n v="0"/>
    <n v="25.189608465764316"/>
    <m/>
    <m/>
    <n v="6380.1023999999998"/>
    <n v="0"/>
    <n v="0"/>
    <n v="6263.1442489276387"/>
    <n v="0"/>
    <n v="0"/>
  </r>
  <r>
    <s v="Regular"/>
    <x v="0"/>
    <x v="2"/>
    <x v="4"/>
    <x v="1"/>
    <x v="0"/>
    <x v="0"/>
    <x v="2"/>
    <x v="10"/>
    <n v="90"/>
    <n v="86.4"/>
    <n v="0"/>
    <n v="0"/>
    <n v="0"/>
    <n v="0"/>
    <n v="1"/>
    <x v="0"/>
    <n v="0"/>
    <n v="16"/>
    <n v="0"/>
    <n v="0"/>
    <n v="25.66"/>
    <n v="0"/>
    <n v="0"/>
    <n v="25.189608465764316"/>
    <m/>
    <m/>
    <n v="2217.0240000000003"/>
    <n v="0"/>
    <n v="0"/>
    <n v="2176.3821714420369"/>
    <n v="0"/>
    <n v="0"/>
  </r>
  <r>
    <s v="Sistema de Compensação"/>
    <x v="0"/>
    <x v="2"/>
    <x v="4"/>
    <x v="1"/>
    <x v="0"/>
    <x v="0"/>
    <x v="2"/>
    <x v="10"/>
    <n v="100"/>
    <n v="96"/>
    <n v="0"/>
    <n v="0"/>
    <n v="0"/>
    <n v="0"/>
    <n v="1"/>
    <x v="0"/>
    <n v="0"/>
    <n v="16"/>
    <n v="0"/>
    <n v="0"/>
    <n v="25.66"/>
    <n v="0"/>
    <n v="0"/>
    <n v="25.189608465764316"/>
    <m/>
    <m/>
    <n v="2463.36"/>
    <n v="0"/>
    <n v="0"/>
    <n v="2418.2024127133745"/>
    <n v="0"/>
    <n v="0"/>
  </r>
  <r>
    <s v="Regular"/>
    <x v="0"/>
    <x v="2"/>
    <x v="4"/>
    <x v="1"/>
    <x v="0"/>
    <x v="0"/>
    <x v="2"/>
    <x v="11"/>
    <n v="90"/>
    <n v="86.4"/>
    <n v="0"/>
    <n v="0"/>
    <n v="0"/>
    <n v="0"/>
    <n v="1"/>
    <x v="0"/>
    <n v="0"/>
    <n v="16"/>
    <n v="0"/>
    <n v="0"/>
    <n v="25.66"/>
    <n v="0"/>
    <n v="0"/>
    <n v="25.189608465764316"/>
    <m/>
    <m/>
    <n v="2217.0240000000003"/>
    <n v="0"/>
    <n v="0"/>
    <n v="2176.3821714420369"/>
    <n v="0"/>
    <n v="0"/>
  </r>
  <r>
    <s v="Sistema de Compensação"/>
    <x v="0"/>
    <x v="2"/>
    <x v="4"/>
    <x v="1"/>
    <x v="0"/>
    <x v="0"/>
    <x v="2"/>
    <x v="11"/>
    <n v="250"/>
    <n v="240"/>
    <n v="0"/>
    <n v="0"/>
    <n v="0"/>
    <n v="0"/>
    <n v="2"/>
    <x v="0"/>
    <n v="0"/>
    <n v="16"/>
    <n v="0"/>
    <n v="0"/>
    <n v="25.66"/>
    <n v="0"/>
    <n v="0"/>
    <n v="25.189608465764316"/>
    <m/>
    <m/>
    <n v="6158.4"/>
    <n v="0"/>
    <n v="0"/>
    <n v="6045.5060317834359"/>
    <n v="0"/>
    <n v="0"/>
  </r>
  <r>
    <s v="Regular"/>
    <x v="0"/>
    <x v="2"/>
    <x v="4"/>
    <x v="1"/>
    <x v="0"/>
    <x v="0"/>
    <x v="1"/>
    <x v="0"/>
    <n v="0"/>
    <n v="0"/>
    <n v="2.2890000000000001"/>
    <n v="2.1974399999999998"/>
    <n v="2.2890000000000001"/>
    <n v="2.1974399999999998"/>
    <n v="0"/>
    <x v="0"/>
    <n v="0"/>
    <n v="0"/>
    <n v="25"/>
    <n v="44"/>
    <n v="0"/>
    <n v="1922.56"/>
    <n v="141.32"/>
    <m/>
    <n v="1931.7033804673958"/>
    <n v="135.80626150990429"/>
    <n v="0"/>
    <n v="4224.7102464"/>
    <n v="310.54222079999994"/>
    <n v="0"/>
    <n v="4244.8022763742738"/>
    <n v="298.42611129232404"/>
  </r>
  <r>
    <s v="Sistema de Compensação"/>
    <x v="0"/>
    <x v="2"/>
    <x v="4"/>
    <x v="1"/>
    <x v="0"/>
    <x v="0"/>
    <x v="1"/>
    <x v="0"/>
    <n v="0"/>
    <n v="0"/>
    <n v="2.2869999999999999"/>
    <n v="2.1955199999999997"/>
    <n v="2.2869999999999999"/>
    <n v="2.1955199999999997"/>
    <n v="0"/>
    <x v="0"/>
    <n v="0"/>
    <n v="0"/>
    <n v="25"/>
    <n v="44"/>
    <n v="0"/>
    <n v="1922.56"/>
    <n v="141.32"/>
    <m/>
    <n v="1931.7033804673958"/>
    <n v="135.80626150990429"/>
    <n v="0"/>
    <n v="4221.0189311999993"/>
    <n v="310.27088639999994"/>
    <n v="0"/>
    <n v="4241.0934058837765"/>
    <n v="298.16536327022504"/>
  </r>
  <r>
    <s v="Regular"/>
    <x v="0"/>
    <x v="2"/>
    <x v="4"/>
    <x v="1"/>
    <x v="0"/>
    <x v="0"/>
    <x v="1"/>
    <x v="1"/>
    <n v="0"/>
    <n v="0"/>
    <n v="0.97499999999999998"/>
    <n v="0.93600000000000005"/>
    <n v="0.97499999999999998"/>
    <n v="0.93600000000000005"/>
    <n v="0"/>
    <x v="0"/>
    <n v="0"/>
    <n v="0"/>
    <n v="25"/>
    <n v="44"/>
    <n v="0"/>
    <n v="1922.56"/>
    <n v="141.32"/>
    <m/>
    <n v="1931.7033804673958"/>
    <n v="135.80626150990429"/>
    <n v="0"/>
    <n v="1799.5161600000001"/>
    <n v="132.27552"/>
    <n v="0"/>
    <n v="1808.0743641174827"/>
    <n v="127.11466077327042"/>
  </r>
  <r>
    <s v="Sistema de Compensação"/>
    <x v="0"/>
    <x v="2"/>
    <x v="4"/>
    <x v="1"/>
    <x v="0"/>
    <x v="0"/>
    <x v="1"/>
    <x v="1"/>
    <n v="0"/>
    <n v="0"/>
    <n v="2.0619999999999998"/>
    <n v="1.9795199999999999"/>
    <n v="2.0619999999999998"/>
    <n v="1.9795199999999999"/>
    <n v="0"/>
    <x v="0"/>
    <n v="0"/>
    <n v="0"/>
    <n v="25"/>
    <n v="44"/>
    <n v="0"/>
    <n v="1922.56"/>
    <n v="141.32"/>
    <m/>
    <n v="1931.7033804673958"/>
    <n v="135.80626150990429"/>
    <n v="0"/>
    <n v="3805.7459712"/>
    <n v="279.74576639999998"/>
    <n v="0"/>
    <n v="3823.8454757028194"/>
    <n v="268.83121078408573"/>
  </r>
  <r>
    <s v="Regular"/>
    <x v="0"/>
    <x v="2"/>
    <x v="4"/>
    <x v="1"/>
    <x v="0"/>
    <x v="0"/>
    <x v="1"/>
    <x v="2"/>
    <n v="0"/>
    <n v="0"/>
    <n v="2.1949999999999998"/>
    <n v="2.1072000000000002"/>
    <n v="2.1949999999999998"/>
    <n v="2.1072000000000002"/>
    <n v="0"/>
    <x v="0"/>
    <n v="0"/>
    <n v="0"/>
    <n v="25"/>
    <n v="44"/>
    <n v="0"/>
    <n v="1922.56"/>
    <n v="141.32"/>
    <m/>
    <n v="1931.7033804673958"/>
    <n v="135.80626150990429"/>
    <n v="0"/>
    <n v="4051.2184320000001"/>
    <n v="297.78950400000002"/>
    <n v="0"/>
    <n v="4070.4853633208968"/>
    <n v="286.17095425367035"/>
  </r>
  <r>
    <s v="Sistema de Compensação"/>
    <x v="0"/>
    <x v="2"/>
    <x v="4"/>
    <x v="1"/>
    <x v="0"/>
    <x v="0"/>
    <x v="1"/>
    <x v="2"/>
    <n v="0"/>
    <n v="0"/>
    <n v="2.226"/>
    <n v="2.1369600000000002"/>
    <n v="2.226"/>
    <n v="2.1369600000000002"/>
    <n v="0"/>
    <x v="0"/>
    <n v="0"/>
    <n v="0"/>
    <n v="25"/>
    <n v="44"/>
    <n v="0"/>
    <n v="1922.56"/>
    <n v="141.32"/>
    <m/>
    <n v="1931.7033804673958"/>
    <n v="135.80626150990429"/>
    <n v="0"/>
    <n v="4108.4338176000001"/>
    <n v="301.99518720000003"/>
    <n v="0"/>
    <n v="4127.9728559236064"/>
    <n v="290.21254859620507"/>
  </r>
  <r>
    <s v="Regular"/>
    <x v="0"/>
    <x v="2"/>
    <x v="4"/>
    <x v="1"/>
    <x v="0"/>
    <x v="0"/>
    <x v="1"/>
    <x v="3"/>
    <n v="0"/>
    <n v="0"/>
    <n v="0.248"/>
    <n v="0.23808000000000001"/>
    <n v="0.248"/>
    <n v="0.23808000000000001"/>
    <n v="0"/>
    <x v="0"/>
    <n v="0"/>
    <n v="0"/>
    <n v="25"/>
    <n v="44"/>
    <n v="0"/>
    <n v="1922.56"/>
    <n v="141.32"/>
    <m/>
    <n v="1931.7033804673958"/>
    <n v="135.80626150990429"/>
    <n v="0"/>
    <n v="457.72308480000004"/>
    <n v="33.645465600000001"/>
    <n v="0"/>
    <n v="459.8999408216776"/>
    <n v="32.332754740278013"/>
  </r>
  <r>
    <s v="Sistema de Compensação"/>
    <x v="0"/>
    <x v="2"/>
    <x v="4"/>
    <x v="1"/>
    <x v="0"/>
    <x v="0"/>
    <x v="1"/>
    <x v="3"/>
    <n v="0"/>
    <n v="0"/>
    <n v="2.8319999999999999"/>
    <n v="2.7187199999999998"/>
    <n v="2.8319999999999999"/>
    <n v="2.7187199999999998"/>
    <n v="0"/>
    <x v="0"/>
    <n v="0"/>
    <n v="0"/>
    <n v="25"/>
    <n v="44"/>
    <n v="0"/>
    <n v="1922.56"/>
    <n v="141.32"/>
    <m/>
    <n v="1931.7033804673958"/>
    <n v="135.80626150990429"/>
    <n v="0"/>
    <n v="5226.902323199999"/>
    <n v="384.20951039999994"/>
    <n v="0"/>
    <n v="5251.7606145443178"/>
    <n v="369.21919929220695"/>
  </r>
  <r>
    <s v="Regular"/>
    <x v="0"/>
    <x v="2"/>
    <x v="4"/>
    <x v="1"/>
    <x v="0"/>
    <x v="0"/>
    <x v="1"/>
    <x v="4"/>
    <n v="0"/>
    <n v="0"/>
    <n v="2.1789999999999998"/>
    <n v="2.0918399999999999"/>
    <n v="2.1789999999999998"/>
    <n v="2.0918399999999999"/>
    <n v="0"/>
    <x v="0"/>
    <n v="0"/>
    <n v="0"/>
    <n v="25"/>
    <n v="44"/>
    <n v="0"/>
    <n v="1922.56"/>
    <n v="141.32"/>
    <m/>
    <n v="1931.7033804673958"/>
    <n v="135.80626150990429"/>
    <n v="0"/>
    <n v="4021.6879103999995"/>
    <n v="295.61882879999996"/>
    <n v="0"/>
    <n v="4040.814399396917"/>
    <n v="284.08497007687816"/>
  </r>
  <r>
    <s v="Sistema de Compensação"/>
    <x v="0"/>
    <x v="2"/>
    <x v="4"/>
    <x v="1"/>
    <x v="0"/>
    <x v="0"/>
    <x v="1"/>
    <x v="4"/>
    <n v="0"/>
    <n v="0"/>
    <n v="2.5579999999999998"/>
    <n v="2.4556800000000001"/>
    <n v="2.5579999999999998"/>
    <n v="2.4556800000000001"/>
    <n v="0"/>
    <x v="0"/>
    <n v="0"/>
    <n v="0"/>
    <n v="25"/>
    <n v="44"/>
    <n v="0"/>
    <n v="1922.56"/>
    <n v="141.32"/>
    <m/>
    <n v="1931.7033804673958"/>
    <n v="135.80626150990429"/>
    <n v="0"/>
    <n v="4721.1921407999998"/>
    <n v="347.03669759999997"/>
    <n v="0"/>
    <n v="4743.6453573461749"/>
    <n v="333.49672026464179"/>
  </r>
  <r>
    <s v="Regular"/>
    <x v="0"/>
    <x v="2"/>
    <x v="4"/>
    <x v="1"/>
    <x v="0"/>
    <x v="0"/>
    <x v="1"/>
    <x v="5"/>
    <n v="0"/>
    <n v="0"/>
    <n v="2.2130000000000001"/>
    <n v="2.1244800000000001"/>
    <n v="2.2130000000000001"/>
    <n v="2.1244800000000001"/>
    <n v="0"/>
    <x v="0"/>
    <n v="0"/>
    <n v="0"/>
    <n v="25"/>
    <n v="44"/>
    <n v="0"/>
    <n v="1922.56"/>
    <n v="141.32"/>
    <m/>
    <n v="1931.7033804673958"/>
    <n v="135.80626150990429"/>
    <n v="0"/>
    <n v="4084.4402688"/>
    <n v="300.23151360000003"/>
    <n v="0"/>
    <n v="4103.8651977353738"/>
    <n v="288.51768645256146"/>
  </r>
  <r>
    <s v="Sistema de Compensação"/>
    <x v="0"/>
    <x v="2"/>
    <x v="4"/>
    <x v="1"/>
    <x v="0"/>
    <x v="0"/>
    <x v="1"/>
    <x v="5"/>
    <n v="0"/>
    <n v="0"/>
    <n v="2.504"/>
    <n v="2.4038400000000002"/>
    <n v="2.504"/>
    <n v="2.4038400000000002"/>
    <n v="0"/>
    <x v="0"/>
    <n v="0"/>
    <n v="0"/>
    <n v="25"/>
    <n v="44"/>
    <n v="0"/>
    <n v="1922.56"/>
    <n v="141.32"/>
    <m/>
    <n v="1931.7033804673958"/>
    <n v="135.80626150990429"/>
    <n v="0"/>
    <n v="4621.5266304000006"/>
    <n v="339.71066880000001"/>
    <n v="0"/>
    <n v="4643.5058541027456"/>
    <n v="326.45652366796833"/>
  </r>
  <r>
    <s v="Regular"/>
    <x v="0"/>
    <x v="2"/>
    <x v="4"/>
    <x v="1"/>
    <x v="0"/>
    <x v="0"/>
    <x v="1"/>
    <x v="6"/>
    <n v="0"/>
    <n v="0"/>
    <n v="1.9279999999999999"/>
    <n v="1.8508800000000001"/>
    <n v="1.9279999999999999"/>
    <n v="1.8508800000000001"/>
    <n v="0"/>
    <x v="0"/>
    <n v="0"/>
    <n v="0"/>
    <n v="25"/>
    <n v="44"/>
    <n v="0"/>
    <n v="1922.56"/>
    <n v="141.32"/>
    <m/>
    <n v="1931.7033804673958"/>
    <n v="135.80626150990429"/>
    <n v="0"/>
    <n v="3558.4278528"/>
    <n v="261.56636159999999"/>
    <n v="0"/>
    <n v="3575.3511528394938"/>
    <n v="251.36109330345167"/>
  </r>
  <r>
    <s v="Sistema de Compensação"/>
    <x v="0"/>
    <x v="2"/>
    <x v="4"/>
    <x v="1"/>
    <x v="0"/>
    <x v="0"/>
    <x v="1"/>
    <x v="6"/>
    <n v="0"/>
    <n v="0"/>
    <n v="3.9529999999999998"/>
    <n v="3.79488"/>
    <n v="3.9529999999999998"/>
    <n v="3.79488"/>
    <n v="0"/>
    <x v="0"/>
    <n v="0"/>
    <n v="0"/>
    <n v="25"/>
    <n v="44"/>
    <n v="0"/>
    <n v="1922.56"/>
    <n v="141.32"/>
    <m/>
    <n v="1931.7033804673958"/>
    <n v="135.80626150990429"/>
    <n v="0"/>
    <n v="7295.8844927999999"/>
    <n v="536.29244159999996"/>
    <n v="0"/>
    <n v="7330.5825244681109"/>
    <n v="515.36846567870555"/>
  </r>
  <r>
    <s v="Regular"/>
    <x v="0"/>
    <x v="2"/>
    <x v="4"/>
    <x v="1"/>
    <x v="0"/>
    <x v="0"/>
    <x v="1"/>
    <x v="7"/>
    <n v="0"/>
    <n v="0"/>
    <n v="1.222"/>
    <n v="1.1731199999999999"/>
    <n v="1.222"/>
    <n v="1.1731199999999999"/>
    <n v="0"/>
    <x v="0"/>
    <n v="0"/>
    <n v="0"/>
    <n v="25"/>
    <n v="44"/>
    <n v="0"/>
    <n v="1922.56"/>
    <n v="141.32"/>
    <m/>
    <n v="1931.7033804673958"/>
    <n v="135.80626150990429"/>
    <n v="0"/>
    <n v="2255.3935871999997"/>
    <n v="165.78531839999999"/>
    <n v="0"/>
    <n v="2266.1198696939114"/>
    <n v="159.31704150249891"/>
  </r>
  <r>
    <s v="Sistema de Compensação"/>
    <x v="0"/>
    <x v="2"/>
    <x v="4"/>
    <x v="1"/>
    <x v="0"/>
    <x v="0"/>
    <x v="1"/>
    <x v="7"/>
    <n v="0"/>
    <n v="0"/>
    <n v="3.1920000000000002"/>
    <n v="3.0643199999999999"/>
    <n v="3.1920000000000002"/>
    <n v="3.0643199999999999"/>
    <n v="0"/>
    <x v="0"/>
    <n v="0"/>
    <n v="0"/>
    <n v="25"/>
    <n v="44"/>
    <n v="0"/>
    <n v="1922.56"/>
    <n v="141.32"/>
    <m/>
    <n v="1931.7033804673958"/>
    <n v="135.80626150990429"/>
    <n v="0"/>
    <n v="5891.3390591999996"/>
    <n v="433.04970239999994"/>
    <n v="0"/>
    <n v="5919.3573028338506"/>
    <n v="416.15384327002988"/>
  </r>
  <r>
    <s v="Regular"/>
    <x v="0"/>
    <x v="2"/>
    <x v="4"/>
    <x v="1"/>
    <x v="0"/>
    <x v="0"/>
    <x v="1"/>
    <x v="8"/>
    <n v="0"/>
    <n v="0"/>
    <n v="2.1120000000000001"/>
    <n v="2.02752"/>
    <n v="2.1120000000000001"/>
    <n v="2.02752"/>
    <n v="0"/>
    <x v="0"/>
    <n v="0"/>
    <n v="0"/>
    <n v="25"/>
    <n v="44"/>
    <n v="0"/>
    <n v="1922.56"/>
    <n v="141.32"/>
    <m/>
    <n v="1931.7033804673958"/>
    <n v="135.80626150990429"/>
    <n v="0"/>
    <n v="3898.0288511999997"/>
    <n v="286.5291264"/>
    <n v="0"/>
    <n v="3916.5672379652542"/>
    <n v="275.34991133656115"/>
  </r>
  <r>
    <s v="Sistema de Compensação"/>
    <x v="0"/>
    <x v="2"/>
    <x v="4"/>
    <x v="1"/>
    <x v="0"/>
    <x v="0"/>
    <x v="1"/>
    <x v="8"/>
    <n v="0"/>
    <n v="0"/>
    <n v="1.974"/>
    <n v="1.8950400000000001"/>
    <n v="1.974"/>
    <n v="1.8950400000000001"/>
    <n v="0"/>
    <x v="0"/>
    <n v="0"/>
    <n v="0"/>
    <n v="25"/>
    <n v="44"/>
    <n v="0"/>
    <n v="1922.56"/>
    <n v="141.32"/>
    <m/>
    <n v="1931.7033804673958"/>
    <n v="135.80626150990429"/>
    <n v="0"/>
    <n v="3643.3281023999998"/>
    <n v="267.80705280000001"/>
    <n v="0"/>
    <n v="3660.6551741209341"/>
    <n v="257.35829781172902"/>
  </r>
  <r>
    <s v="Regular"/>
    <x v="0"/>
    <x v="2"/>
    <x v="4"/>
    <x v="1"/>
    <x v="0"/>
    <x v="0"/>
    <x v="1"/>
    <x v="9"/>
    <n v="0"/>
    <n v="0"/>
    <n v="0.19900000000000001"/>
    <n v="0.19103999999999999"/>
    <n v="0.19900000000000001"/>
    <n v="0.19103999999999999"/>
    <n v="0"/>
    <x v="0"/>
    <n v="0"/>
    <n v="0"/>
    <n v="25"/>
    <n v="44"/>
    <n v="0"/>
    <n v="1922.56"/>
    <n v="141.32"/>
    <m/>
    <n v="1931.7033804673958"/>
    <n v="135.80626150990429"/>
    <n v="0"/>
    <n v="367.28586239999998"/>
    <n v="26.997772799999996"/>
    <n v="0"/>
    <n v="369.03261380449129"/>
    <n v="25.944428198852112"/>
  </r>
  <r>
    <s v="Sistema de Compensação"/>
    <x v="0"/>
    <x v="2"/>
    <x v="4"/>
    <x v="1"/>
    <x v="0"/>
    <x v="0"/>
    <x v="1"/>
    <x v="9"/>
    <n v="0"/>
    <n v="0"/>
    <n v="2.44"/>
    <n v="2.3424"/>
    <n v="2.44"/>
    <n v="2.3424"/>
    <n v="0"/>
    <x v="0"/>
    <n v="0"/>
    <n v="0"/>
    <n v="25"/>
    <n v="44"/>
    <n v="0"/>
    <n v="1922.56"/>
    <n v="141.32"/>
    <m/>
    <n v="1931.7033804673958"/>
    <n v="135.80626150990429"/>
    <n v="0"/>
    <n v="4503.404544"/>
    <n v="331.02796799999999"/>
    <n v="0"/>
    <n v="4524.8219984068282"/>
    <n v="318.11258696079983"/>
  </r>
  <r>
    <s v="Regular"/>
    <x v="0"/>
    <x v="2"/>
    <x v="4"/>
    <x v="1"/>
    <x v="0"/>
    <x v="0"/>
    <x v="1"/>
    <x v="10"/>
    <n v="0"/>
    <n v="0"/>
    <n v="0.11899999999999999"/>
    <n v="0.11423999999999999"/>
    <n v="0.11899999999999999"/>
    <n v="0.11423999999999999"/>
    <n v="0"/>
    <x v="0"/>
    <n v="0"/>
    <n v="0"/>
    <n v="25"/>
    <n v="44"/>
    <n v="0"/>
    <n v="1922.56"/>
    <n v="141.32"/>
    <m/>
    <n v="1931.7033804673958"/>
    <n v="135.80626150990429"/>
    <n v="0"/>
    <n v="219.63325439999997"/>
    <n v="16.144396799999999"/>
    <n v="0"/>
    <n v="220.67779418459529"/>
    <n v="15.514507314891466"/>
  </r>
  <r>
    <s v="Regular"/>
    <x v="0"/>
    <x v="2"/>
    <x v="4"/>
    <x v="1"/>
    <x v="0"/>
    <x v="0"/>
    <x v="1"/>
    <x v="11"/>
    <n v="0"/>
    <n v="0"/>
    <n v="1.5349999999999999"/>
    <n v="1.4736"/>
    <n v="1.5349999999999999"/>
    <n v="1.4736"/>
    <n v="0"/>
    <x v="0"/>
    <n v="0"/>
    <n v="0"/>
    <n v="25"/>
    <n v="44"/>
    <n v="0"/>
    <n v="1922.56"/>
    <n v="141.32"/>
    <m/>
    <n v="1931.7033804673958"/>
    <n v="135.80626150990429"/>
    <n v="0"/>
    <n v="2833.0844160000001"/>
    <n v="208.24915199999998"/>
    <n v="0"/>
    <n v="2846.5581014567547"/>
    <n v="200.12410696099496"/>
  </r>
  <r>
    <s v="Regular"/>
    <x v="0"/>
    <x v="2"/>
    <x v="0"/>
    <x v="0"/>
    <x v="0"/>
    <x v="0"/>
    <x v="0"/>
    <x v="0"/>
    <n v="0"/>
    <n v="0"/>
    <n v="8.99"/>
    <n v="8.4505999999999997"/>
    <n v="8.99"/>
    <n v="8.4505999999999997"/>
    <n v="0"/>
    <x v="0"/>
    <n v="0"/>
    <n v="0"/>
    <n v="23"/>
    <n v="51"/>
    <n v="0"/>
    <n v="66.22"/>
    <n v="141.32"/>
    <m/>
    <n v="99.847749713611876"/>
    <n v="135.80626150990429"/>
    <n v="0"/>
    <n v="559.59873199999993"/>
    <n v="1194.2387919999999"/>
    <n v="0"/>
    <n v="843.77339372984852"/>
    <n v="1147.6443935155971"/>
  </r>
  <r>
    <s v="Regular"/>
    <x v="0"/>
    <x v="2"/>
    <x v="0"/>
    <x v="0"/>
    <x v="0"/>
    <x v="0"/>
    <x v="0"/>
    <x v="1"/>
    <n v="0"/>
    <n v="0"/>
    <n v="20.884"/>
    <n v="19.630960000000002"/>
    <n v="20.884"/>
    <n v="19.630960000000002"/>
    <n v="0"/>
    <x v="0"/>
    <n v="0"/>
    <n v="0"/>
    <n v="23"/>
    <n v="51"/>
    <n v="0"/>
    <n v="66.22"/>
    <n v="141.32"/>
    <m/>
    <n v="99.847749713611876"/>
    <n v="135.80626150990429"/>
    <n v="0"/>
    <n v="1299.9621712000001"/>
    <n v="2774.2472671999999"/>
    <n v="0"/>
    <n v="1960.1071807179264"/>
    <n v="2666.0072874504708"/>
  </r>
  <r>
    <s v="Regular"/>
    <x v="0"/>
    <x v="2"/>
    <x v="0"/>
    <x v="0"/>
    <x v="0"/>
    <x v="0"/>
    <x v="0"/>
    <x v="2"/>
    <n v="0"/>
    <n v="0"/>
    <n v="42.347999999999999"/>
    <n v="39.807119999999998"/>
    <n v="42.347999999999999"/>
    <n v="39.807119999999998"/>
    <n v="0"/>
    <x v="0"/>
    <n v="0"/>
    <n v="0"/>
    <n v="23"/>
    <n v="51"/>
    <n v="0"/>
    <n v="66.22"/>
    <n v="141.32"/>
    <m/>
    <n v="99.847749713611876"/>
    <n v="135.80626150990429"/>
    <n v="0"/>
    <n v="2636.0274863999998"/>
    <n v="5625.5421983999995"/>
    <n v="0"/>
    <n v="3974.6513545797134"/>
    <n v="5406.0561486761408"/>
  </r>
  <r>
    <s v="Regular"/>
    <x v="0"/>
    <x v="2"/>
    <x v="0"/>
    <x v="0"/>
    <x v="0"/>
    <x v="0"/>
    <x v="0"/>
    <x v="3"/>
    <n v="0"/>
    <n v="0"/>
    <n v="44.311999999999998"/>
    <n v="41.653280000000002"/>
    <n v="44.311999999999998"/>
    <n v="41.653280000000002"/>
    <n v="0"/>
    <x v="0"/>
    <n v="0"/>
    <n v="0"/>
    <n v="23"/>
    <n v="51"/>
    <n v="0"/>
    <n v="66.22"/>
    <n v="141.32"/>
    <m/>
    <n v="99.847749713611876"/>
    <n v="135.80626150990429"/>
    <n v="0"/>
    <n v="2758.2802016000001"/>
    <n v="5886.4415295999997"/>
    <n v="0"/>
    <n v="4158.9862761909953"/>
    <n v="5656.7762364252667"/>
  </r>
  <r>
    <s v="Regular"/>
    <x v="0"/>
    <x v="2"/>
    <x v="0"/>
    <x v="0"/>
    <x v="0"/>
    <x v="0"/>
    <x v="0"/>
    <x v="4"/>
    <n v="0"/>
    <n v="0"/>
    <n v="46.517000000000003"/>
    <n v="43.72598"/>
    <n v="46.517000000000003"/>
    <n v="43.72598"/>
    <n v="0"/>
    <x v="0"/>
    <n v="0"/>
    <n v="0"/>
    <n v="23"/>
    <n v="51"/>
    <n v="0"/>
    <n v="66.22"/>
    <n v="141.32"/>
    <m/>
    <n v="99.847749713611876"/>
    <n v="135.80626150990429"/>
    <n v="0"/>
    <n v="2895.5343956000002"/>
    <n v="6179.3554936"/>
    <n v="0"/>
    <n v="4365.9407070223988"/>
    <n v="5938.2618746568451"/>
  </r>
  <r>
    <s v="Regular"/>
    <x v="0"/>
    <x v="2"/>
    <x v="0"/>
    <x v="0"/>
    <x v="0"/>
    <x v="0"/>
    <x v="0"/>
    <x v="5"/>
    <n v="0"/>
    <n v="0"/>
    <n v="38.237000000000002"/>
    <n v="35.942779999999999"/>
    <n v="38.237000000000002"/>
    <n v="35.942779999999999"/>
    <n v="0"/>
    <x v="0"/>
    <n v="0"/>
    <n v="0"/>
    <n v="23"/>
    <n v="51"/>
    <n v="0"/>
    <n v="66.22"/>
    <n v="141.32"/>
    <m/>
    <n v="99.847749713611876"/>
    <n v="135.80626150990429"/>
    <n v="0"/>
    <n v="2380.1308915999998"/>
    <n v="5079.4336696"/>
    <n v="0"/>
    <n v="3588.8057014514147"/>
    <n v="4881.2545800729577"/>
  </r>
  <r>
    <s v="Regular"/>
    <x v="0"/>
    <x v="2"/>
    <x v="0"/>
    <x v="0"/>
    <x v="0"/>
    <x v="0"/>
    <x v="0"/>
    <x v="6"/>
    <n v="0"/>
    <n v="0"/>
    <n v="41.484000000000002"/>
    <n v="38.994959999999999"/>
    <n v="41.484000000000002"/>
    <n v="38.994959999999999"/>
    <n v="0"/>
    <x v="0"/>
    <n v="0"/>
    <n v="0"/>
    <n v="23"/>
    <n v="51"/>
    <n v="0"/>
    <n v="66.22"/>
    <n v="141.32"/>
    <m/>
    <n v="99.847749713611876"/>
    <n v="135.80626150990429"/>
    <n v="0"/>
    <n v="2582.2462511999997"/>
    <n v="5510.7677471999996"/>
    <n v="0"/>
    <n v="3893.5590061723065"/>
    <n v="5295.7597353282572"/>
  </r>
  <r>
    <s v="Regular"/>
    <x v="0"/>
    <x v="2"/>
    <x v="0"/>
    <x v="0"/>
    <x v="0"/>
    <x v="0"/>
    <x v="0"/>
    <x v="7"/>
    <n v="0"/>
    <n v="0"/>
    <n v="34.99"/>
    <n v="32.890599999999999"/>
    <n v="34.99"/>
    <n v="32.890599999999999"/>
    <n v="0"/>
    <x v="0"/>
    <n v="0"/>
    <n v="0"/>
    <n v="23"/>
    <n v="51"/>
    <n v="0"/>
    <n v="66.22"/>
    <n v="141.32"/>
    <m/>
    <n v="99.847749713611876"/>
    <n v="135.80626150990429"/>
    <n v="0"/>
    <n v="2178.0155319999999"/>
    <n v="4648.0995919999996"/>
    <n v="0"/>
    <n v="3284.0523967305226"/>
    <n v="4466.7494248176581"/>
  </r>
  <r>
    <s v="Regular"/>
    <x v="0"/>
    <x v="2"/>
    <x v="0"/>
    <x v="0"/>
    <x v="0"/>
    <x v="0"/>
    <x v="0"/>
    <x v="8"/>
    <n v="0"/>
    <n v="0"/>
    <n v="6.7729999999999997"/>
    <n v="6.3666200000000002"/>
    <n v="6.7729999999999997"/>
    <n v="6.3666200000000002"/>
    <n v="0"/>
    <x v="0"/>
    <n v="0"/>
    <n v="0"/>
    <n v="23"/>
    <n v="51"/>
    <n v="0"/>
    <n v="66.22"/>
    <n v="141.32"/>
    <m/>
    <n v="99.847749713611876"/>
    <n v="135.80626150990429"/>
    <n v="0"/>
    <n v="421.59757639999998"/>
    <n v="899.73073839999995"/>
    <n v="0"/>
    <n v="635.69268028167562"/>
    <n v="864.62686065418688"/>
  </r>
  <r>
    <s v="Regular"/>
    <x v="0"/>
    <x v="2"/>
    <x v="0"/>
    <x v="0"/>
    <x v="0"/>
    <x v="0"/>
    <x v="0"/>
    <x v="10"/>
    <n v="0"/>
    <n v="0"/>
    <n v="7.66"/>
    <n v="7.2004000000000001"/>
    <n v="7.66"/>
    <n v="7.2004000000000001"/>
    <n v="0"/>
    <x v="0"/>
    <n v="0"/>
    <n v="0"/>
    <n v="23"/>
    <n v="51"/>
    <n v="0"/>
    <n v="66.22"/>
    <n v="141.32"/>
    <m/>
    <n v="99.847749713611876"/>
    <n v="135.80626150990429"/>
    <n v="0"/>
    <n v="476.81048800000002"/>
    <n v="1017.560528"/>
    <n v="0"/>
    <n v="718.94373703789097"/>
    <n v="977.85940537591489"/>
  </r>
  <r>
    <s v="Regular"/>
    <x v="0"/>
    <x v="2"/>
    <x v="0"/>
    <x v="0"/>
    <x v="0"/>
    <x v="0"/>
    <x v="0"/>
    <x v="11"/>
    <n v="0"/>
    <n v="0"/>
    <n v="26.152999999999999"/>
    <n v="24.583819999999999"/>
    <n v="26.152999999999999"/>
    <n v="24.583819999999999"/>
    <n v="0"/>
    <x v="0"/>
    <n v="0"/>
    <n v="0"/>
    <n v="23"/>
    <n v="51"/>
    <n v="0"/>
    <n v="66.22"/>
    <n v="141.32"/>
    <m/>
    <n v="99.847749713611876"/>
    <n v="135.80626150990429"/>
    <n v="0"/>
    <n v="1627.9405603999999"/>
    <n v="3474.1854423999998"/>
    <n v="0"/>
    <n v="2454.639106364486"/>
    <n v="3338.6366878324152"/>
  </r>
  <r>
    <s v="Regular"/>
    <x v="0"/>
    <x v="2"/>
    <x v="0"/>
    <x v="0"/>
    <x v="0"/>
    <x v="0"/>
    <x v="2"/>
    <x v="0"/>
    <n v="80"/>
    <n v="68"/>
    <n v="0"/>
    <n v="0"/>
    <n v="0"/>
    <n v="0"/>
    <n v="1"/>
    <x v="0"/>
    <n v="0"/>
    <n v="16"/>
    <n v="0"/>
    <n v="0"/>
    <n v="25.66"/>
    <n v="0"/>
    <n v="0"/>
    <n v="25.189608465764316"/>
    <m/>
    <m/>
    <n v="1744.88"/>
    <n v="0"/>
    <n v="0"/>
    <n v="1712.8933756719734"/>
    <n v="0"/>
    <n v="0"/>
  </r>
  <r>
    <s v="Regular"/>
    <x v="0"/>
    <x v="2"/>
    <x v="0"/>
    <x v="0"/>
    <x v="0"/>
    <x v="0"/>
    <x v="2"/>
    <x v="1"/>
    <n v="87"/>
    <n v="73.95"/>
    <n v="0"/>
    <n v="0"/>
    <n v="0"/>
    <n v="0"/>
    <n v="1"/>
    <x v="0"/>
    <n v="0"/>
    <n v="16"/>
    <n v="0"/>
    <n v="0"/>
    <n v="25.66"/>
    <n v="0"/>
    <n v="0"/>
    <n v="25.189608465764316"/>
    <m/>
    <m/>
    <n v="1897.557"/>
    <n v="0"/>
    <n v="0"/>
    <n v="1862.7715460432712"/>
    <n v="0"/>
    <n v="0"/>
  </r>
  <r>
    <s v="Regular"/>
    <x v="0"/>
    <x v="2"/>
    <x v="0"/>
    <x v="0"/>
    <x v="0"/>
    <x v="0"/>
    <x v="2"/>
    <x v="2"/>
    <n v="89"/>
    <n v="75.649999999999991"/>
    <n v="0"/>
    <n v="0"/>
    <n v="0"/>
    <n v="0"/>
    <n v="1"/>
    <x v="0"/>
    <n v="0"/>
    <n v="16"/>
    <n v="0"/>
    <n v="0"/>
    <n v="25.66"/>
    <n v="0"/>
    <n v="0"/>
    <n v="25.189608465764316"/>
    <m/>
    <m/>
    <n v="1941.1789999999999"/>
    <n v="0"/>
    <n v="0"/>
    <n v="1905.5938804350703"/>
    <n v="0"/>
    <n v="0"/>
  </r>
  <r>
    <s v="Regular"/>
    <x v="0"/>
    <x v="2"/>
    <x v="0"/>
    <x v="0"/>
    <x v="0"/>
    <x v="0"/>
    <x v="2"/>
    <x v="3"/>
    <n v="85"/>
    <n v="72.25"/>
    <n v="0"/>
    <n v="0"/>
    <n v="0"/>
    <n v="0"/>
    <n v="1"/>
    <x v="0"/>
    <n v="0"/>
    <n v="16"/>
    <n v="0"/>
    <n v="0"/>
    <n v="25.66"/>
    <n v="0"/>
    <n v="0"/>
    <n v="25.189608465764316"/>
    <m/>
    <m/>
    <n v="1853.9349999999999"/>
    <n v="0"/>
    <n v="0"/>
    <n v="1819.9492116514718"/>
    <n v="0"/>
    <n v="0"/>
  </r>
  <r>
    <s v="Regular"/>
    <x v="0"/>
    <x v="2"/>
    <x v="0"/>
    <x v="0"/>
    <x v="0"/>
    <x v="0"/>
    <x v="2"/>
    <x v="4"/>
    <n v="84"/>
    <n v="71.399999999999991"/>
    <n v="0"/>
    <n v="0"/>
    <n v="0"/>
    <n v="0"/>
    <n v="1"/>
    <x v="0"/>
    <n v="0"/>
    <n v="16"/>
    <n v="0"/>
    <n v="0"/>
    <n v="25.66"/>
    <n v="0"/>
    <n v="0"/>
    <n v="25.189608465764316"/>
    <m/>
    <m/>
    <n v="1832.1239999999998"/>
    <n v="0"/>
    <n v="0"/>
    <n v="1798.5380444555719"/>
    <n v="0"/>
    <n v="0"/>
  </r>
  <r>
    <s v="Regular"/>
    <x v="0"/>
    <x v="2"/>
    <x v="0"/>
    <x v="0"/>
    <x v="0"/>
    <x v="0"/>
    <x v="2"/>
    <x v="5"/>
    <n v="84"/>
    <n v="71.399999999999991"/>
    <n v="0"/>
    <n v="0"/>
    <n v="0"/>
    <n v="0"/>
    <n v="1"/>
    <x v="0"/>
    <n v="0"/>
    <n v="16"/>
    <n v="0"/>
    <n v="0"/>
    <n v="25.66"/>
    <n v="0"/>
    <n v="0"/>
    <n v="25.189608465764316"/>
    <m/>
    <m/>
    <n v="1832.1239999999998"/>
    <n v="0"/>
    <n v="0"/>
    <n v="1798.5380444555719"/>
    <n v="0"/>
    <n v="0"/>
  </r>
  <r>
    <s v="Regular"/>
    <x v="0"/>
    <x v="2"/>
    <x v="0"/>
    <x v="0"/>
    <x v="0"/>
    <x v="0"/>
    <x v="2"/>
    <x v="6"/>
    <n v="85"/>
    <n v="72.25"/>
    <n v="0"/>
    <n v="0"/>
    <n v="0"/>
    <n v="0"/>
    <n v="1"/>
    <x v="0"/>
    <n v="0"/>
    <n v="16"/>
    <n v="0"/>
    <n v="0"/>
    <n v="25.66"/>
    <n v="0"/>
    <n v="0"/>
    <n v="25.189608465764316"/>
    <m/>
    <m/>
    <n v="1853.9349999999999"/>
    <n v="0"/>
    <n v="0"/>
    <n v="1819.9492116514718"/>
    <n v="0"/>
    <n v="0"/>
  </r>
  <r>
    <s v="Regular"/>
    <x v="0"/>
    <x v="2"/>
    <x v="0"/>
    <x v="0"/>
    <x v="0"/>
    <x v="0"/>
    <x v="2"/>
    <x v="7"/>
    <n v="87"/>
    <n v="73.95"/>
    <n v="0"/>
    <n v="0"/>
    <n v="0"/>
    <n v="0"/>
    <n v="1"/>
    <x v="0"/>
    <n v="0"/>
    <n v="16"/>
    <n v="0"/>
    <n v="0"/>
    <n v="25.66"/>
    <n v="0"/>
    <n v="0"/>
    <n v="25.189608465764316"/>
    <m/>
    <m/>
    <n v="1897.557"/>
    <n v="0"/>
    <n v="0"/>
    <n v="1862.7715460432712"/>
    <n v="0"/>
    <n v="0"/>
  </r>
  <r>
    <s v="Regular"/>
    <x v="0"/>
    <x v="2"/>
    <x v="0"/>
    <x v="0"/>
    <x v="0"/>
    <x v="0"/>
    <x v="2"/>
    <x v="8"/>
    <n v="88"/>
    <n v="74.8"/>
    <n v="0"/>
    <n v="0"/>
    <n v="0"/>
    <n v="0"/>
    <n v="1"/>
    <x v="0"/>
    <n v="0"/>
    <n v="16"/>
    <n v="0"/>
    <n v="0"/>
    <n v="25.66"/>
    <n v="0"/>
    <n v="0"/>
    <n v="25.189608465764316"/>
    <m/>
    <m/>
    <n v="1919.3679999999999"/>
    <n v="0"/>
    <n v="0"/>
    <n v="1884.1827132391707"/>
    <n v="0"/>
    <n v="0"/>
  </r>
  <r>
    <s v="Regular"/>
    <x v="0"/>
    <x v="2"/>
    <x v="0"/>
    <x v="0"/>
    <x v="0"/>
    <x v="0"/>
    <x v="2"/>
    <x v="9"/>
    <n v="88"/>
    <n v="74.8"/>
    <n v="0"/>
    <n v="0"/>
    <n v="0"/>
    <n v="0"/>
    <n v="1"/>
    <x v="0"/>
    <n v="0"/>
    <n v="16"/>
    <n v="0"/>
    <n v="0"/>
    <n v="25.66"/>
    <n v="0"/>
    <n v="0"/>
    <n v="25.189608465764316"/>
    <m/>
    <m/>
    <n v="1919.3679999999999"/>
    <n v="0"/>
    <n v="0"/>
    <n v="1884.1827132391707"/>
    <n v="0"/>
    <n v="0"/>
  </r>
  <r>
    <s v="Regular"/>
    <x v="0"/>
    <x v="2"/>
    <x v="0"/>
    <x v="0"/>
    <x v="0"/>
    <x v="0"/>
    <x v="2"/>
    <x v="10"/>
    <n v="88"/>
    <n v="74.8"/>
    <n v="0"/>
    <n v="0"/>
    <n v="0"/>
    <n v="0"/>
    <n v="1"/>
    <x v="0"/>
    <n v="0"/>
    <n v="16"/>
    <n v="0"/>
    <n v="0"/>
    <n v="25.66"/>
    <n v="0"/>
    <n v="0"/>
    <n v="25.189608465764316"/>
    <m/>
    <m/>
    <n v="1919.3679999999999"/>
    <n v="0"/>
    <n v="0"/>
    <n v="1884.1827132391707"/>
    <n v="0"/>
    <n v="0"/>
  </r>
  <r>
    <s v="Regular"/>
    <x v="0"/>
    <x v="2"/>
    <x v="0"/>
    <x v="0"/>
    <x v="0"/>
    <x v="0"/>
    <x v="2"/>
    <x v="11"/>
    <n v="88"/>
    <n v="74.8"/>
    <n v="0"/>
    <n v="0"/>
    <n v="0"/>
    <n v="0"/>
    <n v="1"/>
    <x v="0"/>
    <n v="0"/>
    <n v="16"/>
    <n v="0"/>
    <n v="0"/>
    <n v="25.66"/>
    <n v="0"/>
    <n v="0"/>
    <n v="25.189608465764316"/>
    <m/>
    <m/>
    <n v="1919.3679999999999"/>
    <n v="0"/>
    <n v="0"/>
    <n v="1884.1827132391707"/>
    <n v="0"/>
    <n v="0"/>
  </r>
  <r>
    <s v="Regular"/>
    <x v="0"/>
    <x v="2"/>
    <x v="0"/>
    <x v="0"/>
    <x v="0"/>
    <x v="0"/>
    <x v="1"/>
    <x v="0"/>
    <n v="0"/>
    <n v="0"/>
    <n v="1.157"/>
    <n v="1.08758"/>
    <n v="1.157"/>
    <n v="1.08758"/>
    <n v="0"/>
    <x v="0"/>
    <n v="0"/>
    <n v="0"/>
    <n v="25"/>
    <n v="44"/>
    <n v="0"/>
    <n v="1922.56"/>
    <n v="141.32"/>
    <m/>
    <n v="1931.7033804673958"/>
    <n v="135.80626150990429"/>
    <n v="0"/>
    <n v="2090.9378047999999"/>
    <n v="153.6968056"/>
    <n v="0"/>
    <n v="2100.8819625287306"/>
    <n v="147.70017389294171"/>
  </r>
  <r>
    <s v="Regular"/>
    <x v="0"/>
    <x v="2"/>
    <x v="0"/>
    <x v="0"/>
    <x v="0"/>
    <x v="0"/>
    <x v="1"/>
    <x v="1"/>
    <n v="0"/>
    <n v="0"/>
    <n v="2.4889999999999999"/>
    <n v="2.3396599999999999"/>
    <n v="2.4889999999999999"/>
    <n v="2.3396599999999999"/>
    <n v="0"/>
    <x v="0"/>
    <n v="0"/>
    <n v="0"/>
    <n v="25"/>
    <n v="44"/>
    <n v="0"/>
    <n v="1922.56"/>
    <n v="141.32"/>
    <m/>
    <n v="1931.7033804673958"/>
    <n v="135.80626150990429"/>
    <n v="0"/>
    <n v="4498.1367295999999"/>
    <n v="330.64075119999995"/>
    <n v="0"/>
    <n v="4519.529131144347"/>
    <n v="317.74047780426264"/>
  </r>
  <r>
    <s v="Regular"/>
    <x v="0"/>
    <x v="2"/>
    <x v="0"/>
    <x v="0"/>
    <x v="0"/>
    <x v="0"/>
    <x v="1"/>
    <x v="2"/>
    <n v="0"/>
    <n v="0"/>
    <n v="4.4770000000000003"/>
    <n v="4.20838"/>
    <n v="4.4770000000000003"/>
    <n v="4.20838"/>
    <n v="0"/>
    <x v="0"/>
    <n v="0"/>
    <n v="0"/>
    <n v="25"/>
    <n v="44"/>
    <n v="0"/>
    <n v="1922.56"/>
    <n v="141.32"/>
    <m/>
    <n v="1931.7033804673958"/>
    <n v="135.80626150990429"/>
    <n v="0"/>
    <n v="8090.8630527999994"/>
    <n v="594.7282616"/>
    <n v="0"/>
    <n v="8129.3418722913793"/>
    <n v="571.52435481305099"/>
  </r>
  <r>
    <s v="Regular"/>
    <x v="0"/>
    <x v="2"/>
    <x v="0"/>
    <x v="0"/>
    <x v="0"/>
    <x v="0"/>
    <x v="1"/>
    <x v="3"/>
    <n v="0"/>
    <n v="0"/>
    <n v="5.694"/>
    <n v="5.35236"/>
    <n v="5.694"/>
    <n v="5.35236"/>
    <n v="0"/>
    <x v="0"/>
    <n v="0"/>
    <n v="0"/>
    <n v="25"/>
    <n v="44"/>
    <n v="0"/>
    <n v="1922.56"/>
    <n v="141.32"/>
    <m/>
    <n v="1931.7033804673958"/>
    <n v="135.80626150990429"/>
    <n v="0"/>
    <n v="10290.233241599999"/>
    <n v="756.39551519999998"/>
    <n v="0"/>
    <n v="10339.171905478472"/>
    <n v="726.88400185515127"/>
  </r>
  <r>
    <s v="Regular"/>
    <x v="0"/>
    <x v="2"/>
    <x v="0"/>
    <x v="0"/>
    <x v="0"/>
    <x v="0"/>
    <x v="1"/>
    <x v="4"/>
    <n v="0"/>
    <n v="0"/>
    <n v="4.8470000000000004"/>
    <n v="4.5561800000000003"/>
    <n v="4.8470000000000004"/>
    <n v="4.5561800000000003"/>
    <n v="0"/>
    <x v="0"/>
    <n v="0"/>
    <n v="0"/>
    <n v="25"/>
    <n v="44"/>
    <n v="0"/>
    <n v="1922.56"/>
    <n v="141.32"/>
    <m/>
    <n v="1931.7033804673958"/>
    <n v="135.80626150990429"/>
    <n v="0"/>
    <n v="8759.5294207999996"/>
    <n v="643.87935760000005"/>
    <n v="0"/>
    <n v="8801.1883080179396"/>
    <n v="618.75777256619574"/>
  </r>
  <r>
    <s v="Regular"/>
    <x v="0"/>
    <x v="2"/>
    <x v="0"/>
    <x v="0"/>
    <x v="0"/>
    <x v="0"/>
    <x v="1"/>
    <x v="5"/>
    <n v="0"/>
    <n v="0"/>
    <n v="4.827"/>
    <n v="4.5373799999999997"/>
    <n v="4.827"/>
    <n v="4.5373799999999997"/>
    <n v="0"/>
    <x v="0"/>
    <n v="0"/>
    <n v="0"/>
    <n v="25"/>
    <n v="44"/>
    <n v="0"/>
    <n v="1922.56"/>
    <n v="141.32"/>
    <m/>
    <n v="1931.7033804673958"/>
    <n v="135.80626150990429"/>
    <n v="0"/>
    <n v="8723.3852927999997"/>
    <n v="641.22254159999989"/>
    <n v="0"/>
    <n v="8764.8722844651529"/>
    <n v="616.20461484980945"/>
  </r>
  <r>
    <s v="Regular"/>
    <x v="0"/>
    <x v="2"/>
    <x v="0"/>
    <x v="0"/>
    <x v="0"/>
    <x v="0"/>
    <x v="1"/>
    <x v="6"/>
    <n v="0"/>
    <n v="0"/>
    <n v="5.0430000000000001"/>
    <n v="4.7404200000000003"/>
    <n v="5.0430000000000001"/>
    <n v="4.7404200000000003"/>
    <n v="0"/>
    <x v="0"/>
    <n v="0"/>
    <n v="0"/>
    <n v="25"/>
    <n v="44"/>
    <n v="0"/>
    <n v="1922.56"/>
    <n v="141.32"/>
    <m/>
    <n v="1931.7033804673958"/>
    <n v="135.80626150990429"/>
    <n v="0"/>
    <n v="9113.7418751999994"/>
    <n v="669.91615439999998"/>
    <n v="0"/>
    <n v="9157.0853388352534"/>
    <n v="643.77871818678057"/>
  </r>
  <r>
    <s v="Regular"/>
    <x v="0"/>
    <x v="2"/>
    <x v="0"/>
    <x v="0"/>
    <x v="0"/>
    <x v="0"/>
    <x v="1"/>
    <x v="7"/>
    <n v="0"/>
    <n v="0"/>
    <n v="3.74"/>
    <n v="3.5156000000000001"/>
    <n v="3.74"/>
    <n v="3.5156000000000001"/>
    <n v="0"/>
    <x v="0"/>
    <n v="0"/>
    <n v="0"/>
    <n v="25"/>
    <n v="44"/>
    <n v="0"/>
    <n v="1922.56"/>
    <n v="141.32"/>
    <m/>
    <n v="1931.7033804673958"/>
    <n v="135.80626150990429"/>
    <n v="0"/>
    <n v="6758.9519359999995"/>
    <n v="496.824592"/>
    <n v="0"/>
    <n v="6791.0964043711765"/>
    <n v="477.44049296421952"/>
  </r>
  <r>
    <s v="Regular"/>
    <x v="0"/>
    <x v="2"/>
    <x v="0"/>
    <x v="0"/>
    <x v="0"/>
    <x v="0"/>
    <x v="1"/>
    <x v="8"/>
    <n v="0"/>
    <n v="0"/>
    <n v="0.52400000000000002"/>
    <n v="0.49256"/>
    <n v="0.52400000000000002"/>
    <n v="0.49256"/>
    <n v="0"/>
    <x v="0"/>
    <n v="0"/>
    <n v="0"/>
    <n v="25"/>
    <n v="44"/>
    <n v="0"/>
    <n v="1922.56"/>
    <n v="141.32"/>
    <m/>
    <n v="1931.7033804673958"/>
    <n v="135.80626150990429"/>
    <n v="0"/>
    <n v="946.97615359999998"/>
    <n v="69.608579199999994"/>
    <n v="0"/>
    <n v="951.47981708302052"/>
    <n v="66.89273216931845"/>
  </r>
  <r>
    <s v="Regular"/>
    <x v="0"/>
    <x v="2"/>
    <x v="0"/>
    <x v="0"/>
    <x v="0"/>
    <x v="0"/>
    <x v="1"/>
    <x v="10"/>
    <n v="0"/>
    <n v="0"/>
    <n v="0.77600000000000002"/>
    <n v="0.72943999999999998"/>
    <n v="0.77600000000000002"/>
    <n v="0.72943999999999998"/>
    <n v="0"/>
    <x v="0"/>
    <n v="0"/>
    <n v="0"/>
    <n v="25"/>
    <n v="44"/>
    <n v="0"/>
    <n v="1922.56"/>
    <n v="141.32"/>
    <m/>
    <n v="1931.7033804673958"/>
    <n v="135.80626150990429"/>
    <n v="0"/>
    <n v="1402.3921664"/>
    <n v="103.08446079999999"/>
    <n v="0"/>
    <n v="1409.0617138481373"/>
    <n v="99.062519395784577"/>
  </r>
  <r>
    <s v="Regular"/>
    <x v="0"/>
    <x v="2"/>
    <x v="0"/>
    <x v="0"/>
    <x v="0"/>
    <x v="0"/>
    <x v="1"/>
    <x v="11"/>
    <n v="0"/>
    <n v="0"/>
    <n v="2.86"/>
    <n v="2.6884000000000001"/>
    <n v="2.86"/>
    <n v="2.6884000000000001"/>
    <n v="0"/>
    <x v="0"/>
    <n v="0"/>
    <n v="0"/>
    <n v="25"/>
    <n v="44"/>
    <n v="0"/>
    <n v="1922.56"/>
    <n v="141.32"/>
    <m/>
    <n v="1931.7033804673958"/>
    <n v="135.80626150990429"/>
    <n v="0"/>
    <n v="5168.6103039999998"/>
    <n v="379.924688"/>
    <n v="0"/>
    <n v="5193.1913680485468"/>
    <n v="365.10155344322669"/>
  </r>
  <r>
    <s v="Regular"/>
    <x v="1"/>
    <x v="3"/>
    <x v="5"/>
    <x v="2"/>
    <x v="0"/>
    <x v="0"/>
    <x v="2"/>
    <x v="0"/>
    <n v="0"/>
    <n v="0"/>
    <n v="753.95"/>
    <n v="753.95"/>
    <n v="753.95"/>
    <n v="753.95"/>
    <n v="4009"/>
    <x v="0"/>
    <n v="0"/>
    <n v="0"/>
    <n v="2"/>
    <n v="32"/>
    <n v="0"/>
    <n v="377.01"/>
    <n v="141.32"/>
    <m/>
    <n v="415.67450254064073"/>
    <n v="135.80626150990429"/>
    <n v="0"/>
    <n v="284246.68950000004"/>
    <n v="106548.21400000001"/>
    <n v="0"/>
    <n v="313397.79119051609"/>
    <n v="102391.13086539235"/>
  </r>
  <r>
    <s v="Refaturamento - Regular"/>
    <x v="1"/>
    <x v="3"/>
    <x v="5"/>
    <x v="2"/>
    <x v="0"/>
    <x v="0"/>
    <x v="2"/>
    <x v="0"/>
    <n v="0"/>
    <n v="0"/>
    <n v="-0.61199999999999999"/>
    <n v="-0.61199999999999999"/>
    <n v="-0.61199999999999999"/>
    <n v="-0.61199999999999999"/>
    <n v="0"/>
    <x v="0"/>
    <n v="0"/>
    <n v="0"/>
    <n v="2"/>
    <n v="32"/>
    <n v="0"/>
    <n v="377.01"/>
    <n v="141.32"/>
    <m/>
    <n v="415.67450254064073"/>
    <n v="135.80626150990429"/>
    <n v="0"/>
    <n v="-230.73012"/>
    <n v="-86.487839999999991"/>
    <n v="0"/>
    <n v="-254.39279555487212"/>
    <n v="-83.113432044061426"/>
  </r>
  <r>
    <s v="Sistema de Compensação"/>
    <x v="1"/>
    <x v="3"/>
    <x v="5"/>
    <x v="2"/>
    <x v="0"/>
    <x v="0"/>
    <x v="2"/>
    <x v="0"/>
    <n v="0"/>
    <n v="0"/>
    <n v="10.151"/>
    <n v="10.151"/>
    <n v="10.151"/>
    <n v="10.151"/>
    <n v="83"/>
    <x v="0"/>
    <n v="0"/>
    <n v="0"/>
    <n v="2"/>
    <n v="32"/>
    <n v="0"/>
    <n v="377.01"/>
    <n v="141.32"/>
    <m/>
    <n v="415.67450254064073"/>
    <n v="135.80626150990429"/>
    <n v="0"/>
    <n v="3827.0285099999996"/>
    <n v="1434.5393199999999"/>
    <n v="0"/>
    <n v="4219.5118752900444"/>
    <n v="1378.5693605870383"/>
  </r>
  <r>
    <s v="Regular"/>
    <x v="1"/>
    <x v="3"/>
    <x v="5"/>
    <x v="2"/>
    <x v="0"/>
    <x v="0"/>
    <x v="2"/>
    <x v="1"/>
    <n v="0"/>
    <n v="0"/>
    <n v="783.37"/>
    <n v="783.37"/>
    <n v="783.37"/>
    <n v="783.37"/>
    <n v="4027"/>
    <x v="0"/>
    <n v="0"/>
    <n v="0"/>
    <n v="2"/>
    <n v="32"/>
    <n v="0"/>
    <n v="377.01"/>
    <n v="141.32"/>
    <m/>
    <n v="415.67450254064073"/>
    <n v="135.80626150990429"/>
    <n v="0"/>
    <n v="295338.32370000001"/>
    <n v="110705.84839999999"/>
    <n v="0"/>
    <n v="325626.93505526171"/>
    <n v="106386.55107901372"/>
  </r>
  <r>
    <s v="Refaturamento - Regular"/>
    <x v="1"/>
    <x v="3"/>
    <x v="5"/>
    <x v="2"/>
    <x v="0"/>
    <x v="0"/>
    <x v="2"/>
    <x v="1"/>
    <n v="0"/>
    <n v="0"/>
    <n v="-0.27800000000000002"/>
    <n v="-0.27800000000000002"/>
    <n v="-0.27800000000000002"/>
    <n v="-0.27800000000000002"/>
    <n v="0"/>
    <x v="0"/>
    <n v="0"/>
    <n v="0"/>
    <n v="2"/>
    <n v="32"/>
    <n v="0"/>
    <n v="377.01"/>
    <n v="141.32"/>
    <m/>
    <n v="415.67450254064073"/>
    <n v="135.80626150990429"/>
    <n v="0"/>
    <n v="-104.80878000000001"/>
    <n v="-39.286960000000001"/>
    <n v="0"/>
    <n v="-115.55751170629813"/>
    <n v="-37.754140699753393"/>
  </r>
  <r>
    <s v="Sistema de Compensação"/>
    <x v="1"/>
    <x v="3"/>
    <x v="5"/>
    <x v="2"/>
    <x v="0"/>
    <x v="0"/>
    <x v="2"/>
    <x v="1"/>
    <n v="0"/>
    <n v="0"/>
    <n v="10.542"/>
    <n v="10.542"/>
    <n v="10.542"/>
    <n v="10.542"/>
    <n v="84"/>
    <x v="0"/>
    <n v="0"/>
    <n v="0"/>
    <n v="2"/>
    <n v="32"/>
    <n v="0"/>
    <n v="377.01"/>
    <n v="141.32"/>
    <m/>
    <n v="415.67450254064073"/>
    <n v="135.80626150990429"/>
    <n v="0"/>
    <n v="3974.4394199999997"/>
    <n v="1489.7954399999999"/>
    <n v="0"/>
    <n v="4382.0406057834343"/>
    <n v="1431.669608837411"/>
  </r>
  <r>
    <s v="Sistema de Compensação"/>
    <x v="1"/>
    <x v="3"/>
    <x v="5"/>
    <x v="2"/>
    <x v="0"/>
    <x v="0"/>
    <x v="2"/>
    <x v="1"/>
    <n v="0"/>
    <n v="0"/>
    <n v="-0.30599999999999999"/>
    <n v="-0.30599999999999999"/>
    <n v="-0.30599999999999999"/>
    <n v="-0.30599999999999999"/>
    <n v="2"/>
    <x v="0"/>
    <n v="0"/>
    <n v="0"/>
    <n v="2"/>
    <n v="32"/>
    <n v="0"/>
    <n v="377.01"/>
    <n v="141.32"/>
    <m/>
    <n v="415.67450254064073"/>
    <n v="135.80626150990429"/>
    <n v="0"/>
    <n v="-115.36506"/>
    <n v="-43.243919999999996"/>
    <n v="0"/>
    <n v="-127.19639777743606"/>
    <n v="-41.556716022030713"/>
  </r>
  <r>
    <s v="Regular"/>
    <x v="1"/>
    <x v="3"/>
    <x v="5"/>
    <x v="2"/>
    <x v="0"/>
    <x v="0"/>
    <x v="2"/>
    <x v="2"/>
    <n v="0"/>
    <n v="0"/>
    <n v="774.56399999999996"/>
    <n v="774.56399999999996"/>
    <n v="774.56399999999996"/>
    <n v="774.56399999999996"/>
    <n v="4048"/>
    <x v="0"/>
    <n v="0"/>
    <n v="0"/>
    <n v="2"/>
    <n v="32"/>
    <n v="0"/>
    <n v="377.01"/>
    <n v="141.32"/>
    <m/>
    <n v="415.67450254064073"/>
    <n v="135.80626150990429"/>
    <n v="0"/>
    <n v="292018.37364000001"/>
    <n v="109461.38447999999"/>
    <n v="0"/>
    <n v="321966.50538588886"/>
    <n v="105190.6411401575"/>
  </r>
  <r>
    <s v="Refaturamento - Regular"/>
    <x v="1"/>
    <x v="3"/>
    <x v="5"/>
    <x v="2"/>
    <x v="0"/>
    <x v="0"/>
    <x v="2"/>
    <x v="2"/>
    <n v="0"/>
    <n v="0"/>
    <n v="-0.14099999999999999"/>
    <n v="-0.14099999999999999"/>
    <n v="-0.14099999999999999"/>
    <n v="-0.14099999999999999"/>
    <n v="0"/>
    <x v="0"/>
    <n v="0"/>
    <n v="0"/>
    <n v="2"/>
    <n v="32"/>
    <n v="0"/>
    <n v="377.01"/>
    <n v="141.32"/>
    <m/>
    <n v="415.67450254064073"/>
    <n v="135.80626150990429"/>
    <n v="0"/>
    <n v="-53.158409999999996"/>
    <n v="-19.926119999999997"/>
    <n v="0"/>
    <n v="-58.610104858230336"/>
    <n v="-19.148682872896504"/>
  </r>
  <r>
    <s v="Sistema de Compensação"/>
    <x v="1"/>
    <x v="3"/>
    <x v="5"/>
    <x v="2"/>
    <x v="0"/>
    <x v="0"/>
    <x v="2"/>
    <x v="2"/>
    <n v="0"/>
    <n v="0"/>
    <n v="7.3639999999999999"/>
    <n v="7.3639999999999999"/>
    <n v="7.3639999999999999"/>
    <n v="7.3639999999999999"/>
    <n v="95"/>
    <x v="0"/>
    <n v="0"/>
    <n v="0"/>
    <n v="2"/>
    <n v="32"/>
    <n v="0"/>
    <n v="377.01"/>
    <n v="141.32"/>
    <m/>
    <n v="415.67450254064073"/>
    <n v="135.80626150990429"/>
    <n v="0"/>
    <n v="2776.3016399999997"/>
    <n v="1040.68048"/>
    <n v="0"/>
    <n v="3061.0270367092785"/>
    <n v="1000.0773097589351"/>
  </r>
  <r>
    <s v="Regular"/>
    <x v="1"/>
    <x v="3"/>
    <x v="5"/>
    <x v="2"/>
    <x v="0"/>
    <x v="0"/>
    <x v="2"/>
    <x v="3"/>
    <n v="0"/>
    <n v="0"/>
    <n v="1105.962"/>
    <n v="1105.962"/>
    <n v="1105.962"/>
    <n v="1105.962"/>
    <n v="4950"/>
    <x v="0"/>
    <n v="0"/>
    <n v="0"/>
    <n v="2"/>
    <n v="32"/>
    <n v="0"/>
    <n v="377.01"/>
    <n v="141.32"/>
    <m/>
    <n v="415.67450254064073"/>
    <n v="135.80626150990429"/>
    <n v="0"/>
    <n v="416958.73362000001"/>
    <n v="156294.54983999999"/>
    <n v="0"/>
    <n v="459720.20417885209"/>
    <n v="150196.56459201677"/>
  </r>
  <r>
    <s v="Refaturamento - Regular"/>
    <x v="1"/>
    <x v="3"/>
    <x v="5"/>
    <x v="2"/>
    <x v="0"/>
    <x v="0"/>
    <x v="2"/>
    <x v="3"/>
    <n v="0"/>
    <n v="0"/>
    <n v="-29.439"/>
    <n v="-29.439"/>
    <n v="-29.439"/>
    <n v="-29.439"/>
    <n v="0"/>
    <x v="0"/>
    <n v="0"/>
    <n v="0"/>
    <n v="2"/>
    <n v="32"/>
    <n v="0"/>
    <n v="377.01"/>
    <n v="141.32"/>
    <m/>
    <n v="415.67450254064073"/>
    <n v="135.80626150990429"/>
    <n v="0"/>
    <n v="-11098.79739"/>
    <n v="-4160.3194800000001"/>
    <n v="0"/>
    <n v="-12237.041680293922"/>
    <n v="-3998.0005325900725"/>
  </r>
  <r>
    <s v="Sistema de Compensação"/>
    <x v="1"/>
    <x v="3"/>
    <x v="5"/>
    <x v="2"/>
    <x v="0"/>
    <x v="0"/>
    <x v="2"/>
    <x v="3"/>
    <n v="0"/>
    <n v="0"/>
    <n v="9.93"/>
    <n v="9.93"/>
    <n v="9.93"/>
    <n v="9.93"/>
    <n v="105"/>
    <x v="0"/>
    <n v="0"/>
    <n v="0"/>
    <n v="2"/>
    <n v="32"/>
    <n v="0"/>
    <n v="377.01"/>
    <n v="141.32"/>
    <m/>
    <n v="415.67450254064073"/>
    <n v="135.80626150990429"/>
    <n v="0"/>
    <n v="3743.7093"/>
    <n v="1403.3075999999999"/>
    <n v="0"/>
    <n v="4127.6478102285628"/>
    <n v="1348.5561767933496"/>
  </r>
  <r>
    <s v="Regular"/>
    <x v="1"/>
    <x v="3"/>
    <x v="5"/>
    <x v="2"/>
    <x v="0"/>
    <x v="0"/>
    <x v="2"/>
    <x v="4"/>
    <n v="0"/>
    <n v="0"/>
    <n v="1185.921"/>
    <n v="1185.921"/>
    <n v="1185.921"/>
    <n v="1185.921"/>
    <n v="4910"/>
    <x v="0"/>
    <n v="0"/>
    <n v="0"/>
    <n v="2"/>
    <n v="32"/>
    <n v="0"/>
    <n v="377.01"/>
    <n v="141.32"/>
    <m/>
    <n v="415.67450254064073"/>
    <n v="135.80626150990429"/>
    <n v="0"/>
    <n v="447104.07621000003"/>
    <n v="167594.35571999999"/>
    <n v="0"/>
    <n v="492957.12172749924"/>
    <n v="161055.49745608721"/>
  </r>
  <r>
    <s v="Refaturamento - Regular"/>
    <x v="1"/>
    <x v="3"/>
    <x v="5"/>
    <x v="2"/>
    <x v="0"/>
    <x v="0"/>
    <x v="2"/>
    <x v="4"/>
    <n v="0"/>
    <n v="0"/>
    <n v="-1"/>
    <n v="-1"/>
    <n v="-1"/>
    <n v="-1"/>
    <n v="0"/>
    <x v="0"/>
    <n v="0"/>
    <n v="0"/>
    <n v="2"/>
    <n v="32"/>
    <n v="0"/>
    <n v="377.01"/>
    <n v="141.32"/>
    <m/>
    <n v="415.67450254064073"/>
    <n v="135.80626150990429"/>
    <n v="0"/>
    <n v="-377.01"/>
    <n v="-141.32"/>
    <n v="0"/>
    <n v="-415.67450254064073"/>
    <n v="-135.80626150990429"/>
  </r>
  <r>
    <s v="Sistema de Compensação"/>
    <x v="1"/>
    <x v="3"/>
    <x v="5"/>
    <x v="2"/>
    <x v="0"/>
    <x v="0"/>
    <x v="2"/>
    <x v="4"/>
    <n v="0"/>
    <n v="0"/>
    <n v="15.298"/>
    <n v="15.298"/>
    <n v="15.298"/>
    <n v="15.298"/>
    <n v="109"/>
    <x v="0"/>
    <n v="0"/>
    <n v="0"/>
    <n v="2"/>
    <n v="32"/>
    <n v="0"/>
    <n v="377.01"/>
    <n v="141.32"/>
    <m/>
    <n v="415.67450254064073"/>
    <n v="135.80626150990429"/>
    <n v="0"/>
    <n v="5767.4989800000003"/>
    <n v="2161.91336"/>
    <n v="0"/>
    <n v="6358.988539866722"/>
    <n v="2077.5641885785158"/>
  </r>
  <r>
    <s v="Regular"/>
    <x v="1"/>
    <x v="3"/>
    <x v="5"/>
    <x v="2"/>
    <x v="0"/>
    <x v="0"/>
    <x v="2"/>
    <x v="5"/>
    <n v="0"/>
    <n v="0"/>
    <n v="1162.933"/>
    <n v="1162.933"/>
    <n v="1162.933"/>
    <n v="1162.933"/>
    <n v="4859"/>
    <x v="0"/>
    <n v="0"/>
    <n v="0"/>
    <n v="2"/>
    <n v="32"/>
    <n v="0"/>
    <n v="377.01"/>
    <n v="141.32"/>
    <m/>
    <n v="415.67450254064073"/>
    <n v="135.80626150990429"/>
    <n v="0"/>
    <n v="438437.37033000001"/>
    <n v="164345.69155999998"/>
    <n v="0"/>
    <n v="483401.59626309492"/>
    <n v="157933.58311649752"/>
  </r>
  <r>
    <s v="Refaturamento - Regular"/>
    <x v="1"/>
    <x v="3"/>
    <x v="5"/>
    <x v="2"/>
    <x v="0"/>
    <x v="0"/>
    <x v="2"/>
    <x v="5"/>
    <n v="0"/>
    <n v="0"/>
    <n v="-2.286"/>
    <n v="-2.286"/>
    <n v="-2.286"/>
    <n v="-2.286"/>
    <n v="0"/>
    <x v="0"/>
    <n v="0"/>
    <n v="0"/>
    <n v="2"/>
    <n v="32"/>
    <n v="0"/>
    <n v="377.01"/>
    <n v="141.32"/>
    <m/>
    <n v="415.67450254064073"/>
    <n v="135.80626150990429"/>
    <n v="0"/>
    <n v="-861.84486000000004"/>
    <n v="-323.05752000000001"/>
    <n v="0"/>
    <n v="-950.23191280790468"/>
    <n v="-310.45311381164123"/>
  </r>
  <r>
    <s v="Sistema de Compensação"/>
    <x v="1"/>
    <x v="3"/>
    <x v="5"/>
    <x v="2"/>
    <x v="0"/>
    <x v="0"/>
    <x v="2"/>
    <x v="5"/>
    <n v="0"/>
    <n v="0"/>
    <n v="21.239000000000001"/>
    <n v="21.239000000000001"/>
    <n v="21.239000000000001"/>
    <n v="21.239000000000001"/>
    <n v="111"/>
    <x v="0"/>
    <n v="0"/>
    <n v="0"/>
    <n v="2"/>
    <n v="32"/>
    <n v="0"/>
    <n v="377.01"/>
    <n v="141.32"/>
    <m/>
    <n v="415.67450254064073"/>
    <n v="135.80626150990429"/>
    <n v="0"/>
    <n v="8007.3153899999998"/>
    <n v="3001.49548"/>
    <n v="0"/>
    <n v="8828.5107594606689"/>
    <n v="2884.3891882088574"/>
  </r>
  <r>
    <s v="Regular"/>
    <x v="1"/>
    <x v="3"/>
    <x v="5"/>
    <x v="2"/>
    <x v="0"/>
    <x v="0"/>
    <x v="2"/>
    <x v="6"/>
    <n v="0"/>
    <n v="0"/>
    <n v="1057.711"/>
    <n v="1057.711"/>
    <n v="1057.711"/>
    <n v="1057.711"/>
    <n v="4846"/>
    <x v="0"/>
    <n v="0"/>
    <n v="0"/>
    <n v="2"/>
    <n v="32"/>
    <n v="0"/>
    <n v="377.01"/>
    <n v="141.32"/>
    <m/>
    <n v="415.67450254064073"/>
    <n v="135.80626150990429"/>
    <n v="0"/>
    <n v="398767.62410999998"/>
    <n v="149475.71851999999"/>
    <n v="0"/>
    <n v="439663.49375676364"/>
    <n v="143643.77666790236"/>
  </r>
  <r>
    <s v="Refaturamento - Regular"/>
    <x v="1"/>
    <x v="3"/>
    <x v="5"/>
    <x v="2"/>
    <x v="0"/>
    <x v="0"/>
    <x v="2"/>
    <x v="6"/>
    <n v="0"/>
    <n v="0"/>
    <n v="-2.4889999999999999"/>
    <n v="-2.4889999999999999"/>
    <n v="-2.4889999999999999"/>
    <n v="-2.4889999999999999"/>
    <n v="0"/>
    <x v="0"/>
    <n v="0"/>
    <n v="0"/>
    <n v="2"/>
    <n v="32"/>
    <n v="0"/>
    <n v="377.01"/>
    <n v="141.32"/>
    <m/>
    <n v="415.67450254064073"/>
    <n v="135.80626150990429"/>
    <n v="0"/>
    <n v="-938.37788999999998"/>
    <n v="-351.74547999999999"/>
    <n v="0"/>
    <n v="-1034.6138368236548"/>
    <n v="-338.02178489815174"/>
  </r>
  <r>
    <s v="Sistema de Compensação"/>
    <x v="1"/>
    <x v="3"/>
    <x v="5"/>
    <x v="2"/>
    <x v="0"/>
    <x v="0"/>
    <x v="2"/>
    <x v="6"/>
    <n v="0"/>
    <n v="0"/>
    <n v="27.885000000000002"/>
    <n v="27.885000000000002"/>
    <n v="27.885000000000002"/>
    <n v="27.885000000000002"/>
    <n v="122"/>
    <x v="0"/>
    <n v="0"/>
    <n v="0"/>
    <n v="2"/>
    <n v="32"/>
    <n v="0"/>
    <n v="377.01"/>
    <n v="141.32"/>
    <m/>
    <n v="415.67450254064073"/>
    <n v="135.80626150990429"/>
    <n v="0"/>
    <n v="10512.923850000001"/>
    <n v="3940.7082"/>
    <n v="0"/>
    <n v="11591.083503345768"/>
    <n v="3786.9576022036813"/>
  </r>
  <r>
    <s v="Sistema de Compensação"/>
    <x v="1"/>
    <x v="3"/>
    <x v="5"/>
    <x v="2"/>
    <x v="0"/>
    <x v="0"/>
    <x v="2"/>
    <x v="6"/>
    <n v="0"/>
    <n v="0"/>
    <n v="-7.0000000000000007E-2"/>
    <n v="-7.0000000000000007E-2"/>
    <n v="-7.0000000000000007E-2"/>
    <n v="-7.0000000000000007E-2"/>
    <n v="2"/>
    <x v="0"/>
    <n v="0"/>
    <n v="0"/>
    <n v="2"/>
    <n v="32"/>
    <n v="0"/>
    <n v="377.01"/>
    <n v="141.32"/>
    <m/>
    <n v="415.67450254064073"/>
    <n v="135.80626150990429"/>
    <n v="0"/>
    <n v="-26.390700000000002"/>
    <n v="-9.8924000000000003"/>
    <n v="0"/>
    <n v="-29.097215177844856"/>
    <n v="-9.5064383056933011"/>
  </r>
  <r>
    <s v="Regular"/>
    <x v="1"/>
    <x v="3"/>
    <x v="5"/>
    <x v="2"/>
    <x v="0"/>
    <x v="0"/>
    <x v="2"/>
    <x v="7"/>
    <n v="0"/>
    <n v="0"/>
    <n v="969.62"/>
    <n v="969.62"/>
    <n v="969.62"/>
    <n v="969.62"/>
    <n v="4803"/>
    <x v="0"/>
    <n v="0"/>
    <n v="0"/>
    <n v="2"/>
    <n v="32"/>
    <n v="0"/>
    <n v="377.01"/>
    <n v="141.32"/>
    <m/>
    <n v="415.67450254064073"/>
    <n v="135.80626150990429"/>
    <n v="0"/>
    <n v="365556.4362"/>
    <n v="137026.69839999999"/>
    <n v="0"/>
    <n v="403046.31115345604"/>
    <n v="131680.4672852334"/>
  </r>
  <r>
    <s v="Refaturamento - Regular"/>
    <x v="1"/>
    <x v="3"/>
    <x v="5"/>
    <x v="2"/>
    <x v="0"/>
    <x v="0"/>
    <x v="2"/>
    <x v="7"/>
    <n v="0"/>
    <n v="0"/>
    <n v="0.23899999999999999"/>
    <n v="0.23899999999999999"/>
    <n v="0.23899999999999999"/>
    <n v="0.23899999999999999"/>
    <n v="0"/>
    <x v="0"/>
    <n v="0"/>
    <n v="0"/>
    <n v="2"/>
    <n v="32"/>
    <n v="0"/>
    <n v="377.01"/>
    <n v="141.32"/>
    <m/>
    <n v="415.67450254064073"/>
    <n v="135.80626150990429"/>
    <n v="0"/>
    <n v="90.10539"/>
    <n v="33.775479999999995"/>
    <n v="0"/>
    <n v="99.346206107213135"/>
    <n v="32.457696500867122"/>
  </r>
  <r>
    <s v="Sistema de Compensação"/>
    <x v="1"/>
    <x v="3"/>
    <x v="5"/>
    <x v="2"/>
    <x v="0"/>
    <x v="0"/>
    <x v="2"/>
    <x v="7"/>
    <n v="0"/>
    <n v="0"/>
    <n v="17.077000000000002"/>
    <n v="17.077000000000002"/>
    <n v="17.077000000000002"/>
    <n v="17.077000000000002"/>
    <n v="130"/>
    <x v="0"/>
    <n v="0"/>
    <n v="0"/>
    <n v="2"/>
    <n v="32"/>
    <n v="0"/>
    <n v="377.01"/>
    <n v="141.32"/>
    <m/>
    <n v="415.67450254064073"/>
    <n v="135.80626150990429"/>
    <n v="0"/>
    <n v="6438.1997700000002"/>
    <n v="2413.3216400000001"/>
    <n v="0"/>
    <n v="7098.4734798865229"/>
    <n v="2319.1635278046356"/>
  </r>
  <r>
    <s v="Sistema de Compensação"/>
    <x v="1"/>
    <x v="3"/>
    <x v="5"/>
    <x v="2"/>
    <x v="0"/>
    <x v="0"/>
    <x v="2"/>
    <x v="7"/>
    <n v="0"/>
    <n v="0"/>
    <n v="-0.20499999999999999"/>
    <n v="-0.20499999999999999"/>
    <n v="-0.20499999999999999"/>
    <n v="-0.20499999999999999"/>
    <n v="2"/>
    <x v="0"/>
    <n v="0"/>
    <n v="0"/>
    <n v="2"/>
    <n v="32"/>
    <n v="0"/>
    <n v="377.01"/>
    <n v="141.32"/>
    <m/>
    <n v="415.67450254064073"/>
    <n v="135.80626150990429"/>
    <n v="0"/>
    <n v="-77.287049999999994"/>
    <n v="-28.970599999999997"/>
    <n v="0"/>
    <n v="-85.213273020831352"/>
    <n v="-27.840283609530378"/>
  </r>
  <r>
    <s v="Regular"/>
    <x v="1"/>
    <x v="3"/>
    <x v="5"/>
    <x v="2"/>
    <x v="0"/>
    <x v="0"/>
    <x v="2"/>
    <x v="8"/>
    <n v="0"/>
    <n v="0"/>
    <n v="943.70699999999999"/>
    <n v="943.70699999999999"/>
    <n v="943.70699999999999"/>
    <n v="943.70699999999999"/>
    <n v="4816"/>
    <x v="0"/>
    <n v="0"/>
    <n v="0"/>
    <n v="2"/>
    <n v="32"/>
    <n v="0"/>
    <n v="377.01"/>
    <n v="141.32"/>
    <m/>
    <n v="415.67450254064073"/>
    <n v="135.80626150990429"/>
    <n v="0"/>
    <n v="355786.97606999998"/>
    <n v="133364.67324"/>
    <n v="0"/>
    <n v="392274.93776912044"/>
    <n v="128161.31963072724"/>
  </r>
  <r>
    <s v="Sistema de Compensação"/>
    <x v="1"/>
    <x v="3"/>
    <x v="5"/>
    <x v="2"/>
    <x v="0"/>
    <x v="0"/>
    <x v="2"/>
    <x v="8"/>
    <n v="0"/>
    <n v="0"/>
    <n v="15.443"/>
    <n v="15.443"/>
    <n v="15.443"/>
    <n v="15.443"/>
    <n v="131"/>
    <x v="0"/>
    <n v="0"/>
    <n v="0"/>
    <n v="2"/>
    <n v="32"/>
    <n v="0"/>
    <n v="377.01"/>
    <n v="141.32"/>
    <m/>
    <n v="415.67450254064073"/>
    <n v="135.80626150990429"/>
    <n v="0"/>
    <n v="5822.16543"/>
    <n v="2182.4047599999999"/>
    <n v="0"/>
    <n v="6419.2613427351143"/>
    <n v="2097.2560964974518"/>
  </r>
  <r>
    <s v="Regular"/>
    <x v="1"/>
    <x v="3"/>
    <x v="5"/>
    <x v="2"/>
    <x v="0"/>
    <x v="0"/>
    <x v="2"/>
    <x v="9"/>
    <n v="0"/>
    <n v="0"/>
    <n v="956.46100000000001"/>
    <n v="956.46100000000001"/>
    <n v="956.46100000000001"/>
    <n v="956.46100000000001"/>
    <n v="4835"/>
    <x v="0"/>
    <n v="0"/>
    <n v="0"/>
    <n v="2"/>
    <n v="32"/>
    <n v="0"/>
    <n v="377.01"/>
    <n v="141.32"/>
    <m/>
    <n v="415.67450254064073"/>
    <n v="135.80626150990429"/>
    <n v="0"/>
    <n v="360595.36161000002"/>
    <n v="135167.06852"/>
    <n v="0"/>
    <n v="397576.45037452376"/>
    <n v="129893.39269002457"/>
  </r>
  <r>
    <s v="Refaturamento - Regular"/>
    <x v="1"/>
    <x v="3"/>
    <x v="5"/>
    <x v="2"/>
    <x v="0"/>
    <x v="0"/>
    <x v="2"/>
    <x v="9"/>
    <n v="0"/>
    <n v="0"/>
    <n v="0.59099999999999997"/>
    <n v="0.59099999999999997"/>
    <n v="0.59099999999999997"/>
    <n v="0.59099999999999997"/>
    <n v="0"/>
    <x v="0"/>
    <n v="0"/>
    <n v="0"/>
    <n v="2"/>
    <n v="32"/>
    <n v="0"/>
    <n v="377.01"/>
    <n v="141.32"/>
    <m/>
    <n v="415.67450254064073"/>
    <n v="135.80626150990429"/>
    <n v="0"/>
    <n v="222.81290999999999"/>
    <n v="83.520119999999991"/>
    <n v="0"/>
    <n v="245.66363100151867"/>
    <n v="80.261500552353425"/>
  </r>
  <r>
    <s v="Sistema de Compensação"/>
    <x v="1"/>
    <x v="3"/>
    <x v="5"/>
    <x v="2"/>
    <x v="0"/>
    <x v="0"/>
    <x v="2"/>
    <x v="9"/>
    <n v="0"/>
    <n v="0"/>
    <n v="20.507999999999999"/>
    <n v="20.507999999999999"/>
    <n v="20.507999999999999"/>
    <n v="20.507999999999999"/>
    <n v="123"/>
    <x v="0"/>
    <n v="0"/>
    <n v="0"/>
    <n v="2"/>
    <n v="32"/>
    <n v="0"/>
    <n v="377.01"/>
    <n v="141.32"/>
    <m/>
    <n v="415.67450254064073"/>
    <n v="135.80626150990429"/>
    <n v="0"/>
    <n v="7731.7210799999993"/>
    <n v="2898.1905599999996"/>
    <n v="0"/>
    <n v="8524.6526981034604"/>
    <n v="2785.1148110451172"/>
  </r>
  <r>
    <s v="Regular"/>
    <x v="1"/>
    <x v="3"/>
    <x v="5"/>
    <x v="2"/>
    <x v="0"/>
    <x v="0"/>
    <x v="2"/>
    <x v="10"/>
    <n v="0"/>
    <n v="0"/>
    <n v="949.07600000000002"/>
    <n v="949.07600000000002"/>
    <n v="949.07600000000002"/>
    <n v="949.07600000000002"/>
    <n v="4872"/>
    <x v="0"/>
    <n v="0"/>
    <n v="0"/>
    <n v="2"/>
    <n v="32"/>
    <n v="0"/>
    <n v="377.01"/>
    <n v="141.32"/>
    <m/>
    <n v="415.67450254064073"/>
    <n v="135.80626150990429"/>
    <n v="0"/>
    <n v="357811.14276000002"/>
    <n v="134123.42032"/>
    <n v="0"/>
    <n v="394506.69417326117"/>
    <n v="128890.46344877392"/>
  </r>
  <r>
    <s v="Refaturamento - Regular"/>
    <x v="1"/>
    <x v="3"/>
    <x v="5"/>
    <x v="2"/>
    <x v="0"/>
    <x v="0"/>
    <x v="2"/>
    <x v="10"/>
    <n v="0"/>
    <n v="0"/>
    <n v="-1.8740000000000001"/>
    <n v="-1.8740000000000001"/>
    <n v="-1.8740000000000001"/>
    <n v="-1.8740000000000001"/>
    <n v="0"/>
    <x v="0"/>
    <n v="0"/>
    <n v="0"/>
    <n v="2"/>
    <n v="32"/>
    <n v="0"/>
    <n v="377.01"/>
    <n v="141.32"/>
    <m/>
    <n v="415.67450254064073"/>
    <n v="135.80626150990429"/>
    <n v="0"/>
    <n v="-706.51674000000003"/>
    <n v="-264.83368000000002"/>
    <n v="0"/>
    <n v="-778.97401776116078"/>
    <n v="-254.50093406956066"/>
  </r>
  <r>
    <s v="Sistema de Compensação"/>
    <x v="1"/>
    <x v="3"/>
    <x v="5"/>
    <x v="2"/>
    <x v="0"/>
    <x v="0"/>
    <x v="2"/>
    <x v="10"/>
    <n v="0"/>
    <n v="0"/>
    <n v="16.646000000000001"/>
    <n v="16.646000000000001"/>
    <n v="16.646000000000001"/>
    <n v="16.646000000000001"/>
    <n v="138"/>
    <x v="0"/>
    <n v="0"/>
    <n v="0"/>
    <n v="2"/>
    <n v="32"/>
    <n v="0"/>
    <n v="377.01"/>
    <n v="141.32"/>
    <m/>
    <n v="415.67450254064073"/>
    <n v="135.80626150990429"/>
    <n v="0"/>
    <n v="6275.7084599999998"/>
    <n v="2352.4127199999998"/>
    <n v="0"/>
    <n v="6919.317769291506"/>
    <n v="2260.6310290938668"/>
  </r>
  <r>
    <s v="Regular"/>
    <x v="1"/>
    <x v="3"/>
    <x v="5"/>
    <x v="2"/>
    <x v="0"/>
    <x v="0"/>
    <x v="2"/>
    <x v="11"/>
    <n v="0"/>
    <n v="0"/>
    <n v="903.13300000000004"/>
    <n v="903.13300000000004"/>
    <n v="903.13300000000004"/>
    <n v="903.13300000000004"/>
    <n v="4881"/>
    <x v="0"/>
    <n v="0"/>
    <n v="0"/>
    <n v="2"/>
    <n v="32"/>
    <n v="0"/>
    <n v="377.01"/>
    <n v="141.32"/>
    <m/>
    <n v="415.67450254064073"/>
    <n v="135.80626150990429"/>
    <n v="0"/>
    <n v="340490.17233000003"/>
    <n v="127630.75556000001"/>
    <n v="0"/>
    <n v="375409.36050303653"/>
    <n v="122651.1163762244"/>
  </r>
  <r>
    <s v="Refaturamento - Regular"/>
    <x v="1"/>
    <x v="3"/>
    <x v="5"/>
    <x v="2"/>
    <x v="0"/>
    <x v="0"/>
    <x v="2"/>
    <x v="11"/>
    <n v="0"/>
    <n v="0"/>
    <n v="-0.26"/>
    <n v="-0.26"/>
    <n v="-0.26"/>
    <n v="-0.26"/>
    <n v="0"/>
    <x v="0"/>
    <n v="0"/>
    <n v="0"/>
    <n v="2"/>
    <n v="32"/>
    <n v="0"/>
    <n v="377.01"/>
    <n v="141.32"/>
    <m/>
    <n v="415.67450254064073"/>
    <n v="135.80626150990429"/>
    <n v="0"/>
    <n v="-98.022599999999997"/>
    <n v="-36.743200000000002"/>
    <n v="0"/>
    <n v="-108.07537066056659"/>
    <n v="-35.309627992575116"/>
  </r>
  <r>
    <s v="Sistema de Compensação"/>
    <x v="1"/>
    <x v="3"/>
    <x v="5"/>
    <x v="2"/>
    <x v="0"/>
    <x v="0"/>
    <x v="2"/>
    <x v="11"/>
    <n v="0"/>
    <n v="0"/>
    <n v="14.824"/>
    <n v="14.824"/>
    <n v="14.824"/>
    <n v="14.824"/>
    <n v="152"/>
    <x v="0"/>
    <n v="0"/>
    <n v="0"/>
    <n v="2"/>
    <n v="32"/>
    <n v="0"/>
    <n v="377.01"/>
    <n v="141.32"/>
    <m/>
    <n v="415.67450254064073"/>
    <n v="135.80626150990429"/>
    <n v="0"/>
    <n v="5588.7962399999997"/>
    <n v="2094.9276799999998"/>
    <n v="0"/>
    <n v="6161.9588256624584"/>
    <n v="2013.1920206228212"/>
  </r>
  <r>
    <s v="Sistema de Compensação"/>
    <x v="1"/>
    <x v="3"/>
    <x v="5"/>
    <x v="2"/>
    <x v="0"/>
    <x v="0"/>
    <x v="2"/>
    <x v="11"/>
    <n v="0"/>
    <n v="0"/>
    <n v="-0.41299999999999998"/>
    <n v="-0.41299999999999998"/>
    <n v="-0.41299999999999998"/>
    <n v="-0.41299999999999998"/>
    <n v="2"/>
    <x v="0"/>
    <n v="0"/>
    <n v="0"/>
    <n v="2"/>
    <n v="32"/>
    <n v="0"/>
    <n v="377.01"/>
    <n v="141.32"/>
    <m/>
    <n v="415.67450254064073"/>
    <n v="135.80626150990429"/>
    <n v="0"/>
    <n v="-155.70513"/>
    <n v="-58.365159999999996"/>
    <n v="0"/>
    <n v="-171.67356954928462"/>
    <n v="-56.087986003590466"/>
  </r>
  <r>
    <s v="Regular"/>
    <x v="1"/>
    <x v="3"/>
    <x v="5"/>
    <x v="3"/>
    <x v="0"/>
    <x v="0"/>
    <x v="2"/>
    <x v="0"/>
    <n v="0"/>
    <n v="0"/>
    <n v="1.0249999999999999"/>
    <n v="1.0249999999999999"/>
    <n v="1.0249999999999999"/>
    <n v="1.0249999999999999"/>
    <n v="3"/>
    <x v="0"/>
    <n v="0"/>
    <n v="0"/>
    <n v="21"/>
    <n v="39"/>
    <n v="0"/>
    <n v="108.8"/>
    <n v="49.46"/>
    <m/>
    <n v="108.24753272667745"/>
    <n v="47.532191528466498"/>
    <n v="0"/>
    <n v="111.51999999999998"/>
    <n v="50.696499999999993"/>
    <n v="0"/>
    <n v="110.95372104484437"/>
    <n v="48.720496316678158"/>
  </r>
  <r>
    <s v="Regular"/>
    <x v="1"/>
    <x v="3"/>
    <x v="5"/>
    <x v="3"/>
    <x v="0"/>
    <x v="0"/>
    <x v="2"/>
    <x v="1"/>
    <n v="0"/>
    <n v="0"/>
    <n v="1.05"/>
    <n v="1.05"/>
    <n v="1.05"/>
    <n v="1.05"/>
    <n v="0"/>
    <x v="0"/>
    <n v="0"/>
    <n v="0"/>
    <n v="21"/>
    <n v="39"/>
    <n v="0"/>
    <n v="108.8"/>
    <n v="49.46"/>
    <m/>
    <n v="108.24753272667745"/>
    <n v="47.532191528466498"/>
    <n v="0"/>
    <n v="114.24"/>
    <n v="51.933"/>
    <n v="0"/>
    <n v="113.65990936301132"/>
    <n v="49.908801104889825"/>
  </r>
  <r>
    <s v="Regular"/>
    <x v="1"/>
    <x v="3"/>
    <x v="5"/>
    <x v="3"/>
    <x v="0"/>
    <x v="0"/>
    <x v="2"/>
    <x v="2"/>
    <n v="0"/>
    <n v="0"/>
    <n v="1.1399999999999999"/>
    <n v="1.1399999999999999"/>
    <n v="1.1399999999999999"/>
    <n v="1.1399999999999999"/>
    <n v="1"/>
    <x v="0"/>
    <n v="0"/>
    <n v="0"/>
    <n v="21"/>
    <n v="39"/>
    <n v="0"/>
    <n v="108.8"/>
    <n v="49.46"/>
    <m/>
    <n v="108.24753272667745"/>
    <n v="47.532191528466498"/>
    <n v="0"/>
    <n v="124.03199999999998"/>
    <n v="56.384399999999999"/>
    <n v="0"/>
    <n v="123.40218730841228"/>
    <n v="54.186698342451805"/>
  </r>
  <r>
    <s v="Regular"/>
    <x v="1"/>
    <x v="3"/>
    <x v="5"/>
    <x v="3"/>
    <x v="0"/>
    <x v="0"/>
    <x v="2"/>
    <x v="3"/>
    <n v="0"/>
    <n v="0"/>
    <n v="1.1399999999999999"/>
    <n v="1.1399999999999999"/>
    <n v="1.1399999999999999"/>
    <n v="1.1399999999999999"/>
    <n v="1"/>
    <x v="0"/>
    <n v="0"/>
    <n v="0"/>
    <n v="21"/>
    <n v="39"/>
    <n v="0"/>
    <n v="108.8"/>
    <n v="49.46"/>
    <m/>
    <n v="108.24753272667745"/>
    <n v="47.532191528466498"/>
    <n v="0"/>
    <n v="124.03199999999998"/>
    <n v="56.384399999999999"/>
    <n v="0"/>
    <n v="123.40218730841228"/>
    <n v="54.186698342451805"/>
  </r>
  <r>
    <s v="Regular"/>
    <x v="1"/>
    <x v="3"/>
    <x v="5"/>
    <x v="3"/>
    <x v="0"/>
    <x v="0"/>
    <x v="2"/>
    <x v="4"/>
    <n v="0"/>
    <n v="0"/>
    <n v="1.17"/>
    <n v="1.17"/>
    <n v="1.17"/>
    <n v="1.17"/>
    <n v="1"/>
    <x v="0"/>
    <n v="0"/>
    <n v="0"/>
    <n v="21"/>
    <n v="39"/>
    <n v="0"/>
    <n v="108.8"/>
    <n v="49.46"/>
    <m/>
    <n v="108.24753272667745"/>
    <n v="47.532191528466498"/>
    <n v="0"/>
    <n v="127.29599999999999"/>
    <n v="57.868199999999995"/>
    <n v="0"/>
    <n v="126.64961329021261"/>
    <n v="55.612664088305799"/>
  </r>
  <r>
    <s v="Regular"/>
    <x v="1"/>
    <x v="3"/>
    <x v="5"/>
    <x v="3"/>
    <x v="0"/>
    <x v="0"/>
    <x v="2"/>
    <x v="5"/>
    <n v="0"/>
    <n v="0"/>
    <n v="2.25"/>
    <n v="2.25"/>
    <n v="2.25"/>
    <n v="2.25"/>
    <n v="0"/>
    <x v="0"/>
    <n v="0"/>
    <n v="0"/>
    <n v="21"/>
    <n v="39"/>
    <n v="0"/>
    <n v="108.8"/>
    <n v="49.46"/>
    <m/>
    <n v="108.24753272667745"/>
    <n v="47.532191528466498"/>
    <n v="0"/>
    <n v="244.79999999999998"/>
    <n v="111.285"/>
    <n v="0"/>
    <n v="243.55694863502427"/>
    <n v="106.94743093904962"/>
  </r>
  <r>
    <s v="Sistema de Compensação"/>
    <x v="1"/>
    <x v="3"/>
    <x v="5"/>
    <x v="3"/>
    <x v="0"/>
    <x v="0"/>
    <x v="2"/>
    <x v="5"/>
    <n v="0"/>
    <n v="0"/>
    <n v="0.01"/>
    <n v="3.5000000000000001E-3"/>
    <n v="0.01"/>
    <n v="3.5000000000000001E-3"/>
    <n v="0"/>
    <x v="0"/>
    <n v="0"/>
    <n v="0"/>
    <n v="21"/>
    <n v="39"/>
    <n v="0"/>
    <n v="108.8"/>
    <n v="49.46"/>
    <m/>
    <n v="108.24753272667745"/>
    <n v="47.532191528466498"/>
    <n v="0"/>
    <n v="0.38079999999999997"/>
    <n v="0.17311000000000001"/>
    <n v="0"/>
    <n v="0.37886636454337108"/>
    <n v="0.16636267034963276"/>
  </r>
  <r>
    <s v="Regular"/>
    <x v="1"/>
    <x v="3"/>
    <x v="5"/>
    <x v="3"/>
    <x v="0"/>
    <x v="0"/>
    <x v="2"/>
    <x v="6"/>
    <n v="0"/>
    <n v="0"/>
    <n v="2.34"/>
    <n v="2.34"/>
    <n v="2.34"/>
    <n v="2.34"/>
    <n v="0"/>
    <x v="0"/>
    <n v="0"/>
    <n v="0"/>
    <n v="21"/>
    <n v="39"/>
    <n v="0"/>
    <n v="108.8"/>
    <n v="49.46"/>
    <m/>
    <n v="108.24753272667745"/>
    <n v="47.532191528466498"/>
    <n v="0"/>
    <n v="254.59199999999998"/>
    <n v="115.73639999999999"/>
    <n v="0"/>
    <n v="253.29922658042523"/>
    <n v="111.2253281766116"/>
  </r>
  <r>
    <s v="Regular"/>
    <x v="1"/>
    <x v="3"/>
    <x v="5"/>
    <x v="3"/>
    <x v="0"/>
    <x v="0"/>
    <x v="2"/>
    <x v="7"/>
    <n v="0"/>
    <n v="0"/>
    <n v="4.08"/>
    <n v="4.08"/>
    <n v="4.08"/>
    <n v="4.08"/>
    <n v="3"/>
    <x v="0"/>
    <n v="0"/>
    <n v="0"/>
    <n v="21"/>
    <n v="39"/>
    <n v="0"/>
    <n v="108.8"/>
    <n v="49.46"/>
    <m/>
    <n v="108.24753272667745"/>
    <n v="47.532191528466498"/>
    <n v="0"/>
    <n v="443.904"/>
    <n v="201.79680000000002"/>
    <n v="0"/>
    <n v="441.64993352484402"/>
    <n v="193.93134143614333"/>
  </r>
  <r>
    <s v="Regular"/>
    <x v="1"/>
    <x v="3"/>
    <x v="5"/>
    <x v="3"/>
    <x v="0"/>
    <x v="0"/>
    <x v="2"/>
    <x v="8"/>
    <n v="0"/>
    <n v="0"/>
    <n v="4.1399999999999997"/>
    <n v="4.1399999999999997"/>
    <n v="4.1399999999999997"/>
    <n v="4.1399999999999997"/>
    <n v="1"/>
    <x v="0"/>
    <n v="0"/>
    <n v="0"/>
    <n v="21"/>
    <n v="39"/>
    <n v="0"/>
    <n v="108.8"/>
    <n v="49.46"/>
    <m/>
    <n v="108.24753272667745"/>
    <n v="47.532191528466498"/>
    <n v="0"/>
    <n v="450.43199999999996"/>
    <n v="204.76439999999999"/>
    <n v="0"/>
    <n v="448.1447854884446"/>
    <n v="196.7832729278513"/>
  </r>
  <r>
    <s v="Sistema de Compensação"/>
    <x v="1"/>
    <x v="3"/>
    <x v="5"/>
    <x v="3"/>
    <x v="0"/>
    <x v="0"/>
    <x v="2"/>
    <x v="8"/>
    <n v="0"/>
    <n v="0"/>
    <n v="1.0999999999999999E-2"/>
    <n v="3.8500000000000001E-3"/>
    <n v="1.0999999999999999E-2"/>
    <n v="3.8500000000000001E-3"/>
    <n v="0"/>
    <x v="0"/>
    <n v="0"/>
    <n v="0"/>
    <n v="21"/>
    <n v="39"/>
    <n v="0"/>
    <n v="108.8"/>
    <n v="49.46"/>
    <m/>
    <n v="108.24753272667745"/>
    <n v="47.532191528466498"/>
    <n v="0"/>
    <n v="0.41888000000000003"/>
    <n v="0.19042100000000001"/>
    <n v="0"/>
    <n v="0.41675300099770818"/>
    <n v="0.18299893738459602"/>
  </r>
  <r>
    <s v="Regular"/>
    <x v="1"/>
    <x v="3"/>
    <x v="5"/>
    <x v="3"/>
    <x v="0"/>
    <x v="0"/>
    <x v="2"/>
    <x v="9"/>
    <n v="0"/>
    <n v="0"/>
    <n v="4.2"/>
    <n v="4.2"/>
    <n v="4.2"/>
    <n v="4.2"/>
    <n v="4"/>
    <x v="0"/>
    <n v="0"/>
    <n v="0"/>
    <n v="21"/>
    <n v="39"/>
    <n v="0"/>
    <n v="108.8"/>
    <n v="49.46"/>
    <m/>
    <n v="108.24753272667745"/>
    <n v="47.532191528466498"/>
    <n v="0"/>
    <n v="456.96"/>
    <n v="207.732"/>
    <n v="0"/>
    <n v="454.63963745204529"/>
    <n v="199.6352044195593"/>
  </r>
  <r>
    <s v="Sistema de Compensação"/>
    <x v="1"/>
    <x v="3"/>
    <x v="5"/>
    <x v="3"/>
    <x v="0"/>
    <x v="0"/>
    <x v="2"/>
    <x v="9"/>
    <n v="0"/>
    <n v="0"/>
    <n v="0.03"/>
    <n v="1.0500000000000001E-2"/>
    <n v="0.03"/>
    <n v="1.0500000000000001E-2"/>
    <n v="0"/>
    <x v="0"/>
    <n v="0"/>
    <n v="0"/>
    <n v="21"/>
    <n v="39"/>
    <n v="0"/>
    <n v="108.8"/>
    <n v="49.46"/>
    <m/>
    <n v="108.24753272667745"/>
    <n v="47.532191528466498"/>
    <n v="0"/>
    <n v="1.1424000000000001"/>
    <n v="0.51933000000000007"/>
    <n v="0"/>
    <n v="1.1365990936301134"/>
    <n v="0.49908801104889827"/>
  </r>
  <r>
    <s v="Regular"/>
    <x v="1"/>
    <x v="3"/>
    <x v="5"/>
    <x v="3"/>
    <x v="0"/>
    <x v="0"/>
    <x v="2"/>
    <x v="10"/>
    <n v="0"/>
    <n v="0"/>
    <n v="3.87"/>
    <n v="3.87"/>
    <n v="3.87"/>
    <n v="3.87"/>
    <n v="4"/>
    <x v="0"/>
    <n v="0"/>
    <n v="0"/>
    <n v="21"/>
    <n v="39"/>
    <n v="0"/>
    <n v="108.8"/>
    <n v="49.46"/>
    <m/>
    <n v="108.24753272667745"/>
    <n v="47.532191528466498"/>
    <n v="0"/>
    <n v="421.05599999999998"/>
    <n v="191.4102"/>
    <n v="0"/>
    <n v="418.91795165224175"/>
    <n v="183.94958121516535"/>
  </r>
  <r>
    <s v="Sistema de Compensação"/>
    <x v="1"/>
    <x v="3"/>
    <x v="5"/>
    <x v="3"/>
    <x v="0"/>
    <x v="0"/>
    <x v="2"/>
    <x v="10"/>
    <n v="0"/>
    <n v="0"/>
    <n v="0.03"/>
    <n v="0.03"/>
    <n v="0.03"/>
    <n v="0.03"/>
    <n v="1"/>
    <x v="0"/>
    <n v="0"/>
    <n v="0"/>
    <n v="21"/>
    <n v="39"/>
    <n v="0"/>
    <n v="108.8"/>
    <n v="49.46"/>
    <m/>
    <n v="108.24753272667745"/>
    <n v="47.532191528466498"/>
    <n v="0"/>
    <n v="3.2639999999999998"/>
    <n v="1.4838"/>
    <n v="0"/>
    <n v="3.2474259818003235"/>
    <n v="1.4259657458539949"/>
  </r>
  <r>
    <s v="Regular"/>
    <x v="1"/>
    <x v="3"/>
    <x v="5"/>
    <x v="3"/>
    <x v="0"/>
    <x v="0"/>
    <x v="2"/>
    <x v="11"/>
    <n v="0"/>
    <n v="0"/>
    <n v="3.93"/>
    <n v="3.93"/>
    <n v="3.93"/>
    <n v="3.93"/>
    <n v="7"/>
    <x v="0"/>
    <n v="0"/>
    <n v="0"/>
    <n v="21"/>
    <n v="39"/>
    <n v="0"/>
    <n v="108.8"/>
    <n v="49.46"/>
    <m/>
    <n v="108.24753272667745"/>
    <n v="47.532191528466498"/>
    <n v="0"/>
    <n v="427.584"/>
    <n v="194.37780000000001"/>
    <n v="0"/>
    <n v="425.41280361584239"/>
    <n v="186.80151270687335"/>
  </r>
  <r>
    <s v="Regular"/>
    <x v="1"/>
    <x v="3"/>
    <x v="5"/>
    <x v="4"/>
    <x v="0"/>
    <x v="0"/>
    <x v="2"/>
    <x v="0"/>
    <n v="0"/>
    <n v="0"/>
    <n v="2.0699999999999998"/>
    <n v="2.0699999999999998"/>
    <n v="2.0699999999999998"/>
    <n v="2.0699999999999998"/>
    <n v="5"/>
    <x v="0"/>
    <n v="0"/>
    <n v="0"/>
    <n v="9"/>
    <n v="52"/>
    <n v="0"/>
    <n v="186.51"/>
    <n v="84.79"/>
    <m/>
    <n v="185.56719896001849"/>
    <n v="81.48375690594257"/>
    <n v="0"/>
    <n v="386.07569999999993"/>
    <n v="175.5153"/>
    <n v="0"/>
    <n v="384.12410184723825"/>
    <n v="168.67137679530111"/>
  </r>
  <r>
    <s v="Regular"/>
    <x v="1"/>
    <x v="3"/>
    <x v="5"/>
    <x v="4"/>
    <x v="0"/>
    <x v="0"/>
    <x v="2"/>
    <x v="1"/>
    <n v="0"/>
    <n v="0"/>
    <n v="2.2440000000000002"/>
    <n v="2.2440000000000002"/>
    <n v="2.2440000000000002"/>
    <n v="2.2440000000000002"/>
    <n v="9"/>
    <x v="0"/>
    <n v="0"/>
    <n v="0"/>
    <n v="9"/>
    <n v="52"/>
    <n v="0"/>
    <n v="186.51"/>
    <n v="84.79"/>
    <m/>
    <n v="185.56719896001849"/>
    <n v="81.48375690594257"/>
    <n v="0"/>
    <n v="418.52844000000005"/>
    <n v="190.26876000000004"/>
    <n v="0"/>
    <n v="416.41279446628153"/>
    <n v="182.84955049693514"/>
  </r>
  <r>
    <s v="Regular"/>
    <x v="1"/>
    <x v="3"/>
    <x v="5"/>
    <x v="4"/>
    <x v="0"/>
    <x v="0"/>
    <x v="2"/>
    <x v="2"/>
    <n v="0"/>
    <n v="0"/>
    <n v="2.5049999999999999"/>
    <n v="2.5049999999999999"/>
    <n v="2.5049999999999999"/>
    <n v="2.5049999999999999"/>
    <n v="5"/>
    <x v="0"/>
    <n v="0"/>
    <n v="0"/>
    <n v="9"/>
    <n v="52"/>
    <n v="0"/>
    <n v="186.51"/>
    <n v="84.79"/>
    <m/>
    <n v="185.56719896001849"/>
    <n v="81.48375690594257"/>
    <n v="0"/>
    <n v="467.20754999999997"/>
    <n v="212.39895000000001"/>
    <n v="0"/>
    <n v="464.8458333948463"/>
    <n v="204.11681104938614"/>
  </r>
  <r>
    <s v="Regular"/>
    <x v="1"/>
    <x v="3"/>
    <x v="5"/>
    <x v="4"/>
    <x v="0"/>
    <x v="0"/>
    <x v="2"/>
    <x v="3"/>
    <n v="0"/>
    <n v="0"/>
    <n v="2.444"/>
    <n v="2.444"/>
    <n v="2.444"/>
    <n v="2.444"/>
    <n v="3"/>
    <x v="0"/>
    <n v="0"/>
    <n v="0"/>
    <n v="9"/>
    <n v="52"/>
    <n v="0"/>
    <n v="186.51"/>
    <n v="84.79"/>
    <m/>
    <n v="185.56719896001849"/>
    <n v="81.48375690594257"/>
    <n v="0"/>
    <n v="455.83043999999995"/>
    <n v="207.22676000000001"/>
    <n v="0"/>
    <n v="453.52623425828517"/>
    <n v="199.14630187812364"/>
  </r>
  <r>
    <s v="Regular"/>
    <x v="1"/>
    <x v="3"/>
    <x v="5"/>
    <x v="4"/>
    <x v="0"/>
    <x v="0"/>
    <x v="2"/>
    <x v="4"/>
    <n v="0"/>
    <n v="0"/>
    <n v="2.5230000000000001"/>
    <n v="2.5230000000000001"/>
    <n v="2.5230000000000001"/>
    <n v="2.5230000000000001"/>
    <n v="5"/>
    <x v="0"/>
    <n v="0"/>
    <n v="0"/>
    <n v="9"/>
    <n v="52"/>
    <n v="0"/>
    <n v="186.51"/>
    <n v="84.79"/>
    <m/>
    <n v="185.56719896001849"/>
    <n v="81.48375690594257"/>
    <n v="0"/>
    <n v="470.56473"/>
    <n v="213.92517000000004"/>
    <n v="0"/>
    <n v="468.18604297612666"/>
    <n v="205.58351867369311"/>
  </r>
  <r>
    <s v="Regular"/>
    <x v="1"/>
    <x v="3"/>
    <x v="5"/>
    <x v="4"/>
    <x v="0"/>
    <x v="0"/>
    <x v="2"/>
    <x v="5"/>
    <n v="0"/>
    <n v="0"/>
    <n v="4.7779999999999996"/>
    <n v="4.7779999999999996"/>
    <n v="4.7779999999999996"/>
    <n v="4.7779999999999996"/>
    <n v="17"/>
    <x v="0"/>
    <n v="0"/>
    <n v="0"/>
    <n v="9"/>
    <n v="52"/>
    <n v="0"/>
    <n v="186.51"/>
    <n v="84.79"/>
    <m/>
    <n v="185.56719896001849"/>
    <n v="81.48375690594257"/>
    <n v="0"/>
    <n v="891.14477999999986"/>
    <n v="405.12662"/>
    <n v="0"/>
    <n v="886.64007663096822"/>
    <n v="389.32939049659359"/>
  </r>
  <r>
    <s v="Regular"/>
    <x v="1"/>
    <x v="3"/>
    <x v="5"/>
    <x v="4"/>
    <x v="0"/>
    <x v="0"/>
    <x v="2"/>
    <x v="6"/>
    <n v="0"/>
    <n v="0"/>
    <n v="4.8440000000000003"/>
    <n v="4.8440000000000003"/>
    <n v="4.8440000000000003"/>
    <n v="4.8440000000000003"/>
    <n v="22"/>
    <x v="0"/>
    <n v="0"/>
    <n v="0"/>
    <n v="9"/>
    <n v="52"/>
    <n v="0"/>
    <n v="186.51"/>
    <n v="84.79"/>
    <m/>
    <n v="185.56719896001849"/>
    <n v="81.48375690594257"/>
    <n v="0"/>
    <n v="903.45443999999998"/>
    <n v="410.72276000000005"/>
    <n v="0"/>
    <n v="898.88751176232961"/>
    <n v="394.70731845238583"/>
  </r>
  <r>
    <s v="Regular"/>
    <x v="1"/>
    <x v="3"/>
    <x v="5"/>
    <x v="4"/>
    <x v="0"/>
    <x v="0"/>
    <x v="2"/>
    <x v="7"/>
    <n v="0"/>
    <n v="0"/>
    <n v="8.1080000000000005"/>
    <n v="8.1080000000000005"/>
    <n v="8.1080000000000005"/>
    <n v="8.1080000000000005"/>
    <n v="34"/>
    <x v="0"/>
    <n v="0"/>
    <n v="0"/>
    <n v="9"/>
    <n v="52"/>
    <n v="0"/>
    <n v="186.51"/>
    <n v="84.79"/>
    <m/>
    <n v="185.56719896001849"/>
    <n v="81.48375690594257"/>
    <n v="0"/>
    <n v="1512.22308"/>
    <n v="687.47732000000008"/>
    <n v="0"/>
    <n v="1504.57884916783"/>
    <n v="660.6703009933824"/>
  </r>
  <r>
    <s v="Regular"/>
    <x v="1"/>
    <x v="3"/>
    <x v="5"/>
    <x v="4"/>
    <x v="0"/>
    <x v="0"/>
    <x v="2"/>
    <x v="8"/>
    <n v="0"/>
    <n v="0"/>
    <n v="8.173"/>
    <n v="8.173"/>
    <n v="8.173"/>
    <n v="8.173"/>
    <n v="38"/>
    <x v="0"/>
    <n v="0"/>
    <n v="0"/>
    <n v="9"/>
    <n v="52"/>
    <n v="0"/>
    <n v="186.51"/>
    <n v="84.79"/>
    <m/>
    <n v="185.56719896001849"/>
    <n v="81.48375690594257"/>
    <n v="0"/>
    <n v="1524.3462299999999"/>
    <n v="692.98867000000007"/>
    <n v="0"/>
    <n v="1516.6407171002311"/>
    <n v="665.9667451922686"/>
  </r>
  <r>
    <s v="Regular"/>
    <x v="1"/>
    <x v="3"/>
    <x v="5"/>
    <x v="4"/>
    <x v="0"/>
    <x v="0"/>
    <x v="2"/>
    <x v="9"/>
    <n v="0"/>
    <n v="0"/>
    <n v="8.3079999999999998"/>
    <n v="8.3079999999999998"/>
    <n v="8.3079999999999998"/>
    <n v="8.3079999999999998"/>
    <n v="38"/>
    <x v="0"/>
    <n v="0"/>
    <n v="0"/>
    <n v="9"/>
    <n v="52"/>
    <n v="0"/>
    <n v="186.51"/>
    <n v="84.79"/>
    <m/>
    <n v="185.56719896001849"/>
    <n v="81.48375690594257"/>
    <n v="0"/>
    <n v="1549.5250799999999"/>
    <n v="704.43532000000005"/>
    <n v="0"/>
    <n v="1541.6922889598336"/>
    <n v="676.96705237457081"/>
  </r>
  <r>
    <s v="Regular"/>
    <x v="1"/>
    <x v="3"/>
    <x v="5"/>
    <x v="4"/>
    <x v="0"/>
    <x v="0"/>
    <x v="2"/>
    <x v="10"/>
    <n v="0"/>
    <n v="0"/>
    <n v="7.3650000000000002"/>
    <n v="7.3650000000000002"/>
    <n v="7.3650000000000002"/>
    <n v="7.3650000000000002"/>
    <n v="35"/>
    <x v="0"/>
    <n v="0"/>
    <n v="0"/>
    <n v="9"/>
    <n v="52"/>
    <n v="0"/>
    <n v="186.51"/>
    <n v="84.79"/>
    <m/>
    <n v="185.56719896001849"/>
    <n v="81.48375690594257"/>
    <n v="0"/>
    <n v="1373.64615"/>
    <n v="624.47835000000009"/>
    <n v="0"/>
    <n v="1366.7024203405363"/>
    <n v="600.12786961226709"/>
  </r>
  <r>
    <s v="Regular"/>
    <x v="1"/>
    <x v="3"/>
    <x v="5"/>
    <x v="4"/>
    <x v="0"/>
    <x v="0"/>
    <x v="2"/>
    <x v="11"/>
    <n v="0"/>
    <n v="0"/>
    <n v="7.5730000000000004"/>
    <n v="7.5730000000000004"/>
    <n v="7.5730000000000004"/>
    <n v="7.5730000000000004"/>
    <n v="32"/>
    <x v="0"/>
    <n v="0"/>
    <n v="0"/>
    <n v="9"/>
    <n v="52"/>
    <n v="0"/>
    <n v="186.51"/>
    <n v="84.79"/>
    <m/>
    <n v="185.56719896001849"/>
    <n v="81.48375690594257"/>
    <n v="0"/>
    <n v="1412.4402299999999"/>
    <n v="642.11467000000005"/>
    <n v="0"/>
    <n v="1405.3003977242201"/>
    <n v="617.07649104870313"/>
  </r>
  <r>
    <s v="Regular"/>
    <x v="1"/>
    <x v="3"/>
    <x v="5"/>
    <x v="5"/>
    <x v="0"/>
    <x v="0"/>
    <x v="2"/>
    <x v="0"/>
    <n v="0"/>
    <n v="0"/>
    <n v="2.093"/>
    <n v="2.093"/>
    <n v="2.093"/>
    <n v="2.093"/>
    <n v="19"/>
    <x v="0"/>
    <n v="0"/>
    <n v="0"/>
    <n v="8"/>
    <n v="61"/>
    <n v="0"/>
    <n v="279.76"/>
    <n v="127.19"/>
    <m/>
    <n v="278.35079844002775"/>
    <n v="122.22563535891386"/>
    <n v="0"/>
    <n v="585.53768000000002"/>
    <n v="266.20866999999998"/>
    <n v="0"/>
    <n v="582.58822113497808"/>
    <n v="255.81825480620671"/>
  </r>
  <r>
    <s v="Regular"/>
    <x v="1"/>
    <x v="3"/>
    <x v="5"/>
    <x v="5"/>
    <x v="0"/>
    <x v="0"/>
    <x v="2"/>
    <x v="1"/>
    <n v="0"/>
    <n v="0"/>
    <n v="2.202"/>
    <n v="2.202"/>
    <n v="2.202"/>
    <n v="2.202"/>
    <n v="18"/>
    <x v="0"/>
    <n v="0"/>
    <n v="0"/>
    <n v="8"/>
    <n v="61"/>
    <n v="0"/>
    <n v="279.76"/>
    <n v="127.19"/>
    <m/>
    <n v="278.35079844002775"/>
    <n v="122.22563535891386"/>
    <n v="0"/>
    <n v="616.03152"/>
    <n v="280.07238000000001"/>
    <n v="0"/>
    <n v="612.92845816494105"/>
    <n v="269.14084906032832"/>
  </r>
  <r>
    <s v="Regular"/>
    <x v="1"/>
    <x v="3"/>
    <x v="5"/>
    <x v="5"/>
    <x v="0"/>
    <x v="0"/>
    <x v="2"/>
    <x v="2"/>
    <n v="0"/>
    <n v="0"/>
    <n v="2.254"/>
    <n v="2.254"/>
    <n v="2.254"/>
    <n v="2.254"/>
    <n v="23"/>
    <x v="0"/>
    <n v="0"/>
    <n v="0"/>
    <n v="8"/>
    <n v="61"/>
    <n v="0"/>
    <n v="279.76"/>
    <n v="127.19"/>
    <m/>
    <n v="278.35079844002775"/>
    <n v="122.22563535891386"/>
    <n v="0"/>
    <n v="630.57903999999996"/>
    <n v="286.68626"/>
    <n v="0"/>
    <n v="627.40269968382256"/>
    <n v="275.49658209899184"/>
  </r>
  <r>
    <s v="Regular"/>
    <x v="1"/>
    <x v="3"/>
    <x v="5"/>
    <x v="5"/>
    <x v="0"/>
    <x v="0"/>
    <x v="2"/>
    <x v="3"/>
    <n v="0"/>
    <n v="0"/>
    <n v="2.601"/>
    <n v="2.601"/>
    <n v="2.601"/>
    <n v="2.601"/>
    <n v="23"/>
    <x v="0"/>
    <n v="0"/>
    <n v="0"/>
    <n v="8"/>
    <n v="61"/>
    <n v="0"/>
    <n v="279.76"/>
    <n v="127.19"/>
    <m/>
    <n v="278.35079844002775"/>
    <n v="122.22563535891386"/>
    <n v="0"/>
    <n v="727.65575999999999"/>
    <n v="330.82119"/>
    <n v="0"/>
    <n v="723.99042674251211"/>
    <n v="317.90887756853493"/>
  </r>
  <r>
    <s v="Regular"/>
    <x v="1"/>
    <x v="3"/>
    <x v="5"/>
    <x v="5"/>
    <x v="0"/>
    <x v="0"/>
    <x v="2"/>
    <x v="4"/>
    <n v="0"/>
    <n v="0"/>
    <n v="2.4950000000000001"/>
    <n v="2.4950000000000001"/>
    <n v="2.4950000000000001"/>
    <n v="2.4950000000000001"/>
    <n v="23"/>
    <x v="0"/>
    <n v="0"/>
    <n v="0"/>
    <n v="8"/>
    <n v="61"/>
    <n v="0"/>
    <n v="279.76"/>
    <n v="127.19"/>
    <m/>
    <n v="278.35079844002775"/>
    <n v="122.22563535891386"/>
    <n v="0"/>
    <n v="698.00120000000004"/>
    <n v="317.33904999999999"/>
    <n v="0"/>
    <n v="694.48524210786923"/>
    <n v="304.95296022049013"/>
  </r>
  <r>
    <s v="Regular"/>
    <x v="1"/>
    <x v="3"/>
    <x v="5"/>
    <x v="5"/>
    <x v="0"/>
    <x v="0"/>
    <x v="2"/>
    <x v="5"/>
    <n v="0"/>
    <n v="0"/>
    <n v="4.25"/>
    <n v="4.25"/>
    <n v="4.25"/>
    <n v="4.25"/>
    <n v="40"/>
    <x v="0"/>
    <n v="0"/>
    <n v="0"/>
    <n v="8"/>
    <n v="61"/>
    <n v="0"/>
    <n v="279.76"/>
    <n v="127.19"/>
    <m/>
    <n v="278.35079844002775"/>
    <n v="122.22563535891386"/>
    <n v="0"/>
    <n v="1188.98"/>
    <n v="540.5575"/>
    <n v="0"/>
    <n v="1182.9908933701179"/>
    <n v="519.45895027538393"/>
  </r>
  <r>
    <s v="Regular"/>
    <x v="1"/>
    <x v="3"/>
    <x v="5"/>
    <x v="5"/>
    <x v="0"/>
    <x v="0"/>
    <x v="2"/>
    <x v="6"/>
    <n v="0"/>
    <n v="0"/>
    <n v="4.2169999999999996"/>
    <n v="4.2169999999999996"/>
    <n v="4.2169999999999996"/>
    <n v="4.2169999999999996"/>
    <n v="39"/>
    <x v="0"/>
    <n v="0"/>
    <n v="0"/>
    <n v="8"/>
    <n v="61"/>
    <n v="0"/>
    <n v="279.76"/>
    <n v="127.19"/>
    <m/>
    <n v="278.35079844002775"/>
    <n v="122.22563535891386"/>
    <n v="0"/>
    <n v="1179.7479199999998"/>
    <n v="536.36022999999989"/>
    <n v="0"/>
    <n v="1173.8053170215969"/>
    <n v="515.42550430853976"/>
  </r>
  <r>
    <s v="Regular"/>
    <x v="1"/>
    <x v="3"/>
    <x v="5"/>
    <x v="5"/>
    <x v="0"/>
    <x v="0"/>
    <x v="2"/>
    <x v="7"/>
    <n v="0"/>
    <n v="0"/>
    <n v="7.976"/>
    <n v="7.976"/>
    <n v="7.976"/>
    <n v="7.976"/>
    <n v="61"/>
    <x v="0"/>
    <n v="0"/>
    <n v="0"/>
    <n v="8"/>
    <n v="61"/>
    <n v="0"/>
    <n v="279.76"/>
    <n v="127.19"/>
    <m/>
    <n v="278.35079844002775"/>
    <n v="122.22563535891386"/>
    <n v="0"/>
    <n v="2231.3657600000001"/>
    <n v="1014.46744"/>
    <n v="0"/>
    <n v="2220.1259683576613"/>
    <n v="974.87166762269692"/>
  </r>
  <r>
    <s v="Regular"/>
    <x v="1"/>
    <x v="3"/>
    <x v="5"/>
    <x v="5"/>
    <x v="0"/>
    <x v="0"/>
    <x v="2"/>
    <x v="8"/>
    <n v="0"/>
    <n v="0"/>
    <n v="7.9139999999999997"/>
    <n v="7.9139999999999997"/>
    <n v="7.9139999999999997"/>
    <n v="7.9139999999999997"/>
    <n v="57"/>
    <x v="0"/>
    <n v="0"/>
    <n v="0"/>
    <n v="8"/>
    <n v="61"/>
    <n v="0"/>
    <n v="279.76"/>
    <n v="127.19"/>
    <m/>
    <n v="278.35079844002775"/>
    <n v="122.22563535891386"/>
    <n v="0"/>
    <n v="2214.0206399999997"/>
    <n v="1006.5816599999999"/>
    <n v="0"/>
    <n v="2202.8682188543794"/>
    <n v="967.29367823044424"/>
  </r>
  <r>
    <s v="Regular"/>
    <x v="1"/>
    <x v="3"/>
    <x v="5"/>
    <x v="5"/>
    <x v="0"/>
    <x v="0"/>
    <x v="2"/>
    <x v="9"/>
    <n v="0"/>
    <n v="0"/>
    <n v="7.9269999999999996"/>
    <n v="7.9269999999999996"/>
    <n v="7.9269999999999996"/>
    <n v="7.9269999999999996"/>
    <n v="60"/>
    <x v="0"/>
    <n v="0"/>
    <n v="0"/>
    <n v="8"/>
    <n v="61"/>
    <n v="0"/>
    <n v="279.76"/>
    <n v="127.19"/>
    <m/>
    <n v="278.35079844002775"/>
    <n v="122.22563535891386"/>
    <n v="0"/>
    <n v="2217.6575199999997"/>
    <n v="1008.2351299999999"/>
    <n v="0"/>
    <n v="2206.4867792340997"/>
    <n v="968.88261149011009"/>
  </r>
  <r>
    <s v="Regular"/>
    <x v="1"/>
    <x v="3"/>
    <x v="5"/>
    <x v="5"/>
    <x v="0"/>
    <x v="0"/>
    <x v="2"/>
    <x v="10"/>
    <n v="0"/>
    <n v="0"/>
    <n v="7.6959999999999997"/>
    <n v="7.6959999999999997"/>
    <n v="7.6959999999999997"/>
    <n v="7.6959999999999997"/>
    <n v="51"/>
    <x v="0"/>
    <n v="0"/>
    <n v="0"/>
    <n v="8"/>
    <n v="61"/>
    <n v="0"/>
    <n v="279.76"/>
    <n v="127.19"/>
    <m/>
    <n v="278.35079844002775"/>
    <n v="122.22563535891386"/>
    <n v="0"/>
    <n v="2153.03296"/>
    <n v="978.85424"/>
    <n v="0"/>
    <n v="2142.1877447944535"/>
    <n v="940.64848972220102"/>
  </r>
  <r>
    <s v="Regular"/>
    <x v="1"/>
    <x v="3"/>
    <x v="5"/>
    <x v="5"/>
    <x v="0"/>
    <x v="0"/>
    <x v="2"/>
    <x v="11"/>
    <n v="0"/>
    <n v="0"/>
    <n v="7.2489999999999997"/>
    <n v="7.2489999999999997"/>
    <n v="7.2489999999999997"/>
    <n v="7.2489999999999997"/>
    <n v="59"/>
    <x v="0"/>
    <n v="0"/>
    <n v="0"/>
    <n v="8"/>
    <n v="61"/>
    <n v="0"/>
    <n v="279.76"/>
    <n v="127.19"/>
    <m/>
    <n v="278.35079844002775"/>
    <n v="122.22563535891386"/>
    <n v="0"/>
    <n v="2027.9802399999999"/>
    <n v="922.0003099999999"/>
    <n v="0"/>
    <n v="2017.7649378917611"/>
    <n v="886.01363071676656"/>
  </r>
  <r>
    <s v="Regular"/>
    <x v="1"/>
    <x v="3"/>
    <x v="5"/>
    <x v="6"/>
    <x v="0"/>
    <x v="0"/>
    <x v="2"/>
    <x v="0"/>
    <n v="0"/>
    <n v="0"/>
    <n v="0.58399999999999996"/>
    <n v="0.58399999999999996"/>
    <n v="0.58399999999999996"/>
    <n v="0.58399999999999996"/>
    <n v="8"/>
    <x v="0"/>
    <n v="0"/>
    <n v="0"/>
    <n v="26"/>
    <n v="79"/>
    <n v="0"/>
    <n v="310.83999999999997"/>
    <n v="141.32"/>
    <m/>
    <n v="309.27866493336415"/>
    <n v="135.80626150990429"/>
    <n v="0"/>
    <n v="181.53055999999998"/>
    <n v="82.530879999999996"/>
    <n v="0"/>
    <n v="180.61874032108466"/>
    <n v="79.310856721784106"/>
  </r>
  <r>
    <s v="Regular"/>
    <x v="1"/>
    <x v="3"/>
    <x v="5"/>
    <x v="6"/>
    <x v="0"/>
    <x v="0"/>
    <x v="2"/>
    <x v="1"/>
    <n v="0"/>
    <n v="0"/>
    <n v="0.60099999999999998"/>
    <n v="0.60099999999999998"/>
    <n v="0.60099999999999998"/>
    <n v="0.60099999999999998"/>
    <n v="8"/>
    <x v="0"/>
    <n v="0"/>
    <n v="0"/>
    <n v="26"/>
    <n v="79"/>
    <n v="0"/>
    <n v="310.83999999999997"/>
    <n v="141.32"/>
    <m/>
    <n v="309.27866493336415"/>
    <n v="135.80626150990429"/>
    <n v="0"/>
    <n v="186.81483999999998"/>
    <n v="84.933319999999995"/>
    <n v="0"/>
    <n v="185.87647762495186"/>
    <n v="81.619563167452469"/>
  </r>
  <r>
    <s v="Regular"/>
    <x v="1"/>
    <x v="3"/>
    <x v="5"/>
    <x v="6"/>
    <x v="0"/>
    <x v="0"/>
    <x v="2"/>
    <x v="2"/>
    <n v="0"/>
    <n v="0"/>
    <n v="0.67100000000000004"/>
    <n v="0.67100000000000004"/>
    <n v="0.67100000000000004"/>
    <n v="0.67100000000000004"/>
    <n v="9"/>
    <x v="0"/>
    <n v="0"/>
    <n v="0"/>
    <n v="26"/>
    <n v="79"/>
    <n v="0"/>
    <n v="310.83999999999997"/>
    <n v="141.32"/>
    <m/>
    <n v="309.27866493336415"/>
    <n v="135.80626150990429"/>
    <n v="0"/>
    <n v="208.57363999999998"/>
    <n v="94.825720000000004"/>
    <n v="0"/>
    <n v="207.52598417028736"/>
    <n v="91.126001473145777"/>
  </r>
  <r>
    <s v="Regular"/>
    <x v="1"/>
    <x v="3"/>
    <x v="5"/>
    <x v="6"/>
    <x v="0"/>
    <x v="0"/>
    <x v="2"/>
    <x v="3"/>
    <n v="0"/>
    <n v="0"/>
    <n v="1.2829999999999999"/>
    <n v="1.2829999999999999"/>
    <n v="1.2829999999999999"/>
    <n v="1.2829999999999999"/>
    <n v="11"/>
    <x v="0"/>
    <n v="0"/>
    <n v="0"/>
    <n v="26"/>
    <n v="79"/>
    <n v="0"/>
    <n v="310.83999999999997"/>
    <n v="141.32"/>
    <m/>
    <n v="309.27866493336415"/>
    <n v="135.80626150990429"/>
    <n v="0"/>
    <n v="398.80771999999996"/>
    <n v="181.31355999999997"/>
    <n v="0"/>
    <n v="396.80452710950618"/>
    <n v="174.2394335172072"/>
  </r>
  <r>
    <s v="Regular"/>
    <x v="1"/>
    <x v="3"/>
    <x v="5"/>
    <x v="6"/>
    <x v="0"/>
    <x v="0"/>
    <x v="2"/>
    <x v="4"/>
    <n v="0"/>
    <n v="0"/>
    <n v="1.1020000000000001"/>
    <n v="1.1020000000000001"/>
    <n v="1.1020000000000001"/>
    <n v="1.1020000000000001"/>
    <n v="10"/>
    <x v="0"/>
    <n v="0"/>
    <n v="0"/>
    <n v="26"/>
    <n v="79"/>
    <n v="0"/>
    <n v="310.83999999999997"/>
    <n v="141.32"/>
    <m/>
    <n v="309.27866493336415"/>
    <n v="135.80626150990429"/>
    <n v="0"/>
    <n v="342.54568"/>
    <n v="155.73464000000001"/>
    <n v="0"/>
    <n v="340.82508875656731"/>
    <n v="149.65850018391453"/>
  </r>
  <r>
    <s v="Regular"/>
    <x v="1"/>
    <x v="3"/>
    <x v="5"/>
    <x v="6"/>
    <x v="0"/>
    <x v="0"/>
    <x v="2"/>
    <x v="5"/>
    <n v="0"/>
    <n v="0"/>
    <n v="1.478"/>
    <n v="1.478"/>
    <n v="1.478"/>
    <n v="1.478"/>
    <n v="18"/>
    <x v="0"/>
    <n v="0"/>
    <n v="0"/>
    <n v="26"/>
    <n v="79"/>
    <n v="0"/>
    <n v="310.83999999999997"/>
    <n v="141.32"/>
    <m/>
    <n v="309.27866493336415"/>
    <n v="135.80626150990429"/>
    <n v="0"/>
    <n v="459.42151999999993"/>
    <n v="208.87096"/>
    <n v="0"/>
    <n v="457.11386677151222"/>
    <n v="200.72165451163855"/>
  </r>
  <r>
    <s v="Regular"/>
    <x v="1"/>
    <x v="3"/>
    <x v="5"/>
    <x v="6"/>
    <x v="0"/>
    <x v="0"/>
    <x v="2"/>
    <x v="6"/>
    <n v="0"/>
    <n v="0"/>
    <n v="2.129"/>
    <n v="2.129"/>
    <n v="2.129"/>
    <n v="2.129"/>
    <n v="17"/>
    <x v="0"/>
    <n v="0"/>
    <n v="0"/>
    <n v="26"/>
    <n v="79"/>
    <n v="0"/>
    <n v="310.83999999999997"/>
    <n v="141.32"/>
    <m/>
    <n v="309.27866493336415"/>
    <n v="135.80626150990429"/>
    <n v="0"/>
    <n v="661.77835999999991"/>
    <n v="300.87027999999998"/>
    <n v="0"/>
    <n v="658.45427764313229"/>
    <n v="289.13153075458621"/>
  </r>
  <r>
    <s v="Regular"/>
    <x v="1"/>
    <x v="3"/>
    <x v="5"/>
    <x v="6"/>
    <x v="0"/>
    <x v="0"/>
    <x v="2"/>
    <x v="7"/>
    <n v="0"/>
    <n v="0"/>
    <n v="3.052"/>
    <n v="3.052"/>
    <n v="3.052"/>
    <n v="3.052"/>
    <n v="36"/>
    <x v="0"/>
    <n v="0"/>
    <n v="0"/>
    <n v="26"/>
    <n v="79"/>
    <n v="0"/>
    <n v="310.83999999999997"/>
    <n v="141.32"/>
    <m/>
    <n v="309.27866493336415"/>
    <n v="135.80626150990429"/>
    <n v="0"/>
    <n v="948.68367999999998"/>
    <n v="431.30863999999997"/>
    <n v="0"/>
    <n v="943.91848537662736"/>
    <n v="414.48071012822788"/>
  </r>
  <r>
    <s v="Regular"/>
    <x v="1"/>
    <x v="3"/>
    <x v="5"/>
    <x v="6"/>
    <x v="0"/>
    <x v="0"/>
    <x v="2"/>
    <x v="8"/>
    <n v="0"/>
    <n v="0"/>
    <n v="2.6309999999999998"/>
    <n v="2.6309999999999998"/>
    <n v="2.6309999999999998"/>
    <n v="2.6309999999999998"/>
    <n v="40"/>
    <x v="0"/>
    <n v="0"/>
    <n v="0"/>
    <n v="26"/>
    <n v="79"/>
    <n v="0"/>
    <n v="310.83999999999997"/>
    <n v="141.32"/>
    <m/>
    <n v="309.27866493336415"/>
    <n v="135.80626150990429"/>
    <n v="0"/>
    <n v="817.82003999999984"/>
    <n v="371.81291999999996"/>
    <n v="0"/>
    <n v="813.71216743968102"/>
    <n v="357.30627403255818"/>
  </r>
  <r>
    <s v="Regular"/>
    <x v="1"/>
    <x v="3"/>
    <x v="5"/>
    <x v="6"/>
    <x v="0"/>
    <x v="0"/>
    <x v="2"/>
    <x v="9"/>
    <n v="0"/>
    <n v="0"/>
    <n v="3.8069999999999999"/>
    <n v="3.8069999999999999"/>
    <n v="3.8069999999999999"/>
    <n v="3.8069999999999999"/>
    <n v="36"/>
    <x v="0"/>
    <n v="0"/>
    <n v="0"/>
    <n v="26"/>
    <n v="79"/>
    <n v="0"/>
    <n v="310.83999999999997"/>
    <n v="141.32"/>
    <m/>
    <n v="309.27866493336415"/>
    <n v="135.80626150990429"/>
    <n v="0"/>
    <n v="1183.3678799999998"/>
    <n v="538.00523999999996"/>
    <n v="0"/>
    <n v="1177.4238774013172"/>
    <n v="517.01443756820561"/>
  </r>
  <r>
    <s v="Regular"/>
    <x v="1"/>
    <x v="3"/>
    <x v="5"/>
    <x v="6"/>
    <x v="0"/>
    <x v="0"/>
    <x v="2"/>
    <x v="10"/>
    <n v="0"/>
    <n v="0"/>
    <n v="2.3279999999999998"/>
    <n v="2.3279999999999998"/>
    <n v="2.3279999999999998"/>
    <n v="2.3279999999999998"/>
    <n v="37"/>
    <x v="0"/>
    <n v="0"/>
    <n v="0"/>
    <n v="26"/>
    <n v="79"/>
    <n v="0"/>
    <n v="310.83999999999997"/>
    <n v="141.32"/>
    <m/>
    <n v="309.27866493336415"/>
    <n v="135.80626150990429"/>
    <n v="0"/>
    <n v="723.63551999999993"/>
    <n v="328.99295999999998"/>
    <n v="0"/>
    <n v="720.00073196487176"/>
    <n v="316.15697679505718"/>
  </r>
  <r>
    <s v="Refaturamento - Regular"/>
    <x v="1"/>
    <x v="3"/>
    <x v="5"/>
    <x v="6"/>
    <x v="0"/>
    <x v="0"/>
    <x v="2"/>
    <x v="10"/>
    <n v="0"/>
    <n v="0"/>
    <n v="8.5999999999999993E-2"/>
    <n v="8.5999999999999993E-2"/>
    <n v="8.5999999999999993E-2"/>
    <n v="8.5999999999999993E-2"/>
    <n v="0"/>
    <x v="0"/>
    <n v="0"/>
    <n v="0"/>
    <n v="26"/>
    <n v="79"/>
    <n v="0"/>
    <n v="310.83999999999997"/>
    <n v="141.32"/>
    <m/>
    <n v="309.27866493336415"/>
    <n v="135.80626150990429"/>
    <n v="0"/>
    <n v="26.732239999999997"/>
    <n v="12.153519999999999"/>
    <n v="0"/>
    <n v="26.597965184269317"/>
    <n v="11.679338489851768"/>
  </r>
  <r>
    <s v="Regular"/>
    <x v="1"/>
    <x v="3"/>
    <x v="5"/>
    <x v="6"/>
    <x v="0"/>
    <x v="0"/>
    <x v="2"/>
    <x v="11"/>
    <n v="0"/>
    <n v="0"/>
    <n v="2.6739999999999999"/>
    <n v="2.6739999999999999"/>
    <n v="2.6739999999999999"/>
    <n v="2.6739999999999999"/>
    <n v="31"/>
    <x v="0"/>
    <n v="0"/>
    <n v="0"/>
    <n v="26"/>
    <n v="79"/>
    <n v="0"/>
    <n v="310.83999999999997"/>
    <n v="141.32"/>
    <m/>
    <n v="309.27866493336415"/>
    <n v="135.80626150990429"/>
    <n v="0"/>
    <n v="831.18615999999986"/>
    <n v="377.88968"/>
    <n v="0"/>
    <n v="827.01115003181576"/>
    <n v="363.14594327748404"/>
  </r>
  <r>
    <s v="Regular"/>
    <x v="2"/>
    <x v="3"/>
    <x v="4"/>
    <x v="7"/>
    <x v="1"/>
    <x v="0"/>
    <x v="2"/>
    <x v="0"/>
    <n v="0"/>
    <n v="0"/>
    <n v="4.1989999999999998"/>
    <n v="4.1989999999999998"/>
    <n v="4.1989999999999998"/>
    <n v="4.1989999999999998"/>
    <n v="0"/>
    <x v="0"/>
    <n v="0"/>
    <n v="0"/>
    <n v="30"/>
    <n v="55"/>
    <n v="0"/>
    <n v="331.77"/>
    <n v="124.36"/>
    <m/>
    <n v="390.73403238820225"/>
    <n v="127.65788581931002"/>
    <n v="0"/>
    <n v="1393.10223"/>
    <n v="522.18763999999999"/>
    <n v="0"/>
    <n v="1640.6922019980611"/>
    <n v="536.03546255528272"/>
  </r>
  <r>
    <s v="Sistema de Compensação"/>
    <x v="2"/>
    <x v="3"/>
    <x v="4"/>
    <x v="7"/>
    <x v="1"/>
    <x v="0"/>
    <x v="2"/>
    <x v="0"/>
    <n v="0"/>
    <n v="0"/>
    <n v="0.22900000000000001"/>
    <n v="0.22900000000000001"/>
    <n v="0.22900000000000001"/>
    <n v="0.22900000000000001"/>
    <n v="0"/>
    <x v="0"/>
    <n v="0"/>
    <n v="0"/>
    <n v="30"/>
    <n v="55"/>
    <n v="0"/>
    <n v="331.77"/>
    <n v="124.36"/>
    <m/>
    <n v="390.73403238820225"/>
    <n v="127.65788581931002"/>
    <n v="0"/>
    <n v="75.97533"/>
    <n v="28.478440000000003"/>
    <n v="0"/>
    <n v="89.478093416898318"/>
    <n v="29.233655852621997"/>
  </r>
  <r>
    <s v="Regular"/>
    <x v="2"/>
    <x v="3"/>
    <x v="4"/>
    <x v="7"/>
    <x v="1"/>
    <x v="0"/>
    <x v="2"/>
    <x v="1"/>
    <n v="0"/>
    <n v="0"/>
    <n v="2.9990000000000001"/>
    <n v="2.9990000000000001"/>
    <n v="2.9990000000000001"/>
    <n v="2.9990000000000001"/>
    <n v="0"/>
    <x v="0"/>
    <n v="0"/>
    <n v="0"/>
    <n v="30"/>
    <n v="55"/>
    <n v="0"/>
    <n v="331.77"/>
    <n v="124.36"/>
    <m/>
    <n v="390.73403238820225"/>
    <n v="127.65788581931002"/>
    <n v="0"/>
    <n v="994.97822999999994"/>
    <n v="372.95564000000002"/>
    <n v="0"/>
    <n v="1171.8113631322185"/>
    <n v="382.84599957211077"/>
  </r>
  <r>
    <s v="Sistema de Compensação"/>
    <x v="2"/>
    <x v="3"/>
    <x v="4"/>
    <x v="7"/>
    <x v="1"/>
    <x v="0"/>
    <x v="2"/>
    <x v="1"/>
    <n v="0"/>
    <n v="0"/>
    <n v="0.20899999999999999"/>
    <n v="0.20899999999999999"/>
    <n v="0.20899999999999999"/>
    <n v="0.20899999999999999"/>
    <n v="0"/>
    <x v="0"/>
    <n v="0"/>
    <n v="0"/>
    <n v="30"/>
    <n v="55"/>
    <n v="0"/>
    <n v="331.77"/>
    <n v="124.36"/>
    <m/>
    <n v="390.73403238820225"/>
    <n v="127.65788581931002"/>
    <n v="0"/>
    <n v="69.339929999999995"/>
    <n v="25.991239999999998"/>
    <n v="0"/>
    <n v="81.663412769134268"/>
    <n v="26.680498136235794"/>
  </r>
  <r>
    <s v="Regular"/>
    <x v="2"/>
    <x v="3"/>
    <x v="4"/>
    <x v="7"/>
    <x v="1"/>
    <x v="0"/>
    <x v="2"/>
    <x v="2"/>
    <n v="0"/>
    <n v="0"/>
    <n v="3.339"/>
    <n v="3.339"/>
    <n v="3.339"/>
    <n v="3.339"/>
    <n v="0"/>
    <x v="0"/>
    <n v="0"/>
    <n v="0"/>
    <n v="30"/>
    <n v="55"/>
    <n v="0"/>
    <n v="331.77"/>
    <n v="124.36"/>
    <m/>
    <n v="390.73403238820225"/>
    <n v="127.65788581931002"/>
    <n v="0"/>
    <n v="1107.7800299999999"/>
    <n v="415.23804000000001"/>
    <n v="0"/>
    <n v="1304.6609341442072"/>
    <n v="426.24968075067619"/>
  </r>
  <r>
    <s v="Sistema de Compensação"/>
    <x v="2"/>
    <x v="3"/>
    <x v="4"/>
    <x v="7"/>
    <x v="1"/>
    <x v="0"/>
    <x v="2"/>
    <x v="2"/>
    <n v="0"/>
    <n v="0"/>
    <n v="0.19600000000000001"/>
    <n v="0.19600000000000001"/>
    <n v="0.19600000000000001"/>
    <n v="0.19600000000000001"/>
    <n v="0"/>
    <x v="0"/>
    <n v="0"/>
    <n v="0"/>
    <n v="30"/>
    <n v="55"/>
    <n v="0"/>
    <n v="331.77"/>
    <n v="124.36"/>
    <m/>
    <n v="390.73403238820225"/>
    <n v="127.65788581931002"/>
    <n v="0"/>
    <n v="65.026920000000004"/>
    <n v="24.374560000000002"/>
    <n v="0"/>
    <n v="76.583870348087643"/>
    <n v="25.020945620584765"/>
  </r>
  <r>
    <s v="Regular"/>
    <x v="2"/>
    <x v="3"/>
    <x v="4"/>
    <x v="7"/>
    <x v="1"/>
    <x v="0"/>
    <x v="2"/>
    <x v="3"/>
    <n v="0"/>
    <n v="0"/>
    <n v="2.8740000000000001"/>
    <n v="2.8740000000000001"/>
    <n v="2.8740000000000001"/>
    <n v="2.8740000000000001"/>
    <n v="0"/>
    <x v="0"/>
    <n v="0"/>
    <n v="0"/>
    <n v="30"/>
    <n v="55"/>
    <n v="0"/>
    <n v="331.77"/>
    <n v="124.36"/>
    <m/>
    <n v="390.73403238820225"/>
    <n v="127.65788581931002"/>
    <n v="0"/>
    <n v="953.50698"/>
    <n v="357.41064"/>
    <n v="0"/>
    <n v="1122.9696090836933"/>
    <n v="366.88876384469705"/>
  </r>
  <r>
    <s v="Sistema de Compensação"/>
    <x v="2"/>
    <x v="3"/>
    <x v="4"/>
    <x v="7"/>
    <x v="1"/>
    <x v="0"/>
    <x v="2"/>
    <x v="3"/>
    <n v="0"/>
    <n v="0"/>
    <n v="0.86199999999999999"/>
    <n v="0.86199999999999999"/>
    <n v="0.86199999999999999"/>
    <n v="0.86199999999999999"/>
    <n v="0"/>
    <x v="0"/>
    <n v="0"/>
    <n v="0"/>
    <n v="30"/>
    <n v="55"/>
    <n v="0"/>
    <n v="331.77"/>
    <n v="124.36"/>
    <m/>
    <n v="390.73403238820225"/>
    <n v="127.65788581931002"/>
    <n v="0"/>
    <n v="285.98573999999996"/>
    <n v="107.19832"/>
    <n v="0"/>
    <n v="336.81273591863032"/>
    <n v="110.04109757624524"/>
  </r>
  <r>
    <s v="Regular"/>
    <x v="2"/>
    <x v="3"/>
    <x v="4"/>
    <x v="7"/>
    <x v="1"/>
    <x v="0"/>
    <x v="2"/>
    <x v="4"/>
    <n v="0"/>
    <n v="0"/>
    <n v="4.2919999999999998"/>
    <n v="4.2919999999999998"/>
    <n v="4.2919999999999998"/>
    <n v="4.2919999999999998"/>
    <n v="0"/>
    <x v="0"/>
    <n v="0"/>
    <n v="0"/>
    <n v="30"/>
    <n v="55"/>
    <n v="0"/>
    <n v="331.77"/>
    <n v="124.36"/>
    <m/>
    <n v="390.73403238820225"/>
    <n v="127.65788581931002"/>
    <n v="0"/>
    <n v="1423.9568399999998"/>
    <n v="533.75311999999997"/>
    <n v="0"/>
    <n v="1677.0304670101641"/>
    <n v="547.90764593647862"/>
  </r>
  <r>
    <s v="Sistema de Compensação"/>
    <x v="2"/>
    <x v="3"/>
    <x v="4"/>
    <x v="7"/>
    <x v="1"/>
    <x v="0"/>
    <x v="2"/>
    <x v="4"/>
    <n v="0"/>
    <n v="0"/>
    <n v="0.44400000000000001"/>
    <n v="0.44400000000000001"/>
    <n v="0.44400000000000001"/>
    <n v="0.44400000000000001"/>
    <n v="0"/>
    <x v="0"/>
    <n v="0"/>
    <n v="0"/>
    <n v="30"/>
    <n v="55"/>
    <n v="0"/>
    <n v="331.77"/>
    <n v="124.36"/>
    <m/>
    <n v="390.73403238820225"/>
    <n v="127.65788581931002"/>
    <n v="0"/>
    <n v="147.30588"/>
    <n v="55.21584"/>
    <n v="0"/>
    <n v="173.48591038036182"/>
    <n v="56.680101303773654"/>
  </r>
  <r>
    <s v="Regular"/>
    <x v="2"/>
    <x v="3"/>
    <x v="4"/>
    <x v="7"/>
    <x v="1"/>
    <x v="0"/>
    <x v="2"/>
    <x v="5"/>
    <n v="0"/>
    <n v="0"/>
    <n v="4.452"/>
    <n v="4.452"/>
    <n v="4.452"/>
    <n v="4.452"/>
    <n v="0"/>
    <x v="0"/>
    <n v="0"/>
    <n v="0"/>
    <n v="30"/>
    <n v="55"/>
    <n v="0"/>
    <n v="331.77"/>
    <n v="124.36"/>
    <m/>
    <n v="390.73403238820225"/>
    <n v="127.65788581931002"/>
    <n v="0"/>
    <n v="1477.0400399999999"/>
    <n v="553.65071999999998"/>
    <n v="0"/>
    <n v="1739.5479121922765"/>
    <n v="568.33290766756818"/>
  </r>
  <r>
    <s v="Sistema de Compensação"/>
    <x v="2"/>
    <x v="3"/>
    <x v="4"/>
    <x v="7"/>
    <x v="1"/>
    <x v="0"/>
    <x v="2"/>
    <x v="5"/>
    <n v="0"/>
    <n v="0"/>
    <n v="0.33800000000000002"/>
    <n v="0.33800000000000002"/>
    <n v="0.33800000000000002"/>
    <n v="0.33800000000000002"/>
    <n v="0"/>
    <x v="0"/>
    <n v="0"/>
    <n v="0"/>
    <n v="30"/>
    <n v="55"/>
    <n v="0"/>
    <n v="331.77"/>
    <n v="124.36"/>
    <m/>
    <n v="390.73403238820225"/>
    <n v="127.65788581931002"/>
    <n v="0"/>
    <n v="112.13826"/>
    <n v="42.033680000000004"/>
    <n v="0"/>
    <n v="132.06810294721237"/>
    <n v="43.148365406926793"/>
  </r>
  <r>
    <s v="Regular"/>
    <x v="2"/>
    <x v="3"/>
    <x v="4"/>
    <x v="7"/>
    <x v="1"/>
    <x v="0"/>
    <x v="2"/>
    <x v="6"/>
    <n v="0"/>
    <n v="0"/>
    <n v="3.6970000000000001"/>
    <n v="3.6970000000000001"/>
    <n v="3.6970000000000001"/>
    <n v="3.6970000000000001"/>
    <n v="0"/>
    <x v="0"/>
    <n v="0"/>
    <n v="0"/>
    <n v="30"/>
    <n v="55"/>
    <n v="0"/>
    <n v="331.77"/>
    <n v="124.36"/>
    <m/>
    <n v="390.73403238820225"/>
    <n v="127.65788581931002"/>
    <n v="0"/>
    <n v="1226.55369"/>
    <n v="459.75891999999999"/>
    <n v="0"/>
    <n v="1444.5437177391836"/>
    <n v="471.95120387398919"/>
  </r>
  <r>
    <s v="Sistema de Compensação"/>
    <x v="2"/>
    <x v="3"/>
    <x v="4"/>
    <x v="7"/>
    <x v="1"/>
    <x v="0"/>
    <x v="2"/>
    <x v="6"/>
    <n v="0"/>
    <n v="0"/>
    <n v="0.374"/>
    <n v="0.374"/>
    <n v="0.374"/>
    <n v="0.374"/>
    <n v="0"/>
    <x v="0"/>
    <n v="0"/>
    <n v="0"/>
    <n v="30"/>
    <n v="55"/>
    <n v="0"/>
    <n v="331.77"/>
    <n v="124.36"/>
    <m/>
    <n v="390.73403238820225"/>
    <n v="127.65788581931002"/>
    <n v="0"/>
    <n v="124.08197999999999"/>
    <n v="46.510640000000002"/>
    <n v="0"/>
    <n v="146.13452811318763"/>
    <n v="47.744049296421949"/>
  </r>
  <r>
    <s v="Regular"/>
    <x v="2"/>
    <x v="3"/>
    <x v="4"/>
    <x v="7"/>
    <x v="1"/>
    <x v="0"/>
    <x v="2"/>
    <x v="7"/>
    <n v="0"/>
    <n v="0"/>
    <n v="3.0859999999999999"/>
    <n v="3.0859999999999999"/>
    <n v="3.0859999999999999"/>
    <n v="3.0859999999999999"/>
    <n v="0"/>
    <x v="0"/>
    <n v="0"/>
    <n v="0"/>
    <n v="30"/>
    <n v="55"/>
    <n v="0"/>
    <n v="331.77"/>
    <n v="124.36"/>
    <m/>
    <n v="390.73403238820225"/>
    <n v="127.65788581931002"/>
    <n v="0"/>
    <n v="1023.8422199999999"/>
    <n v="383.77495999999996"/>
    <n v="0"/>
    <n v="1205.8052239499921"/>
    <n v="393.95223563839073"/>
  </r>
  <r>
    <s v="Sistema de Compensação"/>
    <x v="2"/>
    <x v="3"/>
    <x v="4"/>
    <x v="7"/>
    <x v="1"/>
    <x v="0"/>
    <x v="2"/>
    <x v="7"/>
    <n v="0"/>
    <n v="0"/>
    <n v="0.23699999999999999"/>
    <n v="0.23699999999999999"/>
    <n v="0.23699999999999999"/>
    <n v="0.23699999999999999"/>
    <n v="0"/>
    <x v="0"/>
    <n v="0"/>
    <n v="0"/>
    <n v="30"/>
    <n v="55"/>
    <n v="0"/>
    <n v="331.77"/>
    <n v="124.36"/>
    <m/>
    <n v="390.73403238820225"/>
    <n v="127.65788581931002"/>
    <n v="0"/>
    <n v="78.62948999999999"/>
    <n v="29.473319999999998"/>
    <n v="0"/>
    <n v="92.603965676003924"/>
    <n v="30.254918939176473"/>
  </r>
  <r>
    <s v="Regular"/>
    <x v="2"/>
    <x v="3"/>
    <x v="4"/>
    <x v="7"/>
    <x v="1"/>
    <x v="0"/>
    <x v="2"/>
    <x v="8"/>
    <n v="0"/>
    <n v="0"/>
    <n v="2.173"/>
    <n v="2.173"/>
    <n v="2.173"/>
    <n v="2.173"/>
    <n v="0"/>
    <x v="0"/>
    <n v="0"/>
    <n v="0"/>
    <n v="30"/>
    <n v="55"/>
    <n v="0"/>
    <n v="331.77"/>
    <n v="124.36"/>
    <m/>
    <n v="390.73403238820225"/>
    <n v="127.65788581931002"/>
    <n v="0"/>
    <n v="720.93620999999996"/>
    <n v="270.23428000000001"/>
    <n v="0"/>
    <n v="849.06505237956355"/>
    <n v="277.40058588536067"/>
  </r>
  <r>
    <s v="Sistema de Compensação"/>
    <x v="2"/>
    <x v="3"/>
    <x v="4"/>
    <x v="7"/>
    <x v="1"/>
    <x v="0"/>
    <x v="2"/>
    <x v="8"/>
    <n v="0"/>
    <n v="0"/>
    <n v="0.34200000000000003"/>
    <n v="0.34200000000000003"/>
    <n v="0.34200000000000003"/>
    <n v="0.34200000000000003"/>
    <n v="0"/>
    <x v="0"/>
    <n v="0"/>
    <n v="0"/>
    <n v="30"/>
    <n v="55"/>
    <n v="0"/>
    <n v="331.77"/>
    <n v="124.36"/>
    <m/>
    <n v="390.73403238820225"/>
    <n v="127.65788581931002"/>
    <n v="0"/>
    <n v="113.46534"/>
    <n v="42.531120000000001"/>
    <n v="0"/>
    <n v="133.63103907676518"/>
    <n v="43.658996950204035"/>
  </r>
  <r>
    <s v="Regular"/>
    <x v="2"/>
    <x v="3"/>
    <x v="4"/>
    <x v="7"/>
    <x v="1"/>
    <x v="0"/>
    <x v="2"/>
    <x v="9"/>
    <n v="0"/>
    <n v="0"/>
    <n v="3.0910000000000002"/>
    <n v="3.0910000000000002"/>
    <n v="3.0910000000000002"/>
    <n v="3.0910000000000002"/>
    <n v="0"/>
    <x v="0"/>
    <n v="0"/>
    <n v="0"/>
    <n v="30"/>
    <n v="55"/>
    <n v="0"/>
    <n v="331.77"/>
    <n v="124.36"/>
    <m/>
    <n v="390.73403238820225"/>
    <n v="127.65788581931002"/>
    <n v="0"/>
    <n v="1025.50107"/>
    <n v="384.39676000000003"/>
    <n v="0"/>
    <n v="1207.7588941119332"/>
    <n v="394.59052506748731"/>
  </r>
  <r>
    <s v="Regular"/>
    <x v="2"/>
    <x v="3"/>
    <x v="4"/>
    <x v="7"/>
    <x v="1"/>
    <x v="0"/>
    <x v="2"/>
    <x v="10"/>
    <n v="0"/>
    <n v="0"/>
    <n v="2.78"/>
    <n v="2.78"/>
    <n v="2.78"/>
    <n v="2.78"/>
    <n v="0"/>
    <x v="0"/>
    <n v="0"/>
    <n v="0"/>
    <n v="30"/>
    <n v="55"/>
    <n v="0"/>
    <n v="331.77"/>
    <n v="124.36"/>
    <m/>
    <n v="390.73403238820225"/>
    <n v="127.65788581931002"/>
    <n v="0"/>
    <n v="922.3205999999999"/>
    <n v="345.7208"/>
    <n v="0"/>
    <n v="1086.2406100392022"/>
    <n v="354.88892257768185"/>
  </r>
  <r>
    <s v="Refaturamento - Regular"/>
    <x v="2"/>
    <x v="3"/>
    <x v="4"/>
    <x v="7"/>
    <x v="1"/>
    <x v="0"/>
    <x v="2"/>
    <x v="10"/>
    <n v="0"/>
    <n v="0"/>
    <n v="-0.26"/>
    <n v="-0.26"/>
    <n v="-0.26"/>
    <n v="-0.26"/>
    <n v="0"/>
    <x v="0"/>
    <n v="0"/>
    <n v="0"/>
    <n v="30"/>
    <n v="55"/>
    <n v="0"/>
    <n v="331.77"/>
    <n v="124.36"/>
    <m/>
    <n v="390.73403238820225"/>
    <n v="127.65788581931002"/>
    <n v="0"/>
    <n v="-86.260199999999998"/>
    <n v="-32.333600000000004"/>
    <n v="0"/>
    <n v="-101.59084842093259"/>
    <n v="-33.191050313020611"/>
  </r>
  <r>
    <s v="Sistema de Compensação"/>
    <x v="2"/>
    <x v="3"/>
    <x v="4"/>
    <x v="7"/>
    <x v="1"/>
    <x v="0"/>
    <x v="2"/>
    <x v="10"/>
    <n v="0"/>
    <n v="0"/>
    <n v="0.1"/>
    <n v="0.1"/>
    <n v="0.1"/>
    <n v="0.1"/>
    <n v="0"/>
    <x v="0"/>
    <n v="0"/>
    <n v="0"/>
    <n v="30"/>
    <n v="55"/>
    <n v="0"/>
    <n v="331.77"/>
    <n v="124.36"/>
    <m/>
    <n v="390.73403238820225"/>
    <n v="127.65788581931002"/>
    <n v="0"/>
    <n v="33.177"/>
    <n v="12.436"/>
    <n v="0"/>
    <n v="39.073403238820227"/>
    <n v="12.765788581931004"/>
  </r>
  <r>
    <s v="Regular"/>
    <x v="2"/>
    <x v="3"/>
    <x v="4"/>
    <x v="7"/>
    <x v="1"/>
    <x v="0"/>
    <x v="2"/>
    <x v="11"/>
    <n v="0"/>
    <n v="0"/>
    <n v="2.8079999999999998"/>
    <n v="2.8079999999999998"/>
    <n v="2.8079999999999998"/>
    <n v="2.8079999999999998"/>
    <n v="0"/>
    <x v="0"/>
    <n v="0"/>
    <n v="0"/>
    <n v="30"/>
    <n v="55"/>
    <n v="0"/>
    <n v="331.77"/>
    <n v="124.36"/>
    <m/>
    <n v="390.73403238820225"/>
    <n v="127.65788581931002"/>
    <n v="0"/>
    <n v="931.61015999999984"/>
    <n v="349.20287999999999"/>
    <n v="0"/>
    <n v="1097.1811629460719"/>
    <n v="358.46334338062252"/>
  </r>
  <r>
    <s v="Sistema de Compensação"/>
    <x v="2"/>
    <x v="3"/>
    <x v="4"/>
    <x v="7"/>
    <x v="1"/>
    <x v="0"/>
    <x v="2"/>
    <x v="11"/>
    <n v="0"/>
    <n v="0"/>
    <n v="0.1"/>
    <n v="0.1"/>
    <n v="0.1"/>
    <n v="0.1"/>
    <n v="0"/>
    <x v="0"/>
    <n v="0"/>
    <n v="0"/>
    <n v="30"/>
    <n v="55"/>
    <n v="0"/>
    <n v="331.77"/>
    <n v="124.36"/>
    <m/>
    <n v="390.73403238820225"/>
    <n v="127.65788581931002"/>
    <n v="0"/>
    <n v="33.177"/>
    <n v="12.436"/>
    <n v="0"/>
    <n v="39.073403238820227"/>
    <n v="12.765788581931004"/>
  </r>
  <r>
    <s v="Regular"/>
    <x v="2"/>
    <x v="3"/>
    <x v="4"/>
    <x v="7"/>
    <x v="2"/>
    <x v="0"/>
    <x v="2"/>
    <x v="0"/>
    <n v="0"/>
    <n v="0"/>
    <n v="4.4800000000000004"/>
    <n v="1.792"/>
    <n v="4.4800000000000004"/>
    <n v="1.792"/>
    <n v="0"/>
    <x v="0"/>
    <n v="0"/>
    <n v="0"/>
    <n v="30"/>
    <n v="55"/>
    <n v="0"/>
    <n v="331.77"/>
    <n v="124.36"/>
    <m/>
    <n v="390.73403238820225"/>
    <n v="127.65788581931002"/>
    <n v="0"/>
    <n v="594.53183999999999"/>
    <n v="222.85311999999999"/>
    <n v="0"/>
    <n v="700.1953860396585"/>
    <n v="228.76293138820355"/>
  </r>
  <r>
    <s v="Sistema de Compensação"/>
    <x v="2"/>
    <x v="3"/>
    <x v="4"/>
    <x v="7"/>
    <x v="2"/>
    <x v="0"/>
    <x v="2"/>
    <x v="0"/>
    <n v="0"/>
    <n v="0"/>
    <n v="6.0000000000000001E-3"/>
    <n v="2.3999999999999998E-3"/>
    <n v="6.0000000000000001E-3"/>
    <n v="2.3999999999999998E-3"/>
    <n v="0"/>
    <x v="0"/>
    <n v="0"/>
    <n v="0"/>
    <n v="30"/>
    <n v="55"/>
    <n v="0"/>
    <n v="331.77"/>
    <n v="124.36"/>
    <m/>
    <n v="390.73403238820225"/>
    <n v="127.65788581931002"/>
    <n v="0"/>
    <n v="0.79624799999999984"/>
    <n v="0.29846399999999995"/>
    <n v="0"/>
    <n v="0.93776167773168528"/>
    <n v="0.30637892596634403"/>
  </r>
  <r>
    <s v="Regular"/>
    <x v="2"/>
    <x v="3"/>
    <x v="4"/>
    <x v="7"/>
    <x v="2"/>
    <x v="0"/>
    <x v="2"/>
    <x v="1"/>
    <n v="0"/>
    <n v="0"/>
    <n v="1.861"/>
    <n v="0.74439999999999995"/>
    <n v="1.861"/>
    <n v="0.74439999999999995"/>
    <n v="0"/>
    <x v="0"/>
    <n v="0"/>
    <n v="0"/>
    <n v="30"/>
    <n v="55"/>
    <n v="0"/>
    <n v="331.77"/>
    <n v="124.36"/>
    <m/>
    <n v="390.73403238820225"/>
    <n v="127.65788581931002"/>
    <n v="0"/>
    <n v="246.96958799999996"/>
    <n v="92.573583999999997"/>
    <n v="0"/>
    <n v="290.86241370977774"/>
    <n v="95.028530203894377"/>
  </r>
  <r>
    <s v="Sistema de Compensação"/>
    <x v="2"/>
    <x v="3"/>
    <x v="4"/>
    <x v="7"/>
    <x v="2"/>
    <x v="0"/>
    <x v="2"/>
    <x v="1"/>
    <n v="0"/>
    <n v="0"/>
    <n v="5.0000000000000001E-3"/>
    <n v="2E-3"/>
    <n v="5.0000000000000001E-3"/>
    <n v="2E-3"/>
    <n v="0"/>
    <x v="0"/>
    <n v="0"/>
    <n v="0"/>
    <n v="30"/>
    <n v="55"/>
    <n v="0"/>
    <n v="331.77"/>
    <n v="124.36"/>
    <m/>
    <n v="390.73403238820225"/>
    <n v="127.65788581931002"/>
    <n v="0"/>
    <n v="0.66354000000000002"/>
    <n v="0.24872"/>
    <n v="0"/>
    <n v="0.78146806477640451"/>
    <n v="0.25531577163862007"/>
  </r>
  <r>
    <s v="Regular"/>
    <x v="2"/>
    <x v="3"/>
    <x v="4"/>
    <x v="7"/>
    <x v="2"/>
    <x v="0"/>
    <x v="2"/>
    <x v="2"/>
    <n v="0"/>
    <n v="0"/>
    <n v="2.6339999999999999"/>
    <n v="1.0536000000000001"/>
    <n v="2.6339999999999999"/>
    <n v="1.0536000000000001"/>
    <n v="0"/>
    <x v="0"/>
    <n v="0"/>
    <n v="0"/>
    <n v="30"/>
    <n v="55"/>
    <n v="0"/>
    <n v="331.77"/>
    <n v="124.36"/>
    <m/>
    <n v="390.73403238820225"/>
    <n v="127.65788581931002"/>
    <n v="0"/>
    <n v="349.55287200000004"/>
    <n v="131.02569600000001"/>
    <n v="0"/>
    <n v="411.67737652420993"/>
    <n v="134.50034849922505"/>
  </r>
  <r>
    <s v="Sistema de Compensação"/>
    <x v="2"/>
    <x v="3"/>
    <x v="4"/>
    <x v="7"/>
    <x v="2"/>
    <x v="0"/>
    <x v="2"/>
    <x v="2"/>
    <n v="0"/>
    <n v="0"/>
    <n v="4.0000000000000001E-3"/>
    <n v="1.6000000000000001E-3"/>
    <n v="4.0000000000000001E-3"/>
    <n v="1.6000000000000001E-3"/>
    <n v="0"/>
    <x v="0"/>
    <n v="0"/>
    <n v="0"/>
    <n v="30"/>
    <n v="55"/>
    <n v="0"/>
    <n v="331.77"/>
    <n v="124.36"/>
    <m/>
    <n v="390.73403238820225"/>
    <n v="127.65788581931002"/>
    <n v="0"/>
    <n v="0.53083199999999997"/>
    <n v="0.19897600000000001"/>
    <n v="0"/>
    <n v="0.62517445182112363"/>
    <n v="0.20425261731089606"/>
  </r>
  <r>
    <s v="Regular"/>
    <x v="2"/>
    <x v="3"/>
    <x v="4"/>
    <x v="7"/>
    <x v="2"/>
    <x v="0"/>
    <x v="2"/>
    <x v="3"/>
    <n v="0"/>
    <n v="0"/>
    <n v="4.6260000000000003"/>
    <n v="1.8504"/>
    <n v="4.6260000000000003"/>
    <n v="1.8504"/>
    <n v="0"/>
    <x v="0"/>
    <n v="0"/>
    <n v="0"/>
    <n v="30"/>
    <n v="55"/>
    <n v="0"/>
    <n v="331.77"/>
    <n v="124.36"/>
    <m/>
    <n v="390.73403238820225"/>
    <n v="127.65788581931002"/>
    <n v="0"/>
    <n v="613.90720799999997"/>
    <n v="230.11574400000001"/>
    <n v="0"/>
    <n v="723.0142535311295"/>
    <n v="236.21815192005127"/>
  </r>
  <r>
    <s v="Sistema de Compensação"/>
    <x v="2"/>
    <x v="3"/>
    <x v="4"/>
    <x v="7"/>
    <x v="2"/>
    <x v="0"/>
    <x v="2"/>
    <x v="3"/>
    <n v="0"/>
    <n v="0"/>
    <n v="0.39100000000000001"/>
    <n v="0.15640000000000001"/>
    <n v="0.39100000000000001"/>
    <n v="0.15640000000000001"/>
    <n v="0"/>
    <x v="0"/>
    <n v="0"/>
    <n v="0"/>
    <n v="30"/>
    <n v="55"/>
    <n v="0"/>
    <n v="331.77"/>
    <n v="124.36"/>
    <m/>
    <n v="390.73403238820225"/>
    <n v="127.65788581931002"/>
    <n v="0"/>
    <n v="51.888828000000004"/>
    <n v="19.449904"/>
    <n v="0"/>
    <n v="61.110802665514839"/>
    <n v="19.965693342140089"/>
  </r>
  <r>
    <s v="Regular"/>
    <x v="2"/>
    <x v="3"/>
    <x v="4"/>
    <x v="7"/>
    <x v="2"/>
    <x v="0"/>
    <x v="2"/>
    <x v="4"/>
    <n v="0"/>
    <n v="0"/>
    <n v="7.93"/>
    <n v="3.1720000000000002"/>
    <n v="7.93"/>
    <n v="3.1720000000000002"/>
    <n v="0"/>
    <x v="0"/>
    <n v="0"/>
    <n v="0"/>
    <n v="30"/>
    <n v="55"/>
    <n v="0"/>
    <n v="331.77"/>
    <n v="124.36"/>
    <m/>
    <n v="390.73403238820225"/>
    <n v="127.65788581931002"/>
    <n v="0"/>
    <n v="1052.37444"/>
    <n v="394.46992"/>
    <n v="0"/>
    <n v="1239.4083507353776"/>
    <n v="404.93081381885139"/>
  </r>
  <r>
    <s v="Sistema de Compensação"/>
    <x v="2"/>
    <x v="3"/>
    <x v="4"/>
    <x v="7"/>
    <x v="2"/>
    <x v="0"/>
    <x v="2"/>
    <x v="4"/>
    <n v="0"/>
    <n v="0"/>
    <n v="0.86899999999999999"/>
    <n v="0.34760000000000002"/>
    <n v="0.86899999999999999"/>
    <n v="0.34760000000000002"/>
    <n v="0"/>
    <x v="0"/>
    <n v="0"/>
    <n v="0"/>
    <n v="30"/>
    <n v="55"/>
    <n v="0"/>
    <n v="331.77"/>
    <n v="124.36"/>
    <m/>
    <n v="390.73403238820225"/>
    <n v="127.65788581931002"/>
    <n v="0"/>
    <n v="115.323252"/>
    <n v="43.227536000000001"/>
    <n v="0"/>
    <n v="135.81914965813911"/>
    <n v="44.373881110792169"/>
  </r>
  <r>
    <s v="Regular"/>
    <x v="2"/>
    <x v="3"/>
    <x v="4"/>
    <x v="7"/>
    <x v="2"/>
    <x v="0"/>
    <x v="2"/>
    <x v="5"/>
    <n v="0"/>
    <n v="0"/>
    <n v="4.54"/>
    <n v="1.8160000000000001"/>
    <n v="4.54"/>
    <n v="1.8160000000000001"/>
    <n v="0"/>
    <x v="0"/>
    <n v="0"/>
    <n v="0"/>
    <n v="30"/>
    <n v="55"/>
    <n v="0"/>
    <n v="331.77"/>
    <n v="124.36"/>
    <m/>
    <n v="390.73403238820225"/>
    <n v="127.65788581931002"/>
    <n v="0"/>
    <n v="602.49432000000002"/>
    <n v="225.83776"/>
    <n v="0"/>
    <n v="709.5730028169753"/>
    <n v="231.82672064786701"/>
  </r>
  <r>
    <s v="Sistema de Compensação"/>
    <x v="2"/>
    <x v="3"/>
    <x v="4"/>
    <x v="7"/>
    <x v="2"/>
    <x v="0"/>
    <x v="2"/>
    <x v="5"/>
    <n v="0"/>
    <n v="0"/>
    <n v="0.13700000000000001"/>
    <n v="5.4800000000000001E-2"/>
    <n v="0.13700000000000001"/>
    <n v="5.4800000000000001E-2"/>
    <n v="0"/>
    <x v="0"/>
    <n v="0"/>
    <n v="0"/>
    <n v="30"/>
    <n v="55"/>
    <n v="0"/>
    <n v="331.77"/>
    <n v="124.36"/>
    <m/>
    <n v="390.73403238820225"/>
    <n v="127.65788581931002"/>
    <n v="0"/>
    <n v="18.180996"/>
    <n v="6.8149280000000001"/>
    <n v="0"/>
    <n v="21.412224974873485"/>
    <n v="6.9956521428981899"/>
  </r>
  <r>
    <s v="Regular"/>
    <x v="2"/>
    <x v="3"/>
    <x v="4"/>
    <x v="7"/>
    <x v="2"/>
    <x v="0"/>
    <x v="2"/>
    <x v="6"/>
    <n v="0"/>
    <n v="0"/>
    <n v="3.331"/>
    <n v="1.3324"/>
    <n v="3.331"/>
    <n v="1.3324"/>
    <n v="0"/>
    <x v="0"/>
    <n v="0"/>
    <n v="0"/>
    <n v="30"/>
    <n v="55"/>
    <n v="0"/>
    <n v="331.77"/>
    <n v="124.36"/>
    <m/>
    <n v="390.73403238820225"/>
    <n v="127.65788581931002"/>
    <n v="0"/>
    <n v="442.05034799999999"/>
    <n v="165.69726399999999"/>
    <n v="0"/>
    <n v="520.61402475404066"/>
    <n v="170.09136706564868"/>
  </r>
  <r>
    <s v="Sistema de Compensação"/>
    <x v="2"/>
    <x v="3"/>
    <x v="4"/>
    <x v="7"/>
    <x v="2"/>
    <x v="0"/>
    <x v="2"/>
    <x v="6"/>
    <n v="0"/>
    <n v="0"/>
    <n v="0.246"/>
    <n v="9.8400000000000001E-2"/>
    <n v="0.246"/>
    <n v="9.8400000000000001E-2"/>
    <n v="0"/>
    <x v="0"/>
    <n v="0"/>
    <n v="0"/>
    <n v="30"/>
    <n v="55"/>
    <n v="0"/>
    <n v="331.77"/>
    <n v="124.36"/>
    <m/>
    <n v="390.73403238820225"/>
    <n v="127.65788581931002"/>
    <n v="0"/>
    <n v="32.646167999999996"/>
    <n v="12.237024"/>
    <n v="0"/>
    <n v="38.448228786999103"/>
    <n v="12.561535964620107"/>
  </r>
  <r>
    <s v="Regular"/>
    <x v="2"/>
    <x v="3"/>
    <x v="4"/>
    <x v="7"/>
    <x v="2"/>
    <x v="0"/>
    <x v="2"/>
    <x v="7"/>
    <n v="0"/>
    <n v="0"/>
    <n v="1.518"/>
    <n v="0.60719999999999996"/>
    <n v="1.518"/>
    <n v="0.60719999999999996"/>
    <n v="0"/>
    <x v="0"/>
    <n v="0"/>
    <n v="0"/>
    <n v="30"/>
    <n v="55"/>
    <n v="0"/>
    <n v="331.77"/>
    <n v="124.36"/>
    <m/>
    <n v="390.73403238820225"/>
    <n v="127.65788581931002"/>
    <n v="0"/>
    <n v="201.45074399999999"/>
    <n v="75.511392000000001"/>
    <n v="0"/>
    <n v="237.2537044661164"/>
    <n v="77.513868269485044"/>
  </r>
  <r>
    <s v="Sistema de Compensação"/>
    <x v="2"/>
    <x v="3"/>
    <x v="4"/>
    <x v="7"/>
    <x v="2"/>
    <x v="0"/>
    <x v="2"/>
    <x v="7"/>
    <n v="0"/>
    <n v="0"/>
    <n v="4.7E-2"/>
    <n v="1.8800000000000001E-2"/>
    <n v="4.7E-2"/>
    <n v="1.8800000000000001E-2"/>
    <n v="0"/>
    <x v="0"/>
    <n v="0"/>
    <n v="0"/>
    <n v="30"/>
    <n v="55"/>
    <n v="0"/>
    <n v="331.77"/>
    <n v="124.36"/>
    <m/>
    <n v="390.73403238820225"/>
    <n v="127.65788581931002"/>
    <n v="0"/>
    <n v="6.2372759999999996"/>
    <n v="2.337968"/>
    <n v="0"/>
    <n v="7.3457998088982031"/>
    <n v="2.3999682534030287"/>
  </r>
  <r>
    <s v="Regular"/>
    <x v="2"/>
    <x v="3"/>
    <x v="4"/>
    <x v="7"/>
    <x v="2"/>
    <x v="0"/>
    <x v="2"/>
    <x v="8"/>
    <n v="0"/>
    <n v="0"/>
    <n v="0.59099999999999997"/>
    <n v="0.2364"/>
    <n v="0.59099999999999997"/>
    <n v="0.2364"/>
    <n v="0"/>
    <x v="0"/>
    <n v="0"/>
    <n v="0"/>
    <n v="30"/>
    <n v="55"/>
    <n v="0"/>
    <n v="331.77"/>
    <n v="124.36"/>
    <m/>
    <n v="390.73403238820225"/>
    <n v="127.65788581931002"/>
    <n v="0"/>
    <n v="78.430427999999992"/>
    <n v="29.398703999999999"/>
    <n v="0"/>
    <n v="92.369525256571009"/>
    <n v="30.178324207684891"/>
  </r>
  <r>
    <s v="Sistema de Compensação"/>
    <x v="2"/>
    <x v="3"/>
    <x v="4"/>
    <x v="7"/>
    <x v="2"/>
    <x v="0"/>
    <x v="2"/>
    <x v="8"/>
    <n v="0"/>
    <n v="0"/>
    <n v="6.9000000000000006E-2"/>
    <n v="2.76E-2"/>
    <n v="6.9000000000000006E-2"/>
    <n v="2.76E-2"/>
    <n v="0"/>
    <x v="0"/>
    <n v="0"/>
    <n v="0"/>
    <n v="30"/>
    <n v="55"/>
    <n v="0"/>
    <n v="331.77"/>
    <n v="124.36"/>
    <m/>
    <n v="390.73403238820225"/>
    <n v="127.65788581931002"/>
    <n v="0"/>
    <n v="9.1568519999999989"/>
    <n v="3.4323359999999998"/>
    <n v="0"/>
    <n v="10.784259293914381"/>
    <n v="3.5233576486129565"/>
  </r>
  <r>
    <s v="Regular"/>
    <x v="2"/>
    <x v="3"/>
    <x v="4"/>
    <x v="7"/>
    <x v="2"/>
    <x v="0"/>
    <x v="2"/>
    <x v="9"/>
    <n v="0"/>
    <n v="0"/>
    <n v="0.83799999999999997"/>
    <n v="0.3352"/>
    <n v="0.83799999999999997"/>
    <n v="0.3352"/>
    <n v="0"/>
    <x v="0"/>
    <n v="0"/>
    <n v="0"/>
    <n v="30"/>
    <n v="55"/>
    <n v="0"/>
    <n v="331.77"/>
    <n v="124.36"/>
    <m/>
    <n v="390.73403238820225"/>
    <n v="127.65788581931002"/>
    <n v="0"/>
    <n v="111.20930399999999"/>
    <n v="41.685471999999997"/>
    <n v="0"/>
    <n v="130.97404765652539"/>
    <n v="42.790923326632722"/>
  </r>
  <r>
    <s v="Regular"/>
    <x v="2"/>
    <x v="3"/>
    <x v="4"/>
    <x v="7"/>
    <x v="2"/>
    <x v="0"/>
    <x v="2"/>
    <x v="10"/>
    <n v="0"/>
    <n v="0"/>
    <n v="0.85399999999999998"/>
    <n v="0.34160000000000001"/>
    <n v="0.85399999999999998"/>
    <n v="0.34160000000000001"/>
    <n v="0"/>
    <x v="0"/>
    <n v="0"/>
    <n v="0"/>
    <n v="30"/>
    <n v="55"/>
    <n v="0"/>
    <n v="331.77"/>
    <n v="124.36"/>
    <m/>
    <n v="390.73403238820225"/>
    <n v="127.65788581931002"/>
    <n v="0"/>
    <n v="113.332632"/>
    <n v="42.481376000000004"/>
    <n v="0"/>
    <n v="133.47474546380988"/>
    <n v="43.607933795876306"/>
  </r>
  <r>
    <s v="Refaturamento - Regular"/>
    <x v="2"/>
    <x v="3"/>
    <x v="4"/>
    <x v="7"/>
    <x v="2"/>
    <x v="0"/>
    <x v="2"/>
    <x v="10"/>
    <n v="0"/>
    <n v="0"/>
    <n v="-0.187"/>
    <n v="-7.4800000000000005E-2"/>
    <n v="-0.187"/>
    <n v="-7.4800000000000005E-2"/>
    <n v="0"/>
    <x v="0"/>
    <n v="0"/>
    <n v="0"/>
    <n v="30"/>
    <n v="55"/>
    <n v="0"/>
    <n v="331.77"/>
    <n v="124.36"/>
    <m/>
    <n v="390.73403238820225"/>
    <n v="127.65788581931002"/>
    <n v="0"/>
    <n v="-24.816396000000001"/>
    <n v="-9.3021280000000015"/>
    <n v="0"/>
    <n v="-29.226905622637531"/>
    <n v="-9.5488098592843897"/>
  </r>
  <r>
    <s v="Regular"/>
    <x v="2"/>
    <x v="3"/>
    <x v="4"/>
    <x v="7"/>
    <x v="2"/>
    <x v="0"/>
    <x v="2"/>
    <x v="11"/>
    <n v="0"/>
    <n v="0"/>
    <n v="0.77700000000000002"/>
    <n v="0.31080000000000002"/>
    <n v="0.77700000000000002"/>
    <n v="0.31080000000000002"/>
    <n v="0"/>
    <x v="0"/>
    <n v="0"/>
    <n v="0"/>
    <n v="30"/>
    <n v="55"/>
    <n v="0"/>
    <n v="331.77"/>
    <n v="124.36"/>
    <m/>
    <n v="390.73403238820225"/>
    <n v="127.65788581931002"/>
    <n v="0"/>
    <n v="103.114116"/>
    <n v="38.651088000000001"/>
    <n v="0"/>
    <n v="121.44013726625327"/>
    <n v="39.676070912641556"/>
  </r>
  <r>
    <s v="Regular"/>
    <x v="2"/>
    <x v="3"/>
    <x v="4"/>
    <x v="8"/>
    <x v="1"/>
    <x v="0"/>
    <x v="2"/>
    <x v="0"/>
    <n v="0"/>
    <n v="0"/>
    <n v="7.766"/>
    <n v="7.766"/>
    <n v="7.766"/>
    <n v="7.766"/>
    <n v="0"/>
    <x v="0"/>
    <n v="0"/>
    <n v="0"/>
    <n v="30"/>
    <n v="55"/>
    <n v="0"/>
    <n v="331.77"/>
    <n v="124.36"/>
    <m/>
    <n v="390.73403238820225"/>
    <n v="127.65788581931002"/>
    <n v="0"/>
    <n v="2576.5258199999998"/>
    <n v="965.77976000000001"/>
    <n v="0"/>
    <n v="3034.4404955267787"/>
    <n v="991.39114127276162"/>
  </r>
  <r>
    <s v="Sistema de Compensação"/>
    <x v="2"/>
    <x v="3"/>
    <x v="4"/>
    <x v="8"/>
    <x v="1"/>
    <x v="0"/>
    <x v="2"/>
    <x v="0"/>
    <n v="0"/>
    <n v="0"/>
    <n v="0.05"/>
    <n v="0.05"/>
    <n v="0.05"/>
    <n v="0.05"/>
    <n v="0"/>
    <x v="0"/>
    <n v="0"/>
    <n v="0"/>
    <n v="30"/>
    <n v="55"/>
    <n v="0"/>
    <n v="331.77"/>
    <n v="124.36"/>
    <m/>
    <n v="390.73403238820225"/>
    <n v="127.65788581931002"/>
    <n v="0"/>
    <n v="16.5885"/>
    <n v="6.218"/>
    <n v="0"/>
    <n v="19.536701619410113"/>
    <n v="6.3828942909655018"/>
  </r>
  <r>
    <s v="Regular"/>
    <x v="2"/>
    <x v="3"/>
    <x v="4"/>
    <x v="8"/>
    <x v="1"/>
    <x v="0"/>
    <x v="2"/>
    <x v="1"/>
    <n v="0"/>
    <n v="0"/>
    <n v="7.407"/>
    <n v="7.407"/>
    <n v="7.407"/>
    <n v="7.407"/>
    <n v="0"/>
    <x v="0"/>
    <n v="0"/>
    <n v="0"/>
    <n v="30"/>
    <n v="55"/>
    <n v="0"/>
    <n v="331.77"/>
    <n v="124.36"/>
    <m/>
    <n v="390.73403238820225"/>
    <n v="127.65788581931002"/>
    <n v="0"/>
    <n v="2457.4203899999998"/>
    <n v="921.13451999999995"/>
    <n v="0"/>
    <n v="2894.1669778994142"/>
    <n v="945.56196026362932"/>
  </r>
  <r>
    <s v="Sistema de Compensação"/>
    <x v="2"/>
    <x v="3"/>
    <x v="4"/>
    <x v="8"/>
    <x v="1"/>
    <x v="0"/>
    <x v="2"/>
    <x v="1"/>
    <n v="0"/>
    <n v="0"/>
    <n v="0.05"/>
    <n v="0.05"/>
    <n v="0.05"/>
    <n v="0.05"/>
    <n v="0"/>
    <x v="0"/>
    <n v="0"/>
    <n v="0"/>
    <n v="30"/>
    <n v="55"/>
    <n v="0"/>
    <n v="331.77"/>
    <n v="124.36"/>
    <m/>
    <n v="390.73403238820225"/>
    <n v="127.65788581931002"/>
    <n v="0"/>
    <n v="16.5885"/>
    <n v="6.218"/>
    <n v="0"/>
    <n v="19.536701619410113"/>
    <n v="6.3828942909655018"/>
  </r>
  <r>
    <s v="Regular"/>
    <x v="2"/>
    <x v="3"/>
    <x v="4"/>
    <x v="8"/>
    <x v="1"/>
    <x v="0"/>
    <x v="2"/>
    <x v="2"/>
    <n v="0"/>
    <n v="0"/>
    <n v="4.6059999999999999"/>
    <n v="4.6059999999999999"/>
    <n v="4.6059999999999999"/>
    <n v="4.6059999999999999"/>
    <n v="0"/>
    <x v="0"/>
    <n v="0"/>
    <n v="0"/>
    <n v="30"/>
    <n v="55"/>
    <n v="0"/>
    <n v="331.77"/>
    <n v="124.36"/>
    <m/>
    <n v="390.73403238820225"/>
    <n v="127.65788581931002"/>
    <n v="0"/>
    <n v="1528.1326199999999"/>
    <n v="572.80215999999996"/>
    <n v="0"/>
    <n v="1799.7209531800595"/>
    <n v="587.99222208374192"/>
  </r>
  <r>
    <s v="Sistema de Compensação"/>
    <x v="2"/>
    <x v="3"/>
    <x v="4"/>
    <x v="8"/>
    <x v="1"/>
    <x v="0"/>
    <x v="2"/>
    <x v="2"/>
    <n v="0"/>
    <n v="0"/>
    <n v="1.756"/>
    <n v="1.756"/>
    <n v="1.756"/>
    <n v="1.756"/>
    <n v="0"/>
    <x v="0"/>
    <n v="0"/>
    <n v="0"/>
    <n v="30"/>
    <n v="55"/>
    <n v="0"/>
    <n v="331.77"/>
    <n v="124.36"/>
    <m/>
    <n v="390.73403238820225"/>
    <n v="127.65788581931002"/>
    <n v="0"/>
    <n v="582.58812"/>
    <n v="218.37616"/>
    <n v="0"/>
    <n v="686.12896087368313"/>
    <n v="224.16724749870841"/>
  </r>
  <r>
    <s v="Regular"/>
    <x v="2"/>
    <x v="3"/>
    <x v="4"/>
    <x v="8"/>
    <x v="1"/>
    <x v="0"/>
    <x v="2"/>
    <x v="3"/>
    <n v="0"/>
    <n v="0"/>
    <n v="4.41"/>
    <n v="4.41"/>
    <n v="4.41"/>
    <n v="4.41"/>
    <n v="0"/>
    <x v="0"/>
    <n v="0"/>
    <n v="0"/>
    <n v="30"/>
    <n v="55"/>
    <n v="0"/>
    <n v="331.77"/>
    <n v="124.36"/>
    <m/>
    <n v="390.73403238820225"/>
    <n v="127.65788581931002"/>
    <n v="0"/>
    <n v="1463.1057000000001"/>
    <n v="548.42759999999998"/>
    <n v="0"/>
    <n v="1723.1370828319721"/>
    <n v="562.97127646315721"/>
  </r>
  <r>
    <s v="Sistema de Compensação"/>
    <x v="2"/>
    <x v="3"/>
    <x v="4"/>
    <x v="8"/>
    <x v="1"/>
    <x v="0"/>
    <x v="2"/>
    <x v="3"/>
    <n v="0"/>
    <n v="0"/>
    <n v="1.4179999999999999"/>
    <n v="1.4179999999999999"/>
    <n v="1.4179999999999999"/>
    <n v="1.4179999999999999"/>
    <n v="0"/>
    <x v="0"/>
    <n v="0"/>
    <n v="0"/>
    <n v="30"/>
    <n v="55"/>
    <n v="0"/>
    <n v="331.77"/>
    <n v="124.36"/>
    <m/>
    <n v="390.73403238820225"/>
    <n v="127.65788581931002"/>
    <n v="0"/>
    <n v="470.44985999999994"/>
    <n v="176.34247999999999"/>
    <n v="0"/>
    <n v="554.06085792647082"/>
    <n v="181.01888209178159"/>
  </r>
  <r>
    <s v="Regular"/>
    <x v="2"/>
    <x v="3"/>
    <x v="4"/>
    <x v="8"/>
    <x v="1"/>
    <x v="0"/>
    <x v="2"/>
    <x v="4"/>
    <n v="0"/>
    <n v="0"/>
    <n v="8.9499999999999993"/>
    <n v="8.9499999999999993"/>
    <n v="8.9499999999999993"/>
    <n v="8.9499999999999993"/>
    <n v="0"/>
    <x v="0"/>
    <n v="0"/>
    <n v="0"/>
    <n v="30"/>
    <n v="55"/>
    <n v="0"/>
    <n v="331.77"/>
    <n v="124.36"/>
    <m/>
    <n v="390.73403238820225"/>
    <n v="127.65788581931002"/>
    <n v="0"/>
    <n v="2969.3414999999995"/>
    <n v="1113.0219999999999"/>
    <n v="0"/>
    <n v="3497.0695898744098"/>
    <n v="1142.5380780828245"/>
  </r>
  <r>
    <s v="Sistema de Compensação"/>
    <x v="2"/>
    <x v="3"/>
    <x v="4"/>
    <x v="8"/>
    <x v="1"/>
    <x v="0"/>
    <x v="2"/>
    <x v="4"/>
    <n v="0"/>
    <n v="0"/>
    <n v="0.76900000000000002"/>
    <n v="0.76900000000000002"/>
    <n v="0.76900000000000002"/>
    <n v="0.76900000000000002"/>
    <n v="0"/>
    <x v="0"/>
    <n v="0"/>
    <n v="0"/>
    <n v="30"/>
    <n v="55"/>
    <n v="0"/>
    <n v="331.77"/>
    <n v="124.36"/>
    <m/>
    <n v="390.73403238820225"/>
    <n v="127.65788581931002"/>
    <n v="0"/>
    <n v="255.13112999999998"/>
    <n v="95.632840000000002"/>
    <n v="0"/>
    <n v="300.47447090652753"/>
    <n v="98.16891419504941"/>
  </r>
  <r>
    <s v="Regular"/>
    <x v="2"/>
    <x v="3"/>
    <x v="4"/>
    <x v="8"/>
    <x v="1"/>
    <x v="0"/>
    <x v="2"/>
    <x v="5"/>
    <n v="0"/>
    <n v="0"/>
    <n v="11.526999999999999"/>
    <n v="11.526999999999999"/>
    <n v="11.526999999999999"/>
    <n v="11.526999999999999"/>
    <n v="0"/>
    <x v="0"/>
    <n v="0"/>
    <n v="0"/>
    <n v="30"/>
    <n v="55"/>
    <n v="0"/>
    <n v="331.77"/>
    <n v="124.36"/>
    <m/>
    <n v="390.73403238820225"/>
    <n v="127.65788581931002"/>
    <n v="0"/>
    <n v="3824.3127899999995"/>
    <n v="1433.4977199999998"/>
    <n v="0"/>
    <n v="4503.9911913388069"/>
    <n v="1471.5124498391865"/>
  </r>
  <r>
    <s v="Sistema de Compensação"/>
    <x v="2"/>
    <x v="3"/>
    <x v="4"/>
    <x v="8"/>
    <x v="1"/>
    <x v="0"/>
    <x v="2"/>
    <x v="5"/>
    <n v="0"/>
    <n v="0"/>
    <n v="1.095"/>
    <n v="1.095"/>
    <n v="1.095"/>
    <n v="1.095"/>
    <n v="0"/>
    <x v="0"/>
    <n v="0"/>
    <n v="0"/>
    <n v="30"/>
    <n v="55"/>
    <n v="0"/>
    <n v="331.77"/>
    <n v="124.36"/>
    <m/>
    <n v="390.73403238820225"/>
    <n v="127.65788581931002"/>
    <n v="0"/>
    <n v="363.28814999999997"/>
    <n v="136.17419999999998"/>
    <n v="0"/>
    <n v="427.85376546508144"/>
    <n v="139.78538497214447"/>
  </r>
  <r>
    <s v="Regular"/>
    <x v="2"/>
    <x v="3"/>
    <x v="4"/>
    <x v="8"/>
    <x v="1"/>
    <x v="0"/>
    <x v="2"/>
    <x v="6"/>
    <n v="0"/>
    <n v="0"/>
    <n v="7.798"/>
    <n v="7.798"/>
    <n v="7.798"/>
    <n v="7.798"/>
    <n v="0"/>
    <x v="0"/>
    <n v="0"/>
    <n v="0"/>
    <n v="30"/>
    <n v="55"/>
    <n v="0"/>
    <n v="331.77"/>
    <n v="124.36"/>
    <m/>
    <n v="390.73403238820225"/>
    <n v="127.65788581931002"/>
    <n v="0"/>
    <n v="2587.14246"/>
    <n v="969.75927999999999"/>
    <n v="0"/>
    <n v="3046.943984563201"/>
    <n v="995.47619361897955"/>
  </r>
  <r>
    <s v="Sistema de Compensação"/>
    <x v="2"/>
    <x v="3"/>
    <x v="4"/>
    <x v="8"/>
    <x v="1"/>
    <x v="0"/>
    <x v="2"/>
    <x v="6"/>
    <n v="0"/>
    <n v="0"/>
    <n v="1.1040000000000001"/>
    <n v="1.1040000000000001"/>
    <n v="1.1040000000000001"/>
    <n v="1.1040000000000001"/>
    <n v="0"/>
    <x v="0"/>
    <n v="0"/>
    <n v="0"/>
    <n v="30"/>
    <n v="55"/>
    <n v="0"/>
    <n v="331.77"/>
    <n v="124.36"/>
    <m/>
    <n v="390.73403238820225"/>
    <n v="127.65788581931002"/>
    <n v="0"/>
    <n v="366.27408000000003"/>
    <n v="137.29344"/>
    <n v="0"/>
    <n v="431.37037175657531"/>
    <n v="140.93430594451829"/>
  </r>
  <r>
    <s v="Regular"/>
    <x v="2"/>
    <x v="3"/>
    <x v="4"/>
    <x v="8"/>
    <x v="1"/>
    <x v="0"/>
    <x v="2"/>
    <x v="7"/>
    <n v="0"/>
    <n v="0"/>
    <n v="6.8460000000000001"/>
    <n v="6.8460000000000001"/>
    <n v="6.8460000000000001"/>
    <n v="6.8460000000000001"/>
    <n v="0"/>
    <x v="0"/>
    <n v="0"/>
    <n v="0"/>
    <n v="30"/>
    <n v="55"/>
    <n v="0"/>
    <n v="331.77"/>
    <n v="124.36"/>
    <m/>
    <n v="390.73403238820225"/>
    <n v="127.65788581931002"/>
    <n v="0"/>
    <n v="2271.2974199999999"/>
    <n v="851.36856"/>
    <n v="0"/>
    <n v="2674.9651857296326"/>
    <n v="873.94588631899649"/>
  </r>
  <r>
    <s v="Sistema de Compensação"/>
    <x v="2"/>
    <x v="3"/>
    <x v="4"/>
    <x v="8"/>
    <x v="1"/>
    <x v="0"/>
    <x v="2"/>
    <x v="7"/>
    <n v="0"/>
    <n v="0"/>
    <n v="1.19"/>
    <n v="1.19"/>
    <n v="1.19"/>
    <n v="1.19"/>
    <n v="0"/>
    <x v="0"/>
    <n v="0"/>
    <n v="0"/>
    <n v="30"/>
    <n v="55"/>
    <n v="0"/>
    <n v="331.77"/>
    <n v="124.36"/>
    <m/>
    <n v="390.73403238820225"/>
    <n v="127.65788581931002"/>
    <n v="0"/>
    <n v="394.80629999999996"/>
    <n v="147.98839999999998"/>
    <n v="0"/>
    <n v="464.97349854196068"/>
    <n v="151.91288412497892"/>
  </r>
  <r>
    <s v="Regular"/>
    <x v="2"/>
    <x v="3"/>
    <x v="4"/>
    <x v="8"/>
    <x v="1"/>
    <x v="0"/>
    <x v="2"/>
    <x v="8"/>
    <n v="0"/>
    <n v="0"/>
    <n v="5.0679999999999996"/>
    <n v="5.0679999999999996"/>
    <n v="5.0679999999999996"/>
    <n v="5.0679999999999996"/>
    <n v="0"/>
    <x v="0"/>
    <n v="0"/>
    <n v="0"/>
    <n v="30"/>
    <n v="55"/>
    <n v="0"/>
    <n v="331.77"/>
    <n v="124.36"/>
    <m/>
    <n v="390.73403238820225"/>
    <n v="127.65788581931002"/>
    <n v="0"/>
    <n v="1681.4103599999999"/>
    <n v="630.2564799999999"/>
    <n v="0"/>
    <n v="1980.2400761434089"/>
    <n v="646.97016533226315"/>
  </r>
  <r>
    <s v="Sistema de Compensação"/>
    <x v="2"/>
    <x v="3"/>
    <x v="4"/>
    <x v="8"/>
    <x v="1"/>
    <x v="0"/>
    <x v="2"/>
    <x v="8"/>
    <n v="0"/>
    <n v="0"/>
    <n v="0.1"/>
    <n v="0.1"/>
    <n v="0.1"/>
    <n v="0.1"/>
    <n v="0"/>
    <x v="0"/>
    <n v="0"/>
    <n v="0"/>
    <n v="30"/>
    <n v="55"/>
    <n v="0"/>
    <n v="331.77"/>
    <n v="124.36"/>
    <m/>
    <n v="390.73403238820225"/>
    <n v="127.65788581931002"/>
    <n v="0"/>
    <n v="33.177"/>
    <n v="12.436"/>
    <n v="0"/>
    <n v="39.073403238820227"/>
    <n v="12.765788581931004"/>
  </r>
  <r>
    <s v="Regular"/>
    <x v="2"/>
    <x v="3"/>
    <x v="4"/>
    <x v="8"/>
    <x v="1"/>
    <x v="0"/>
    <x v="2"/>
    <x v="9"/>
    <n v="0"/>
    <n v="0"/>
    <n v="5.0439999999999996"/>
    <n v="5.0439999999999996"/>
    <n v="5.0439999999999996"/>
    <n v="5.0439999999999996"/>
    <n v="0"/>
    <x v="0"/>
    <n v="0"/>
    <n v="0"/>
    <n v="30"/>
    <n v="55"/>
    <n v="0"/>
    <n v="331.77"/>
    <n v="124.36"/>
    <m/>
    <n v="390.73403238820225"/>
    <n v="127.65788581931002"/>
    <n v="0"/>
    <n v="1673.4478799999997"/>
    <n v="627.27184"/>
    <n v="0"/>
    <n v="1970.862459366092"/>
    <n v="643.90637607259976"/>
  </r>
  <r>
    <s v="Sistema de Compensação"/>
    <x v="2"/>
    <x v="3"/>
    <x v="4"/>
    <x v="8"/>
    <x v="1"/>
    <x v="0"/>
    <x v="2"/>
    <x v="9"/>
    <n v="0"/>
    <n v="0"/>
    <n v="0.2"/>
    <n v="0.2"/>
    <n v="0.2"/>
    <n v="0.2"/>
    <n v="0"/>
    <x v="0"/>
    <n v="0"/>
    <n v="0"/>
    <n v="30"/>
    <n v="55"/>
    <n v="0"/>
    <n v="331.77"/>
    <n v="124.36"/>
    <m/>
    <n v="390.73403238820225"/>
    <n v="127.65788581931002"/>
    <n v="0"/>
    <n v="66.353999999999999"/>
    <n v="24.872"/>
    <n v="0"/>
    <n v="78.146806477640453"/>
    <n v="25.531577163862007"/>
  </r>
  <r>
    <s v="Regular"/>
    <x v="2"/>
    <x v="3"/>
    <x v="4"/>
    <x v="8"/>
    <x v="1"/>
    <x v="0"/>
    <x v="2"/>
    <x v="10"/>
    <n v="0"/>
    <n v="0"/>
    <n v="3.3410000000000002"/>
    <n v="3.3410000000000002"/>
    <n v="3.3410000000000002"/>
    <n v="3.3410000000000002"/>
    <n v="0"/>
    <x v="0"/>
    <n v="0"/>
    <n v="0"/>
    <n v="30"/>
    <n v="55"/>
    <n v="0"/>
    <n v="331.77"/>
    <n v="124.36"/>
    <m/>
    <n v="390.73403238820225"/>
    <n v="127.65788581931002"/>
    <n v="0"/>
    <n v="1108.4435699999999"/>
    <n v="415.48676"/>
    <n v="0"/>
    <n v="1305.4424022089838"/>
    <n v="426.5049965223148"/>
  </r>
  <r>
    <s v="Sistema de Compensação"/>
    <x v="2"/>
    <x v="3"/>
    <x v="4"/>
    <x v="8"/>
    <x v="1"/>
    <x v="0"/>
    <x v="2"/>
    <x v="10"/>
    <n v="0"/>
    <n v="0"/>
    <n v="0.2"/>
    <n v="0.2"/>
    <n v="0.2"/>
    <n v="0.2"/>
    <n v="0"/>
    <x v="0"/>
    <n v="0"/>
    <n v="0"/>
    <n v="30"/>
    <n v="55"/>
    <n v="0"/>
    <n v="331.77"/>
    <n v="124.36"/>
    <m/>
    <n v="390.73403238820225"/>
    <n v="127.65788581931002"/>
    <n v="0"/>
    <n v="66.353999999999999"/>
    <n v="24.872"/>
    <n v="0"/>
    <n v="78.146806477640453"/>
    <n v="25.531577163862007"/>
  </r>
  <r>
    <s v="Regular"/>
    <x v="2"/>
    <x v="3"/>
    <x v="4"/>
    <x v="8"/>
    <x v="1"/>
    <x v="0"/>
    <x v="2"/>
    <x v="11"/>
    <n v="0"/>
    <n v="0"/>
    <n v="3.7090000000000001"/>
    <n v="3.7090000000000001"/>
    <n v="3.7090000000000001"/>
    <n v="3.7090000000000001"/>
    <n v="0"/>
    <x v="0"/>
    <n v="0"/>
    <n v="0"/>
    <n v="30"/>
    <n v="55"/>
    <n v="0"/>
    <n v="331.77"/>
    <n v="124.36"/>
    <m/>
    <n v="390.73403238820225"/>
    <n v="127.65788581931002"/>
    <n v="0"/>
    <n v="1230.53493"/>
    <n v="461.25124"/>
    <n v="0"/>
    <n v="1449.2325261278422"/>
    <n v="473.48309850382088"/>
  </r>
  <r>
    <s v="Sistema de Compensação"/>
    <x v="2"/>
    <x v="3"/>
    <x v="4"/>
    <x v="8"/>
    <x v="1"/>
    <x v="0"/>
    <x v="2"/>
    <x v="11"/>
    <n v="0"/>
    <n v="0"/>
    <n v="0.2"/>
    <n v="0.2"/>
    <n v="0.2"/>
    <n v="0.2"/>
    <n v="0"/>
    <x v="0"/>
    <n v="0"/>
    <n v="0"/>
    <n v="30"/>
    <n v="55"/>
    <n v="0"/>
    <n v="331.77"/>
    <n v="124.36"/>
    <m/>
    <n v="390.73403238820225"/>
    <n v="127.65788581931002"/>
    <n v="0"/>
    <n v="66.353999999999999"/>
    <n v="24.872"/>
    <n v="0"/>
    <n v="78.146806477640453"/>
    <n v="25.531577163862007"/>
  </r>
  <r>
    <s v="Regular"/>
    <x v="2"/>
    <x v="3"/>
    <x v="4"/>
    <x v="8"/>
    <x v="2"/>
    <x v="0"/>
    <x v="2"/>
    <x v="0"/>
    <n v="0"/>
    <n v="0"/>
    <n v="10.45"/>
    <n v="4.18"/>
    <n v="10.45"/>
    <n v="4.18"/>
    <n v="0"/>
    <x v="0"/>
    <n v="0"/>
    <n v="0"/>
    <n v="30"/>
    <n v="55"/>
    <n v="0"/>
    <n v="331.77"/>
    <n v="124.36"/>
    <m/>
    <n v="390.73403238820225"/>
    <n v="127.65788581931002"/>
    <n v="0"/>
    <n v="1386.7985999999999"/>
    <n v="519.82479999999998"/>
    <n v="0"/>
    <n v="1633.2682553826853"/>
    <n v="533.60996272471584"/>
  </r>
  <r>
    <s v="Sistema de Compensação"/>
    <x v="2"/>
    <x v="3"/>
    <x v="4"/>
    <x v="8"/>
    <x v="2"/>
    <x v="0"/>
    <x v="2"/>
    <x v="0"/>
    <n v="0"/>
    <n v="0"/>
    <n v="0.05"/>
    <n v="0.02"/>
    <n v="0.05"/>
    <n v="0.02"/>
    <n v="0"/>
    <x v="0"/>
    <n v="0"/>
    <n v="0"/>
    <n v="30"/>
    <n v="55"/>
    <n v="0"/>
    <n v="331.77"/>
    <n v="124.36"/>
    <m/>
    <n v="390.73403238820225"/>
    <n v="127.65788581931002"/>
    <n v="0"/>
    <n v="6.6353999999999997"/>
    <n v="2.4872000000000001"/>
    <n v="0"/>
    <n v="7.8146806477640451"/>
    <n v="2.5531577163862007"/>
  </r>
  <r>
    <s v="Regular"/>
    <x v="2"/>
    <x v="3"/>
    <x v="4"/>
    <x v="8"/>
    <x v="2"/>
    <x v="0"/>
    <x v="2"/>
    <x v="1"/>
    <n v="0"/>
    <n v="0"/>
    <n v="9.8000000000000007"/>
    <n v="3.92"/>
    <n v="9.8000000000000007"/>
    <n v="3.92"/>
    <n v="0"/>
    <x v="0"/>
    <n v="0"/>
    <n v="0"/>
    <n v="30"/>
    <n v="55"/>
    <n v="0"/>
    <n v="331.77"/>
    <n v="124.36"/>
    <m/>
    <n v="390.73403238820225"/>
    <n v="127.65788581931002"/>
    <n v="0"/>
    <n v="1300.5383999999999"/>
    <n v="487.49119999999999"/>
    <n v="0"/>
    <n v="1531.6774069617527"/>
    <n v="500.41891241169526"/>
  </r>
  <r>
    <s v="Sistema de Compensação"/>
    <x v="2"/>
    <x v="3"/>
    <x v="4"/>
    <x v="8"/>
    <x v="2"/>
    <x v="0"/>
    <x v="2"/>
    <x v="1"/>
    <n v="0"/>
    <n v="0"/>
    <n v="0.33200000000000002"/>
    <n v="0.1328"/>
    <n v="0.33200000000000002"/>
    <n v="0.1328"/>
    <n v="0"/>
    <x v="0"/>
    <n v="0"/>
    <n v="0"/>
    <n v="30"/>
    <n v="55"/>
    <n v="0"/>
    <n v="331.77"/>
    <n v="124.36"/>
    <m/>
    <n v="390.73403238820225"/>
    <n v="127.65788581931002"/>
    <n v="0"/>
    <n v="44.059055999999998"/>
    <n v="16.515008000000002"/>
    <n v="0"/>
    <n v="51.889479501153261"/>
    <n v="16.952967236804373"/>
  </r>
  <r>
    <s v="Regular"/>
    <x v="2"/>
    <x v="3"/>
    <x v="4"/>
    <x v="8"/>
    <x v="2"/>
    <x v="0"/>
    <x v="2"/>
    <x v="2"/>
    <n v="0"/>
    <n v="0"/>
    <n v="7.8129999999999997"/>
    <n v="3.1252"/>
    <n v="7.8129999999999997"/>
    <n v="3.1252"/>
    <n v="0"/>
    <x v="0"/>
    <n v="0"/>
    <n v="0"/>
    <n v="30"/>
    <n v="55"/>
    <n v="0"/>
    <n v="331.77"/>
    <n v="124.36"/>
    <m/>
    <n v="390.73403238820225"/>
    <n v="127.65788581931002"/>
    <n v="0"/>
    <n v="1036.847604"/>
    <n v="388.64987200000002"/>
    <n v="0"/>
    <n v="1221.1219980196097"/>
    <n v="398.95642476250771"/>
  </r>
  <r>
    <s v="Sistema de Compensação"/>
    <x v="2"/>
    <x v="3"/>
    <x v="4"/>
    <x v="8"/>
    <x v="2"/>
    <x v="0"/>
    <x v="2"/>
    <x v="2"/>
    <n v="0"/>
    <n v="0"/>
    <n v="4.7329999999999997"/>
    <n v="1.8932"/>
    <n v="4.7329999999999997"/>
    <n v="1.8932"/>
    <n v="0"/>
    <x v="0"/>
    <n v="0"/>
    <n v="0"/>
    <n v="30"/>
    <n v="55"/>
    <n v="0"/>
    <n v="331.77"/>
    <n v="124.36"/>
    <m/>
    <n v="390.73403238820225"/>
    <n v="127.65788581931002"/>
    <n v="0"/>
    <n v="628.10696399999995"/>
    <n v="235.43835200000001"/>
    <n v="0"/>
    <n v="739.73767011734446"/>
    <n v="241.68190943311774"/>
  </r>
  <r>
    <s v="Regular"/>
    <x v="2"/>
    <x v="3"/>
    <x v="4"/>
    <x v="8"/>
    <x v="2"/>
    <x v="0"/>
    <x v="2"/>
    <x v="3"/>
    <n v="0"/>
    <n v="0"/>
    <n v="7.7880000000000003"/>
    <n v="3.1152000000000002"/>
    <n v="7.7880000000000003"/>
    <n v="3.1152000000000002"/>
    <n v="0"/>
    <x v="0"/>
    <n v="0"/>
    <n v="0"/>
    <n v="30"/>
    <n v="55"/>
    <n v="0"/>
    <n v="331.77"/>
    <n v="124.36"/>
    <m/>
    <n v="390.73403238820225"/>
    <n v="127.65788581931002"/>
    <n v="0"/>
    <n v="1033.529904"/>
    <n v="387.406272"/>
    <n v="0"/>
    <n v="1217.2146576957277"/>
    <n v="397.67984590431462"/>
  </r>
  <r>
    <s v="Sistema de Compensação"/>
    <x v="2"/>
    <x v="3"/>
    <x v="4"/>
    <x v="8"/>
    <x v="2"/>
    <x v="0"/>
    <x v="2"/>
    <x v="3"/>
    <n v="0"/>
    <n v="0"/>
    <n v="4.2050000000000001"/>
    <n v="1.6819999999999999"/>
    <n v="4.2050000000000001"/>
    <n v="1.6819999999999999"/>
    <n v="0"/>
    <x v="0"/>
    <n v="0"/>
    <n v="0"/>
    <n v="30"/>
    <n v="55"/>
    <n v="0"/>
    <n v="331.77"/>
    <n v="124.36"/>
    <m/>
    <n v="390.73403238820225"/>
    <n v="127.65788581931002"/>
    <n v="0"/>
    <n v="558.03713999999991"/>
    <n v="209.17352"/>
    <n v="0"/>
    <n v="657.21464247695621"/>
    <n v="214.72056394807944"/>
  </r>
  <r>
    <s v="Regular"/>
    <x v="2"/>
    <x v="3"/>
    <x v="4"/>
    <x v="8"/>
    <x v="2"/>
    <x v="0"/>
    <x v="2"/>
    <x v="4"/>
    <n v="0"/>
    <n v="0"/>
    <n v="11.555"/>
    <n v="4.6219999999999999"/>
    <n v="11.555"/>
    <n v="4.6219999999999999"/>
    <n v="0"/>
    <x v="0"/>
    <n v="0"/>
    <n v="0"/>
    <n v="30"/>
    <n v="55"/>
    <n v="0"/>
    <n v="331.77"/>
    <n v="124.36"/>
    <m/>
    <n v="390.73403238820225"/>
    <n v="127.65788581931002"/>
    <n v="0"/>
    <n v="1533.44094"/>
    <n v="574.79192"/>
    <n v="0"/>
    <n v="1805.9726976982708"/>
    <n v="590.03474825685089"/>
  </r>
  <r>
    <s v="Sistema de Compensação"/>
    <x v="2"/>
    <x v="3"/>
    <x v="4"/>
    <x v="8"/>
    <x v="2"/>
    <x v="0"/>
    <x v="2"/>
    <x v="4"/>
    <n v="0"/>
    <n v="0"/>
    <n v="5.0960000000000001"/>
    <n v="2.0384000000000002"/>
    <n v="5.0960000000000001"/>
    <n v="2.0384000000000002"/>
    <n v="0"/>
    <x v="0"/>
    <n v="0"/>
    <n v="0"/>
    <n v="30"/>
    <n v="55"/>
    <n v="0"/>
    <n v="331.77"/>
    <n v="124.36"/>
    <m/>
    <n v="390.73403238820225"/>
    <n v="127.65788581931002"/>
    <n v="0"/>
    <n v="676.27996800000005"/>
    <n v="253.49542400000001"/>
    <n v="0"/>
    <n v="796.47225162011159"/>
    <n v="260.21783445408158"/>
  </r>
  <r>
    <s v="Regular"/>
    <x v="2"/>
    <x v="3"/>
    <x v="4"/>
    <x v="8"/>
    <x v="2"/>
    <x v="0"/>
    <x v="2"/>
    <x v="5"/>
    <n v="0"/>
    <n v="0"/>
    <n v="14.553000000000001"/>
    <n v="5.8212000000000002"/>
    <n v="14.553000000000001"/>
    <n v="5.8212000000000002"/>
    <n v="0"/>
    <x v="0"/>
    <n v="0"/>
    <n v="0"/>
    <n v="30"/>
    <n v="55"/>
    <n v="0"/>
    <n v="331.77"/>
    <n v="124.36"/>
    <m/>
    <n v="390.73403238820225"/>
    <n v="127.65788581931002"/>
    <n v="0"/>
    <n v="1931.299524"/>
    <n v="723.92443200000002"/>
    <n v="0"/>
    <n v="2274.5409493382031"/>
    <n v="743.12208493136757"/>
  </r>
  <r>
    <s v="Sistema de Compensação"/>
    <x v="2"/>
    <x v="3"/>
    <x v="4"/>
    <x v="8"/>
    <x v="2"/>
    <x v="0"/>
    <x v="2"/>
    <x v="5"/>
    <n v="0"/>
    <n v="0"/>
    <n v="3.141"/>
    <n v="1.2564"/>
    <n v="3.141"/>
    <n v="1.2564"/>
    <n v="0"/>
    <x v="0"/>
    <n v="0"/>
    <n v="0"/>
    <n v="30"/>
    <n v="55"/>
    <n v="0"/>
    <n v="331.77"/>
    <n v="124.36"/>
    <m/>
    <n v="390.73403238820225"/>
    <n v="127.65788581931002"/>
    <n v="0"/>
    <n v="416.83582799999999"/>
    <n v="156.245904"/>
    <n v="0"/>
    <n v="490.9182382925373"/>
    <n v="160.38936774338111"/>
  </r>
  <r>
    <s v="Regular"/>
    <x v="2"/>
    <x v="3"/>
    <x v="4"/>
    <x v="8"/>
    <x v="2"/>
    <x v="0"/>
    <x v="2"/>
    <x v="6"/>
    <n v="0"/>
    <n v="0"/>
    <n v="9.7349999999999994"/>
    <n v="3.8940000000000001"/>
    <n v="9.7349999999999994"/>
    <n v="3.8940000000000001"/>
    <n v="0"/>
    <x v="0"/>
    <n v="0"/>
    <n v="0"/>
    <n v="30"/>
    <n v="55"/>
    <n v="0"/>
    <n v="331.77"/>
    <n v="124.36"/>
    <m/>
    <n v="390.73403238820225"/>
    <n v="127.65788581931002"/>
    <n v="0"/>
    <n v="1291.91238"/>
    <n v="484.25783999999999"/>
    <n v="0"/>
    <n v="1521.5183221196596"/>
    <n v="497.09980738039326"/>
  </r>
  <r>
    <s v="Sistema de Compensação"/>
    <x v="2"/>
    <x v="3"/>
    <x v="4"/>
    <x v="8"/>
    <x v="2"/>
    <x v="0"/>
    <x v="2"/>
    <x v="6"/>
    <n v="0"/>
    <n v="0"/>
    <n v="5.3739999999999997"/>
    <n v="2.1496"/>
    <n v="5.3739999999999997"/>
    <n v="2.1496"/>
    <n v="0"/>
    <x v="0"/>
    <n v="0"/>
    <n v="0"/>
    <n v="30"/>
    <n v="55"/>
    <n v="0"/>
    <n v="331.77"/>
    <n v="124.36"/>
    <m/>
    <n v="390.73403238820225"/>
    <n v="127.65788581931002"/>
    <n v="0"/>
    <n v="713.17279199999996"/>
    <n v="267.32425599999999"/>
    <n v="0"/>
    <n v="839.92187602167951"/>
    <n v="274.4133913571888"/>
  </r>
  <r>
    <s v="Regular"/>
    <x v="2"/>
    <x v="3"/>
    <x v="4"/>
    <x v="8"/>
    <x v="2"/>
    <x v="0"/>
    <x v="2"/>
    <x v="7"/>
    <n v="0"/>
    <n v="0"/>
    <n v="8.1129999999999995"/>
    <n v="3.2452000000000001"/>
    <n v="8.1129999999999995"/>
    <n v="3.2452000000000001"/>
    <n v="0"/>
    <x v="0"/>
    <n v="0"/>
    <n v="0"/>
    <n v="30"/>
    <n v="55"/>
    <n v="0"/>
    <n v="331.77"/>
    <n v="124.36"/>
    <m/>
    <n v="390.73403238820225"/>
    <n v="127.65788581931002"/>
    <n v="0"/>
    <n v="1076.6600040000001"/>
    <n v="403.57307200000002"/>
    <n v="0"/>
    <n v="1268.010081906194"/>
    <n v="414.27537106082491"/>
  </r>
  <r>
    <s v="Sistema de Compensação"/>
    <x v="2"/>
    <x v="3"/>
    <x v="4"/>
    <x v="8"/>
    <x v="2"/>
    <x v="0"/>
    <x v="2"/>
    <x v="7"/>
    <n v="0"/>
    <n v="0"/>
    <n v="4.2119999999999997"/>
    <n v="1.6848000000000001"/>
    <n v="4.2119999999999997"/>
    <n v="1.6848000000000001"/>
    <n v="0"/>
    <x v="0"/>
    <n v="0"/>
    <n v="0"/>
    <n v="30"/>
    <n v="55"/>
    <n v="0"/>
    <n v="331.77"/>
    <n v="124.36"/>
    <m/>
    <n v="390.73403238820225"/>
    <n v="127.65788581931002"/>
    <n v="0"/>
    <n v="558.96609599999999"/>
    <n v="209.521728"/>
    <n v="0"/>
    <n v="658.30869776764314"/>
    <n v="215.07800602837355"/>
  </r>
  <r>
    <s v="Regular"/>
    <x v="2"/>
    <x v="3"/>
    <x v="4"/>
    <x v="8"/>
    <x v="2"/>
    <x v="0"/>
    <x v="2"/>
    <x v="8"/>
    <n v="0"/>
    <n v="0"/>
    <n v="5.1079999999999997"/>
    <n v="2.0432000000000001"/>
    <n v="5.1079999999999997"/>
    <n v="2.0432000000000001"/>
    <n v="0"/>
    <x v="0"/>
    <n v="0"/>
    <n v="0"/>
    <n v="30"/>
    <n v="55"/>
    <n v="0"/>
    <n v="331.77"/>
    <n v="124.36"/>
    <m/>
    <n v="390.73403238820225"/>
    <n v="127.65788581931002"/>
    <n v="0"/>
    <n v="677.87246400000004"/>
    <n v="254.09235200000001"/>
    <n v="0"/>
    <n v="798.34777497557491"/>
    <n v="260.83059230601424"/>
  </r>
  <r>
    <s v="Sistema de Compensação"/>
    <x v="2"/>
    <x v="3"/>
    <x v="4"/>
    <x v="8"/>
    <x v="2"/>
    <x v="0"/>
    <x v="2"/>
    <x v="8"/>
    <n v="0"/>
    <n v="0"/>
    <n v="1.173"/>
    <n v="0.46920000000000001"/>
    <n v="1.173"/>
    <n v="0.46920000000000001"/>
    <n v="0"/>
    <x v="0"/>
    <n v="0"/>
    <n v="0"/>
    <n v="30"/>
    <n v="55"/>
    <n v="0"/>
    <n v="331.77"/>
    <n v="124.36"/>
    <m/>
    <n v="390.73403238820225"/>
    <n v="127.65788581931002"/>
    <n v="0"/>
    <n v="155.666484"/>
    <n v="58.349712000000004"/>
    <n v="0"/>
    <n v="183.3324079965445"/>
    <n v="59.897080026420262"/>
  </r>
  <r>
    <s v="Regular"/>
    <x v="2"/>
    <x v="3"/>
    <x v="4"/>
    <x v="8"/>
    <x v="2"/>
    <x v="0"/>
    <x v="2"/>
    <x v="9"/>
    <n v="0"/>
    <n v="0"/>
    <n v="5.6449999999999996"/>
    <n v="2.258"/>
    <n v="5.6449999999999996"/>
    <n v="2.258"/>
    <n v="0"/>
    <x v="0"/>
    <n v="0"/>
    <n v="0"/>
    <n v="30"/>
    <n v="55"/>
    <n v="0"/>
    <n v="331.77"/>
    <n v="124.36"/>
    <m/>
    <n v="390.73403238820225"/>
    <n v="127.65788581931002"/>
    <n v="0"/>
    <n v="749.13666000000001"/>
    <n v="280.80488000000003"/>
    <n v="0"/>
    <n v="882.27744513256073"/>
    <n v="288.25150618000202"/>
  </r>
  <r>
    <s v="Regular"/>
    <x v="2"/>
    <x v="3"/>
    <x v="4"/>
    <x v="8"/>
    <x v="2"/>
    <x v="0"/>
    <x v="2"/>
    <x v="10"/>
    <n v="0"/>
    <n v="0"/>
    <n v="4.4489999999999998"/>
    <n v="1.7796000000000001"/>
    <n v="4.4489999999999998"/>
    <n v="1.7796000000000001"/>
    <n v="0"/>
    <x v="0"/>
    <n v="0"/>
    <n v="0"/>
    <n v="30"/>
    <n v="55"/>
    <n v="0"/>
    <n v="331.77"/>
    <n v="124.36"/>
    <m/>
    <n v="390.73403238820225"/>
    <n v="127.65788581931002"/>
    <n v="0"/>
    <n v="590.41789199999994"/>
    <n v="221.31105600000001"/>
    <n v="0"/>
    <n v="695.35028403804472"/>
    <n v="227.17997360404414"/>
  </r>
  <r>
    <s v="Regular"/>
    <x v="2"/>
    <x v="3"/>
    <x v="4"/>
    <x v="8"/>
    <x v="2"/>
    <x v="0"/>
    <x v="2"/>
    <x v="11"/>
    <n v="0"/>
    <n v="0"/>
    <n v="5.0010000000000003"/>
    <n v="2.0004"/>
    <n v="5.0010000000000003"/>
    <n v="2.0004"/>
    <n v="0"/>
    <x v="0"/>
    <n v="0"/>
    <n v="0"/>
    <n v="30"/>
    <n v="55"/>
    <n v="0"/>
    <n v="331.77"/>
    <n v="124.36"/>
    <m/>
    <n v="390.73403238820225"/>
    <n v="127.65788581931002"/>
    <n v="0"/>
    <n v="663.67270799999994"/>
    <n v="248.769744"/>
    <n v="0"/>
    <n v="781.62435838935971"/>
    <n v="255.36683479294777"/>
  </r>
  <r>
    <s v="Regular"/>
    <x v="2"/>
    <x v="3"/>
    <x v="4"/>
    <x v="1"/>
    <x v="0"/>
    <x v="0"/>
    <x v="2"/>
    <x v="0"/>
    <n v="0"/>
    <n v="0"/>
    <n v="3318.7579999999998"/>
    <n v="3318.7579999999998"/>
    <n v="3318.7579999999998"/>
    <n v="3318.7579999999998"/>
    <n v="6547"/>
    <x v="0"/>
    <n v="0"/>
    <n v="0"/>
    <n v="30"/>
    <n v="55"/>
    <n v="0"/>
    <n v="331.77"/>
    <n v="124.36"/>
    <m/>
    <n v="390.73403238820225"/>
    <n v="127.65788581931002"/>
    <n v="0"/>
    <n v="1101064.3416599999"/>
    <n v="412720.74487999995"/>
    <n v="0"/>
    <n v="1296751.6958606052"/>
    <n v="423665.62982592167"/>
  </r>
  <r>
    <s v="Refaturamento - Regular"/>
    <x v="2"/>
    <x v="3"/>
    <x v="4"/>
    <x v="1"/>
    <x v="0"/>
    <x v="0"/>
    <x v="2"/>
    <x v="0"/>
    <n v="0"/>
    <n v="0"/>
    <n v="-2.5430000000000001"/>
    <n v="-2.5430000000000001"/>
    <n v="-2.5430000000000001"/>
    <n v="-2.5430000000000001"/>
    <n v="0"/>
    <x v="0"/>
    <n v="0"/>
    <n v="0"/>
    <n v="30"/>
    <n v="55"/>
    <n v="0"/>
    <n v="331.77"/>
    <n v="124.36"/>
    <m/>
    <n v="390.73403238820225"/>
    <n v="127.65788581931002"/>
    <n v="0"/>
    <n v="-843.69110999999998"/>
    <n v="-316.24748"/>
    <n v="0"/>
    <n v="-993.63664436319834"/>
    <n v="-324.63400363850542"/>
  </r>
  <r>
    <s v="Sistema de Compensação"/>
    <x v="2"/>
    <x v="3"/>
    <x v="4"/>
    <x v="1"/>
    <x v="0"/>
    <x v="0"/>
    <x v="2"/>
    <x v="0"/>
    <n v="0"/>
    <n v="0"/>
    <n v="225.55"/>
    <n v="225.55"/>
    <n v="225.55"/>
    <n v="225.55"/>
    <n v="405"/>
    <x v="0"/>
    <n v="0"/>
    <n v="0"/>
    <n v="30"/>
    <n v="55"/>
    <n v="0"/>
    <n v="331.77"/>
    <n v="124.36"/>
    <m/>
    <n v="390.73403238820225"/>
    <n v="127.65788581931002"/>
    <n v="0"/>
    <n v="74830.723499999993"/>
    <n v="28049.398000000001"/>
    <n v="0"/>
    <n v="88130.061005159019"/>
    <n v="28793.236146545376"/>
  </r>
  <r>
    <s v="Regular"/>
    <x v="2"/>
    <x v="3"/>
    <x v="4"/>
    <x v="1"/>
    <x v="0"/>
    <x v="0"/>
    <x v="2"/>
    <x v="1"/>
    <n v="0"/>
    <n v="0"/>
    <n v="3208.328"/>
    <n v="3208.328"/>
    <n v="3208.328"/>
    <n v="3208.328"/>
    <n v="6542"/>
    <x v="0"/>
    <n v="0"/>
    <n v="0"/>
    <n v="30"/>
    <n v="55"/>
    <n v="0"/>
    <n v="331.77"/>
    <n v="124.36"/>
    <m/>
    <n v="390.73403238820225"/>
    <n v="127.65788581931002"/>
    <n v="0"/>
    <n v="1064426.9805599998"/>
    <n v="398987.67008000001"/>
    <n v="0"/>
    <n v="1253602.9366639762"/>
    <n v="409568.36949489528"/>
  </r>
  <r>
    <s v="Refaturamento - Regular"/>
    <x v="2"/>
    <x v="3"/>
    <x v="4"/>
    <x v="1"/>
    <x v="0"/>
    <x v="0"/>
    <x v="2"/>
    <x v="1"/>
    <n v="0"/>
    <n v="0"/>
    <n v="-0.76600000000000001"/>
    <n v="-0.76600000000000001"/>
    <n v="-0.76600000000000001"/>
    <n v="-0.76600000000000001"/>
    <n v="0"/>
    <x v="0"/>
    <n v="0"/>
    <n v="0"/>
    <n v="30"/>
    <n v="55"/>
    <n v="0"/>
    <n v="331.77"/>
    <n v="124.36"/>
    <m/>
    <n v="390.73403238820225"/>
    <n v="127.65788581931002"/>
    <n v="0"/>
    <n v="-254.13582"/>
    <n v="-95.25976"/>
    <n v="0"/>
    <n v="-299.30226880936294"/>
    <n v="-97.785940537591486"/>
  </r>
  <r>
    <s v="Sistema de Compensação"/>
    <x v="2"/>
    <x v="3"/>
    <x v="4"/>
    <x v="1"/>
    <x v="0"/>
    <x v="0"/>
    <x v="2"/>
    <x v="1"/>
    <n v="0"/>
    <n v="0"/>
    <n v="225.51300000000001"/>
    <n v="225.51300000000001"/>
    <n v="225.51300000000001"/>
    <n v="225.51300000000001"/>
    <n v="413"/>
    <x v="0"/>
    <n v="0"/>
    <n v="0"/>
    <n v="30"/>
    <n v="55"/>
    <n v="0"/>
    <n v="331.77"/>
    <n v="124.36"/>
    <m/>
    <n v="390.73403238820225"/>
    <n v="127.65788581931002"/>
    <n v="0"/>
    <n v="74818.448009999993"/>
    <n v="28044.796679999999"/>
    <n v="0"/>
    <n v="88115.60384596065"/>
    <n v="28788.512804770064"/>
  </r>
  <r>
    <s v="Regular"/>
    <x v="2"/>
    <x v="3"/>
    <x v="4"/>
    <x v="1"/>
    <x v="0"/>
    <x v="0"/>
    <x v="2"/>
    <x v="2"/>
    <n v="0"/>
    <n v="0"/>
    <n v="3277.9079999999999"/>
    <n v="3277.9079999999999"/>
    <n v="3277.9079999999999"/>
    <n v="3277.9079999999999"/>
    <n v="6488"/>
    <x v="0"/>
    <n v="0"/>
    <n v="0"/>
    <n v="30"/>
    <n v="55"/>
    <n v="0"/>
    <n v="331.77"/>
    <n v="124.36"/>
    <m/>
    <n v="390.73403238820225"/>
    <n v="127.65788581931002"/>
    <n v="0"/>
    <n v="1087511.5371599998"/>
    <n v="407640.63887999998"/>
    <n v="0"/>
    <n v="1280790.2106375473"/>
    <n v="418450.8051902029"/>
  </r>
  <r>
    <s v="Refaturamento - Regular"/>
    <x v="2"/>
    <x v="3"/>
    <x v="4"/>
    <x v="1"/>
    <x v="0"/>
    <x v="0"/>
    <x v="2"/>
    <x v="2"/>
    <n v="0"/>
    <n v="0"/>
    <n v="9.4220000000000006"/>
    <n v="9.4220000000000006"/>
    <n v="9.4220000000000006"/>
    <n v="9.4220000000000006"/>
    <n v="0"/>
    <x v="0"/>
    <n v="0"/>
    <n v="0"/>
    <n v="30"/>
    <n v="55"/>
    <n v="0"/>
    <n v="331.77"/>
    <n v="124.36"/>
    <m/>
    <n v="390.73403238820225"/>
    <n v="127.65788581931002"/>
    <n v="0"/>
    <n v="3125.93694"/>
    <n v="1171.71992"/>
    <n v="0"/>
    <n v="3681.4960531616421"/>
    <n v="1202.7926001895391"/>
  </r>
  <r>
    <s v="Sistema de Compensação"/>
    <x v="2"/>
    <x v="3"/>
    <x v="4"/>
    <x v="1"/>
    <x v="0"/>
    <x v="0"/>
    <x v="2"/>
    <x v="2"/>
    <n v="0"/>
    <n v="0"/>
    <n v="182.71199999999999"/>
    <n v="182.71199999999999"/>
    <n v="182.71199999999999"/>
    <n v="182.71199999999999"/>
    <n v="464"/>
    <x v="0"/>
    <n v="0"/>
    <n v="0"/>
    <n v="30"/>
    <n v="55"/>
    <n v="0"/>
    <n v="331.77"/>
    <n v="124.36"/>
    <m/>
    <n v="390.73403238820225"/>
    <n v="127.65788581931002"/>
    <n v="0"/>
    <n v="60618.360239999995"/>
    <n v="22722.064319999998"/>
    <n v="0"/>
    <n v="71391.796525713202"/>
    <n v="23324.62763381777"/>
  </r>
  <r>
    <s v="Regular"/>
    <x v="2"/>
    <x v="3"/>
    <x v="4"/>
    <x v="1"/>
    <x v="0"/>
    <x v="0"/>
    <x v="2"/>
    <x v="3"/>
    <n v="0"/>
    <n v="0"/>
    <n v="3180.2330000000002"/>
    <n v="3180.2330000000002"/>
    <n v="3180.2330000000002"/>
    <n v="3180.2330000000002"/>
    <n v="5569"/>
    <x v="0"/>
    <n v="0"/>
    <n v="0"/>
    <n v="30"/>
    <n v="55"/>
    <n v="0"/>
    <n v="331.77"/>
    <n v="124.36"/>
    <m/>
    <n v="390.73403238820225"/>
    <n v="127.65788581931002"/>
    <n v="0"/>
    <n v="1055105.9024100001"/>
    <n v="395493.77588000003"/>
    <n v="0"/>
    <n v="1242625.2640240297"/>
    <n v="405981.82119280181"/>
  </r>
  <r>
    <s v="Refaturamento - Regular"/>
    <x v="2"/>
    <x v="3"/>
    <x v="4"/>
    <x v="1"/>
    <x v="0"/>
    <x v="0"/>
    <x v="2"/>
    <x v="3"/>
    <n v="0"/>
    <n v="0"/>
    <n v="-0.621"/>
    <n v="-0.621"/>
    <n v="-0.621"/>
    <n v="-0.621"/>
    <n v="0"/>
    <x v="0"/>
    <n v="0"/>
    <n v="0"/>
    <n v="30"/>
    <n v="55"/>
    <n v="0"/>
    <n v="331.77"/>
    <n v="124.36"/>
    <m/>
    <n v="390.73403238820225"/>
    <n v="127.65788581931002"/>
    <n v="0"/>
    <n v="-206.02916999999999"/>
    <n v="-77.227559999999997"/>
    <n v="0"/>
    <n v="-242.64583411307359"/>
    <n v="-79.275547093791531"/>
  </r>
  <r>
    <s v="Sistema de Compensação"/>
    <x v="2"/>
    <x v="3"/>
    <x v="4"/>
    <x v="1"/>
    <x v="0"/>
    <x v="0"/>
    <x v="2"/>
    <x v="3"/>
    <n v="0"/>
    <n v="0"/>
    <n v="181.08600000000001"/>
    <n v="181.08600000000001"/>
    <n v="181.08600000000001"/>
    <n v="181.08600000000001"/>
    <n v="492"/>
    <x v="0"/>
    <n v="0"/>
    <n v="0"/>
    <n v="30"/>
    <n v="55"/>
    <n v="0"/>
    <n v="331.77"/>
    <n v="124.36"/>
    <m/>
    <n v="390.73403238820225"/>
    <n v="127.65788581931002"/>
    <n v="0"/>
    <n v="60078.902220000004"/>
    <n v="22519.854960000001"/>
    <n v="0"/>
    <n v="70756.462989049993"/>
    <n v="23117.055911475578"/>
  </r>
  <r>
    <s v="Sistema de Compensação"/>
    <x v="2"/>
    <x v="3"/>
    <x v="4"/>
    <x v="1"/>
    <x v="0"/>
    <x v="0"/>
    <x v="2"/>
    <x v="3"/>
    <n v="0"/>
    <n v="0"/>
    <n v="-9.7929999999999993"/>
    <n v="-9.7929999999999993"/>
    <n v="-9.7929999999999993"/>
    <n v="-9.7929999999999993"/>
    <n v="6"/>
    <x v="0"/>
    <n v="0"/>
    <n v="0"/>
    <n v="30"/>
    <n v="55"/>
    <n v="0"/>
    <n v="331.77"/>
    <n v="124.36"/>
    <m/>
    <n v="390.73403238820225"/>
    <n v="127.65788581931002"/>
    <n v="0"/>
    <n v="-3249.0236099999997"/>
    <n v="-1217.8574799999999"/>
    <n v="0"/>
    <n v="-3826.4583791776645"/>
    <n v="-1250.1536758285031"/>
  </r>
  <r>
    <s v="Regular"/>
    <x v="2"/>
    <x v="3"/>
    <x v="4"/>
    <x v="1"/>
    <x v="0"/>
    <x v="0"/>
    <x v="2"/>
    <x v="4"/>
    <n v="0"/>
    <n v="0"/>
    <n v="3726.4209999999998"/>
    <n v="3726.4209999999998"/>
    <n v="3726.4209999999998"/>
    <n v="3726.4209999999998"/>
    <n v="5588"/>
    <x v="0"/>
    <n v="0"/>
    <n v="0"/>
    <n v="30"/>
    <n v="55"/>
    <n v="0"/>
    <n v="331.77"/>
    <n v="124.36"/>
    <m/>
    <n v="390.73403238820225"/>
    <n v="127.65788581931002"/>
    <n v="0"/>
    <n v="1236314.69517"/>
    <n v="463417.71555999998"/>
    <n v="0"/>
    <n v="1456039.5037060769"/>
    <n v="475707.02653267904"/>
  </r>
  <r>
    <s v="Refaturamento - Regular"/>
    <x v="2"/>
    <x v="3"/>
    <x v="4"/>
    <x v="1"/>
    <x v="0"/>
    <x v="0"/>
    <x v="2"/>
    <x v="4"/>
    <n v="0"/>
    <n v="0"/>
    <n v="-1.607"/>
    <n v="-1.607"/>
    <n v="-1.607"/>
    <n v="-1.607"/>
    <n v="0"/>
    <x v="0"/>
    <n v="0"/>
    <n v="0"/>
    <n v="30"/>
    <n v="55"/>
    <n v="0"/>
    <n v="331.77"/>
    <n v="124.36"/>
    <m/>
    <n v="390.73403238820225"/>
    <n v="127.65788581931002"/>
    <n v="0"/>
    <n v="-533.15438999999992"/>
    <n v="-199.84652"/>
    <n v="0"/>
    <n v="-627.90959004784099"/>
    <n v="-205.14622251163121"/>
  </r>
  <r>
    <s v="Sistema de Compensação"/>
    <x v="2"/>
    <x v="3"/>
    <x v="4"/>
    <x v="1"/>
    <x v="0"/>
    <x v="0"/>
    <x v="2"/>
    <x v="4"/>
    <n v="0"/>
    <n v="0"/>
    <n v="362.125"/>
    <n v="362.125"/>
    <n v="362.125"/>
    <n v="362.125"/>
    <n v="525"/>
    <x v="0"/>
    <n v="0"/>
    <n v="0"/>
    <n v="30"/>
    <n v="55"/>
    <n v="0"/>
    <n v="331.77"/>
    <n v="124.36"/>
    <m/>
    <n v="390.73403238820225"/>
    <n v="127.65788581931002"/>
    <n v="0"/>
    <n v="120142.21124999999"/>
    <n v="45033.864999999998"/>
    <n v="0"/>
    <n v="141494.56147857773"/>
    <n v="46228.111902317643"/>
  </r>
  <r>
    <s v="Regular"/>
    <x v="2"/>
    <x v="3"/>
    <x v="4"/>
    <x v="1"/>
    <x v="0"/>
    <x v="0"/>
    <x v="2"/>
    <x v="5"/>
    <n v="0"/>
    <n v="0"/>
    <n v="3680.212"/>
    <n v="3680.212"/>
    <n v="3680.212"/>
    <n v="3680.212"/>
    <n v="5613"/>
    <x v="0"/>
    <n v="0"/>
    <n v="0"/>
    <n v="30"/>
    <n v="55"/>
    <n v="0"/>
    <n v="331.77"/>
    <n v="124.36"/>
    <m/>
    <n v="390.73403238820225"/>
    <n v="127.65788581931002"/>
    <n v="0"/>
    <n v="1220983.93524"/>
    <n v="457671.16431999998"/>
    <n v="0"/>
    <n v="1437984.0748034506"/>
    <n v="469808.08328685455"/>
  </r>
  <r>
    <s v="Refaturamento - Regular"/>
    <x v="2"/>
    <x v="3"/>
    <x v="4"/>
    <x v="1"/>
    <x v="0"/>
    <x v="0"/>
    <x v="2"/>
    <x v="5"/>
    <n v="0"/>
    <n v="0"/>
    <n v="0.75800000000000001"/>
    <n v="0.75800000000000001"/>
    <n v="0.75800000000000001"/>
    <n v="0.75800000000000001"/>
    <n v="0"/>
    <x v="0"/>
    <n v="0"/>
    <n v="0"/>
    <n v="30"/>
    <n v="55"/>
    <n v="0"/>
    <n v="331.77"/>
    <n v="124.36"/>
    <m/>
    <n v="390.73403238820225"/>
    <n v="127.65788581931002"/>
    <n v="0"/>
    <n v="251.48165999999998"/>
    <n v="94.264880000000005"/>
    <n v="0"/>
    <n v="296.17639655025732"/>
    <n v="96.764677451037002"/>
  </r>
  <r>
    <s v="Sistema de Compensação"/>
    <x v="2"/>
    <x v="3"/>
    <x v="4"/>
    <x v="1"/>
    <x v="0"/>
    <x v="0"/>
    <x v="2"/>
    <x v="5"/>
    <n v="0"/>
    <n v="0"/>
    <n v="311.85500000000002"/>
    <n v="311.85500000000002"/>
    <n v="311.85500000000002"/>
    <n v="311.85500000000002"/>
    <n v="542"/>
    <x v="0"/>
    <n v="0"/>
    <n v="0"/>
    <n v="30"/>
    <n v="55"/>
    <n v="0"/>
    <n v="331.77"/>
    <n v="124.36"/>
    <m/>
    <n v="390.73403238820225"/>
    <n v="127.65788581931002"/>
    <n v="0"/>
    <n v="103464.13335"/>
    <n v="38782.287800000006"/>
    <n v="0"/>
    <n v="121852.36167042282"/>
    <n v="39810.749982180932"/>
  </r>
  <r>
    <s v="Sistema de Compensação"/>
    <x v="2"/>
    <x v="3"/>
    <x v="4"/>
    <x v="1"/>
    <x v="0"/>
    <x v="0"/>
    <x v="2"/>
    <x v="5"/>
    <n v="0"/>
    <n v="0"/>
    <n v="-7.0259999999999998"/>
    <n v="-7.0259999999999998"/>
    <n v="-7.0259999999999998"/>
    <n v="-7.0259999999999998"/>
    <n v="5"/>
    <x v="0"/>
    <n v="0"/>
    <n v="0"/>
    <n v="30"/>
    <n v="55"/>
    <n v="0"/>
    <n v="331.77"/>
    <n v="124.36"/>
    <m/>
    <n v="390.73403238820225"/>
    <n v="127.65788581931002"/>
    <n v="0"/>
    <n v="-2331.01602"/>
    <n v="-873.75335999999993"/>
    <n v="0"/>
    <n v="-2745.2973115595091"/>
    <n v="-896.92430576647223"/>
  </r>
  <r>
    <s v="Regular"/>
    <x v="2"/>
    <x v="3"/>
    <x v="4"/>
    <x v="1"/>
    <x v="0"/>
    <x v="0"/>
    <x v="2"/>
    <x v="6"/>
    <n v="0"/>
    <n v="0"/>
    <n v="3204.8240000000001"/>
    <n v="3204.8240000000001"/>
    <n v="3204.8240000000001"/>
    <n v="3204.8240000000001"/>
    <n v="5590"/>
    <x v="0"/>
    <n v="0"/>
    <n v="0"/>
    <n v="30"/>
    <n v="55"/>
    <n v="0"/>
    <n v="331.77"/>
    <n v="124.36"/>
    <m/>
    <n v="390.73403238820225"/>
    <n v="127.65788581931002"/>
    <n v="0"/>
    <n v="1063264.45848"/>
    <n v="398551.91264"/>
    <n v="0"/>
    <n v="1252233.804614488"/>
    <n v="409121.05626298446"/>
  </r>
  <r>
    <s v="Refaturamento - Regular"/>
    <x v="2"/>
    <x v="3"/>
    <x v="4"/>
    <x v="1"/>
    <x v="0"/>
    <x v="0"/>
    <x v="2"/>
    <x v="6"/>
    <n v="0"/>
    <n v="0"/>
    <n v="-7.67"/>
    <n v="-7.67"/>
    <n v="-7.67"/>
    <n v="-7.67"/>
    <n v="0"/>
    <x v="0"/>
    <n v="0"/>
    <n v="0"/>
    <n v="30"/>
    <n v="55"/>
    <n v="0"/>
    <n v="331.77"/>
    <n v="124.36"/>
    <m/>
    <n v="390.73403238820225"/>
    <n v="127.65788581931002"/>
    <n v="0"/>
    <n v="-2544.6758999999997"/>
    <n v="-953.84119999999996"/>
    <n v="0"/>
    <n v="-2996.930028417511"/>
    <n v="-979.13598423410792"/>
  </r>
  <r>
    <s v="Sistema de Compensação"/>
    <x v="2"/>
    <x v="3"/>
    <x v="4"/>
    <x v="1"/>
    <x v="0"/>
    <x v="0"/>
    <x v="2"/>
    <x v="6"/>
    <n v="0"/>
    <n v="0"/>
    <n v="316.67200000000003"/>
    <n v="316.67200000000003"/>
    <n v="316.67200000000003"/>
    <n v="316.67200000000003"/>
    <n v="583"/>
    <x v="0"/>
    <n v="0"/>
    <n v="0"/>
    <n v="30"/>
    <n v="55"/>
    <n v="0"/>
    <n v="331.77"/>
    <n v="124.36"/>
    <m/>
    <n v="390.73403238820225"/>
    <n v="127.65788581931002"/>
    <n v="0"/>
    <n v="105062.26944"/>
    <n v="39381.329920000004"/>
    <n v="0"/>
    <n v="123734.52750443679"/>
    <n v="40425.678018172548"/>
  </r>
  <r>
    <s v="Regular"/>
    <x v="2"/>
    <x v="3"/>
    <x v="4"/>
    <x v="1"/>
    <x v="0"/>
    <x v="0"/>
    <x v="2"/>
    <x v="7"/>
    <n v="0"/>
    <n v="0"/>
    <n v="2843.1210000000001"/>
    <n v="2843.1210000000001"/>
    <n v="2843.1210000000001"/>
    <n v="2843.1210000000001"/>
    <n v="5557"/>
    <x v="0"/>
    <n v="0"/>
    <n v="0"/>
    <n v="30"/>
    <n v="55"/>
    <n v="0"/>
    <n v="331.77"/>
    <n v="124.36"/>
    <m/>
    <n v="390.73403238820225"/>
    <n v="127.65788581931002"/>
    <n v="0"/>
    <n v="943262.25416999997"/>
    <n v="353570.52756000002"/>
    <n v="0"/>
    <n v="1110904.1328975779"/>
    <n v="362946.81598848256"/>
  </r>
  <r>
    <s v="Refaturamento - Regular"/>
    <x v="2"/>
    <x v="3"/>
    <x v="4"/>
    <x v="1"/>
    <x v="0"/>
    <x v="0"/>
    <x v="2"/>
    <x v="7"/>
    <n v="0"/>
    <n v="0"/>
    <n v="-0.64100000000000001"/>
    <n v="-0.64100000000000001"/>
    <n v="-0.64100000000000001"/>
    <n v="-0.64100000000000001"/>
    <n v="0"/>
    <x v="0"/>
    <n v="0"/>
    <n v="0"/>
    <n v="30"/>
    <n v="55"/>
    <n v="0"/>
    <n v="331.77"/>
    <n v="124.36"/>
    <m/>
    <n v="390.73403238820225"/>
    <n v="127.65788581931002"/>
    <n v="0"/>
    <n v="-212.66457"/>
    <n v="-79.714759999999998"/>
    <n v="0"/>
    <n v="-250.46051476083764"/>
    <n v="-81.828704810177726"/>
  </r>
  <r>
    <s v="Sistema de Compensação"/>
    <x v="2"/>
    <x v="3"/>
    <x v="4"/>
    <x v="1"/>
    <x v="0"/>
    <x v="0"/>
    <x v="2"/>
    <x v="7"/>
    <n v="0"/>
    <n v="0"/>
    <n v="291.96100000000001"/>
    <n v="291.96100000000001"/>
    <n v="291.96100000000001"/>
    <n v="291.96100000000001"/>
    <n v="607"/>
    <x v="0"/>
    <n v="0"/>
    <n v="0"/>
    <n v="30"/>
    <n v="55"/>
    <n v="0"/>
    <n v="331.77"/>
    <n v="124.36"/>
    <m/>
    <n v="390.73403238820225"/>
    <n v="127.65788581931002"/>
    <n v="0"/>
    <n v="96863.900970000002"/>
    <n v="36308.269959999998"/>
    <n v="0"/>
    <n v="114079.09883009193"/>
    <n v="37271.124001691576"/>
  </r>
  <r>
    <s v="Sistema de Compensação"/>
    <x v="2"/>
    <x v="3"/>
    <x v="4"/>
    <x v="1"/>
    <x v="0"/>
    <x v="0"/>
    <x v="2"/>
    <x v="7"/>
    <n v="0"/>
    <n v="0"/>
    <n v="-4.2"/>
    <n v="-4.2"/>
    <n v="-4.2"/>
    <n v="-4.2"/>
    <n v="2"/>
    <x v="0"/>
    <n v="0"/>
    <n v="0"/>
    <n v="30"/>
    <n v="55"/>
    <n v="0"/>
    <n v="331.77"/>
    <n v="124.36"/>
    <m/>
    <n v="390.73403238820225"/>
    <n v="127.65788581931002"/>
    <n v="0"/>
    <n v="-1393.434"/>
    <n v="-522.31200000000001"/>
    <n v="0"/>
    <n v="-1641.0829360304494"/>
    <n v="-536.16312044110214"/>
  </r>
  <r>
    <s v="Regular"/>
    <x v="2"/>
    <x v="3"/>
    <x v="4"/>
    <x v="1"/>
    <x v="0"/>
    <x v="0"/>
    <x v="2"/>
    <x v="8"/>
    <n v="0"/>
    <n v="0"/>
    <n v="2531.2399999999998"/>
    <n v="2531.2399999999998"/>
    <n v="2531.2399999999998"/>
    <n v="2531.2399999999998"/>
    <n v="5523"/>
    <x v="0"/>
    <n v="0"/>
    <n v="0"/>
    <n v="30"/>
    <n v="55"/>
    <n v="0"/>
    <n v="331.77"/>
    <n v="124.36"/>
    <m/>
    <n v="390.73403238820225"/>
    <n v="127.65788581931002"/>
    <n v="0"/>
    <n v="839789.49479999987"/>
    <n v="314785.00639999995"/>
    <n v="0"/>
    <n v="989041.61214231304"/>
    <n v="323132.74690127029"/>
  </r>
  <r>
    <s v="Refaturamento - Regular"/>
    <x v="2"/>
    <x v="3"/>
    <x v="4"/>
    <x v="1"/>
    <x v="0"/>
    <x v="0"/>
    <x v="2"/>
    <x v="8"/>
    <n v="0"/>
    <n v="0"/>
    <n v="-4.556"/>
    <n v="-4.556"/>
    <n v="-4.556"/>
    <n v="-4.556"/>
    <n v="0"/>
    <x v="0"/>
    <n v="0"/>
    <n v="0"/>
    <n v="30"/>
    <n v="55"/>
    <n v="0"/>
    <n v="331.77"/>
    <n v="124.36"/>
    <m/>
    <n v="390.73403238820225"/>
    <n v="127.65788581931002"/>
    <n v="0"/>
    <n v="-1511.54412"/>
    <n v="-566.58416"/>
    <n v="0"/>
    <n v="-1780.1842515606495"/>
    <n v="-581.60932779277653"/>
  </r>
  <r>
    <s v="Sistema de Compensação"/>
    <x v="2"/>
    <x v="3"/>
    <x v="4"/>
    <x v="1"/>
    <x v="0"/>
    <x v="0"/>
    <x v="2"/>
    <x v="8"/>
    <n v="0"/>
    <n v="0"/>
    <n v="275.31900000000002"/>
    <n v="275.31900000000002"/>
    <n v="275.31900000000002"/>
    <n v="275.31900000000002"/>
    <n v="638"/>
    <x v="0"/>
    <n v="0"/>
    <n v="0"/>
    <n v="30"/>
    <n v="55"/>
    <n v="0"/>
    <n v="331.77"/>
    <n v="124.36"/>
    <m/>
    <n v="390.73403238820225"/>
    <n v="127.65788581931002"/>
    <n v="0"/>
    <n v="91342.584629999998"/>
    <n v="34238.670839999999"/>
    <n v="0"/>
    <n v="107576.50306308747"/>
    <n v="35146.64146588662"/>
  </r>
  <r>
    <s v="Sistema de Compensação"/>
    <x v="2"/>
    <x v="3"/>
    <x v="4"/>
    <x v="1"/>
    <x v="0"/>
    <x v="0"/>
    <x v="2"/>
    <x v="8"/>
    <n v="0"/>
    <n v="0"/>
    <n v="-0.96399999999999997"/>
    <n v="-0.96399999999999997"/>
    <n v="-0.96399999999999997"/>
    <n v="-0.96399999999999997"/>
    <n v="2"/>
    <x v="0"/>
    <n v="0"/>
    <n v="0"/>
    <n v="30"/>
    <n v="55"/>
    <n v="0"/>
    <n v="331.77"/>
    <n v="124.36"/>
    <m/>
    <n v="390.73403238820225"/>
    <n v="127.65788581931002"/>
    <n v="0"/>
    <n v="-319.82628"/>
    <n v="-119.88303999999999"/>
    <n v="0"/>
    <n v="-376.66760722222693"/>
    <n v="-123.06220192981486"/>
  </r>
  <r>
    <s v="Regular"/>
    <x v="2"/>
    <x v="3"/>
    <x v="4"/>
    <x v="1"/>
    <x v="0"/>
    <x v="0"/>
    <x v="2"/>
    <x v="9"/>
    <n v="0"/>
    <n v="0"/>
    <n v="2534.9430000000002"/>
    <n v="2534.9430000000002"/>
    <n v="2534.9430000000002"/>
    <n v="2534.9430000000002"/>
    <n v="5536"/>
    <x v="0"/>
    <n v="0"/>
    <n v="0"/>
    <n v="30"/>
    <n v="55"/>
    <n v="0"/>
    <n v="331.77"/>
    <n v="124.36"/>
    <m/>
    <n v="390.73403238820225"/>
    <n v="127.65788581931002"/>
    <n v="0"/>
    <n v="841018.03911000001"/>
    <n v="315245.51148000004"/>
    <n v="0"/>
    <n v="990488.50026424672"/>
    <n v="323605.46405245923"/>
  </r>
  <r>
    <s v="Refaturamento - Regular"/>
    <x v="2"/>
    <x v="3"/>
    <x v="4"/>
    <x v="1"/>
    <x v="0"/>
    <x v="0"/>
    <x v="2"/>
    <x v="9"/>
    <n v="0"/>
    <n v="0"/>
    <n v="-2.081"/>
    <n v="-2.081"/>
    <n v="-2.081"/>
    <n v="-2.081"/>
    <n v="0"/>
    <x v="0"/>
    <n v="0"/>
    <n v="0"/>
    <n v="30"/>
    <n v="55"/>
    <n v="0"/>
    <n v="331.77"/>
    <n v="124.36"/>
    <m/>
    <n v="390.73403238820225"/>
    <n v="127.65788581931002"/>
    <n v="0"/>
    <n v="-690.41336999999999"/>
    <n v="-258.79316"/>
    <n v="0"/>
    <n v="-813.1175213998489"/>
    <n v="-265.65606038998413"/>
  </r>
  <r>
    <s v="Sistema de Compensação"/>
    <x v="2"/>
    <x v="3"/>
    <x v="4"/>
    <x v="1"/>
    <x v="0"/>
    <x v="0"/>
    <x v="2"/>
    <x v="9"/>
    <n v="0"/>
    <n v="0"/>
    <n v="334.767"/>
    <n v="334.767"/>
    <n v="334.767"/>
    <n v="334.767"/>
    <n v="616"/>
    <x v="0"/>
    <n v="0"/>
    <n v="0"/>
    <n v="30"/>
    <n v="55"/>
    <n v="0"/>
    <n v="331.77"/>
    <n v="124.36"/>
    <m/>
    <n v="390.73403238820225"/>
    <n v="127.65788581931002"/>
    <n v="0"/>
    <n v="111065.64758999999"/>
    <n v="41631.62412"/>
    <n v="0"/>
    <n v="130804.8598205013"/>
    <n v="42735.647462072957"/>
  </r>
  <r>
    <s v="Regular"/>
    <x v="2"/>
    <x v="3"/>
    <x v="4"/>
    <x v="1"/>
    <x v="0"/>
    <x v="0"/>
    <x v="2"/>
    <x v="10"/>
    <n v="0"/>
    <n v="0"/>
    <n v="2482.971"/>
    <n v="2482.971"/>
    <n v="2482.971"/>
    <n v="2482.971"/>
    <n v="5517"/>
    <x v="0"/>
    <n v="0"/>
    <n v="0"/>
    <n v="30"/>
    <n v="55"/>
    <n v="0"/>
    <n v="331.77"/>
    <n v="124.36"/>
    <m/>
    <n v="390.73403238820225"/>
    <n v="127.65788581931002"/>
    <n v="0"/>
    <n v="823775.28866999992"/>
    <n v="308782.27356"/>
    <n v="0"/>
    <n v="970181.27113296697"/>
    <n v="316970.82841065805"/>
  </r>
  <r>
    <s v="Refaturamento - Regular"/>
    <x v="2"/>
    <x v="3"/>
    <x v="4"/>
    <x v="1"/>
    <x v="0"/>
    <x v="0"/>
    <x v="2"/>
    <x v="10"/>
    <n v="0"/>
    <n v="0"/>
    <n v="-0.66100000000000003"/>
    <n v="-0.66100000000000003"/>
    <n v="-0.66100000000000003"/>
    <n v="-0.66100000000000003"/>
    <n v="0"/>
    <x v="0"/>
    <n v="0"/>
    <n v="0"/>
    <n v="30"/>
    <n v="55"/>
    <n v="0"/>
    <n v="331.77"/>
    <n v="124.36"/>
    <m/>
    <n v="390.73403238820225"/>
    <n v="127.65788581931002"/>
    <n v="0"/>
    <n v="-219.29997"/>
    <n v="-82.20196"/>
    <n v="0"/>
    <n v="-258.27519540860169"/>
    <n v="-84.381862526563935"/>
  </r>
  <r>
    <s v="Sistema de Compensação"/>
    <x v="2"/>
    <x v="3"/>
    <x v="4"/>
    <x v="1"/>
    <x v="0"/>
    <x v="0"/>
    <x v="2"/>
    <x v="10"/>
    <n v="0"/>
    <n v="0"/>
    <n v="319.28100000000001"/>
    <n v="319.28100000000001"/>
    <n v="319.28100000000001"/>
    <n v="319.28100000000001"/>
    <n v="640"/>
    <x v="0"/>
    <n v="0"/>
    <n v="0"/>
    <n v="30"/>
    <n v="55"/>
    <n v="0"/>
    <n v="331.77"/>
    <n v="124.36"/>
    <m/>
    <n v="390.73403238820225"/>
    <n v="127.65788581931002"/>
    <n v="0"/>
    <n v="105927.85737"/>
    <n v="39705.785159999999"/>
    <n v="0"/>
    <n v="124753.95259493761"/>
    <n v="40758.737442275124"/>
  </r>
  <r>
    <s v="Regular"/>
    <x v="2"/>
    <x v="3"/>
    <x v="4"/>
    <x v="1"/>
    <x v="0"/>
    <x v="0"/>
    <x v="2"/>
    <x v="11"/>
    <n v="0"/>
    <n v="0"/>
    <n v="2513.9899999999998"/>
    <n v="2513.9899999999998"/>
    <n v="2513.9899999999998"/>
    <n v="2513.9899999999998"/>
    <n v="5470"/>
    <x v="0"/>
    <n v="0"/>
    <n v="0"/>
    <n v="30"/>
    <n v="55"/>
    <n v="0"/>
    <n v="331.77"/>
    <n v="124.36"/>
    <m/>
    <n v="390.73403238820225"/>
    <n v="127.65788581931002"/>
    <n v="0"/>
    <n v="834066.4622999999"/>
    <n v="312639.79639999999"/>
    <n v="0"/>
    <n v="982301.45008361654"/>
    <n v="320930.64837088715"/>
  </r>
  <r>
    <s v="Refaturamento - Regular"/>
    <x v="2"/>
    <x v="3"/>
    <x v="4"/>
    <x v="1"/>
    <x v="0"/>
    <x v="0"/>
    <x v="2"/>
    <x v="11"/>
    <n v="0"/>
    <n v="0"/>
    <n v="-7.1959999999999997"/>
    <n v="-7.1959999999999997"/>
    <n v="-7.1959999999999997"/>
    <n v="-7.1959999999999997"/>
    <n v="0"/>
    <x v="0"/>
    <n v="0"/>
    <n v="0"/>
    <n v="30"/>
    <n v="55"/>
    <n v="0"/>
    <n v="331.77"/>
    <n v="124.36"/>
    <m/>
    <n v="390.73403238820225"/>
    <n v="127.65788581931002"/>
    <n v="0"/>
    <n v="-2387.4169199999997"/>
    <n v="-894.89455999999996"/>
    <n v="0"/>
    <n v="-2811.7220970655035"/>
    <n v="-918.62614635575494"/>
  </r>
  <r>
    <s v="Sistema de Compensação"/>
    <x v="2"/>
    <x v="3"/>
    <x v="4"/>
    <x v="1"/>
    <x v="0"/>
    <x v="0"/>
    <x v="2"/>
    <x v="11"/>
    <n v="0"/>
    <n v="0"/>
    <n v="276.565"/>
    <n v="276.565"/>
    <n v="276.565"/>
    <n v="276.565"/>
    <n v="684"/>
    <x v="0"/>
    <n v="0"/>
    <n v="0"/>
    <n v="30"/>
    <n v="55"/>
    <n v="0"/>
    <n v="331.77"/>
    <n v="124.36"/>
    <m/>
    <n v="390.73403238820225"/>
    <n v="127.65788581931002"/>
    <n v="0"/>
    <n v="91755.970049999989"/>
    <n v="34393.623399999997"/>
    <n v="0"/>
    <n v="108063.35766744315"/>
    <n v="35305.703191617475"/>
  </r>
  <r>
    <s v="Regular"/>
    <x v="3"/>
    <x v="3"/>
    <x v="2"/>
    <x v="1"/>
    <x v="0"/>
    <x v="0"/>
    <x v="2"/>
    <x v="0"/>
    <n v="0"/>
    <n v="0"/>
    <n v="220.108"/>
    <n v="220.108"/>
    <n v="220.108"/>
    <n v="220.108"/>
    <n v="581"/>
    <x v="0"/>
    <n v="0"/>
    <n v="0"/>
    <n v="72"/>
    <n v="83"/>
    <n v="0"/>
    <n v="377.01"/>
    <n v="141.32"/>
    <m/>
    <n v="415.67450254064073"/>
    <n v="135.80626150990429"/>
    <n v="0"/>
    <n v="82982.917079999999"/>
    <n v="31105.662560000001"/>
    <n v="0"/>
    <n v="91493.283405215348"/>
    <n v="29892.044608422013"/>
  </r>
  <r>
    <s v="Sistema de Compensação"/>
    <x v="3"/>
    <x v="3"/>
    <x v="2"/>
    <x v="1"/>
    <x v="0"/>
    <x v="0"/>
    <x v="2"/>
    <x v="0"/>
    <n v="0"/>
    <n v="0"/>
    <n v="6.907"/>
    <n v="6.907"/>
    <n v="6.907"/>
    <n v="6.907"/>
    <n v="24"/>
    <x v="0"/>
    <n v="0"/>
    <n v="0"/>
    <n v="72"/>
    <n v="83"/>
    <n v="0"/>
    <n v="377.01"/>
    <n v="141.32"/>
    <m/>
    <n v="415.67450254064073"/>
    <n v="135.80626150990429"/>
    <n v="0"/>
    <n v="2604.0080699999999"/>
    <n v="976.09723999999994"/>
    <n v="0"/>
    <n v="2871.0637890482058"/>
    <n v="938.01384824890897"/>
  </r>
  <r>
    <s v="Regular"/>
    <x v="3"/>
    <x v="3"/>
    <x v="2"/>
    <x v="1"/>
    <x v="0"/>
    <x v="0"/>
    <x v="2"/>
    <x v="1"/>
    <n v="0"/>
    <n v="0"/>
    <n v="194.86199999999999"/>
    <n v="194.86199999999999"/>
    <n v="194.86199999999999"/>
    <n v="194.86199999999999"/>
    <n v="556"/>
    <x v="0"/>
    <n v="0"/>
    <n v="0"/>
    <n v="72"/>
    <n v="83"/>
    <n v="0"/>
    <n v="377.01"/>
    <n v="141.32"/>
    <m/>
    <n v="415.67450254064073"/>
    <n v="135.80626150990429"/>
    <n v="0"/>
    <n v="73464.922619999998"/>
    <n v="27537.897839999998"/>
    <n v="0"/>
    <n v="80999.164914074325"/>
    <n v="26463.47973034297"/>
  </r>
  <r>
    <s v="Sistema de Compensação"/>
    <x v="3"/>
    <x v="3"/>
    <x v="2"/>
    <x v="1"/>
    <x v="0"/>
    <x v="0"/>
    <x v="2"/>
    <x v="1"/>
    <n v="0"/>
    <n v="0"/>
    <n v="4.9320000000000004"/>
    <n v="4.9320000000000004"/>
    <n v="4.9320000000000004"/>
    <n v="4.9320000000000004"/>
    <n v="24"/>
    <x v="0"/>
    <n v="0"/>
    <n v="0"/>
    <n v="72"/>
    <n v="83"/>
    <n v="0"/>
    <n v="377.01"/>
    <n v="141.32"/>
    <m/>
    <n v="415.67450254064073"/>
    <n v="135.80626150990429"/>
    <n v="0"/>
    <n v="1859.4133200000001"/>
    <n v="696.99023999999997"/>
    <n v="0"/>
    <n v="2050.1066465304402"/>
    <n v="669.79648176684805"/>
  </r>
  <r>
    <s v="Regular"/>
    <x v="3"/>
    <x v="3"/>
    <x v="2"/>
    <x v="1"/>
    <x v="0"/>
    <x v="0"/>
    <x v="2"/>
    <x v="2"/>
    <n v="0"/>
    <n v="0"/>
    <n v="205.809"/>
    <n v="205.809"/>
    <n v="205.809"/>
    <n v="205.809"/>
    <n v="555"/>
    <x v="0"/>
    <n v="0"/>
    <n v="0"/>
    <n v="72"/>
    <n v="83"/>
    <n v="0"/>
    <n v="377.01"/>
    <n v="141.32"/>
    <m/>
    <n v="415.67450254064073"/>
    <n v="135.80626150990429"/>
    <n v="0"/>
    <n v="77592.051089999994"/>
    <n v="29084.927879999999"/>
    <n v="0"/>
    <n v="85549.553693386726"/>
    <n v="27950.150875091891"/>
  </r>
  <r>
    <s v="Sistema de Compensação"/>
    <x v="3"/>
    <x v="3"/>
    <x v="2"/>
    <x v="1"/>
    <x v="0"/>
    <x v="0"/>
    <x v="2"/>
    <x v="2"/>
    <n v="0"/>
    <n v="0"/>
    <n v="4.6859999999999999"/>
    <n v="4.6859999999999999"/>
    <n v="4.6859999999999999"/>
    <n v="4.6859999999999999"/>
    <n v="31"/>
    <x v="0"/>
    <n v="0"/>
    <n v="0"/>
    <n v="72"/>
    <n v="83"/>
    <n v="0"/>
    <n v="377.01"/>
    <n v="141.32"/>
    <m/>
    <n v="415.67450254064073"/>
    <n v="135.80626150990429"/>
    <n v="0"/>
    <n v="1766.66886"/>
    <n v="662.22551999999996"/>
    <n v="0"/>
    <n v="1947.8507189054424"/>
    <n v="636.38814143541151"/>
  </r>
  <r>
    <s v="Regular"/>
    <x v="3"/>
    <x v="3"/>
    <x v="2"/>
    <x v="1"/>
    <x v="0"/>
    <x v="0"/>
    <x v="2"/>
    <x v="3"/>
    <n v="0"/>
    <n v="0"/>
    <n v="240.87700000000001"/>
    <n v="240.87700000000001"/>
    <n v="240.87700000000001"/>
    <n v="240.87700000000001"/>
    <n v="581"/>
    <x v="0"/>
    <n v="0"/>
    <n v="0"/>
    <n v="72"/>
    <n v="83"/>
    <n v="0"/>
    <n v="377.01"/>
    <n v="141.32"/>
    <m/>
    <n v="415.67450254064073"/>
    <n v="135.80626150990429"/>
    <n v="0"/>
    <n v="90813.037769999995"/>
    <n v="34040.737639999999"/>
    <n v="0"/>
    <n v="100126.42714848192"/>
    <n v="32712.604853721215"/>
  </r>
  <r>
    <s v="Sistema de Compensação"/>
    <x v="3"/>
    <x v="3"/>
    <x v="2"/>
    <x v="1"/>
    <x v="0"/>
    <x v="0"/>
    <x v="2"/>
    <x v="3"/>
    <n v="0"/>
    <n v="0"/>
    <n v="4.6589999999999998"/>
    <n v="4.6589999999999998"/>
    <n v="4.6589999999999998"/>
    <n v="4.6589999999999998"/>
    <n v="32"/>
    <x v="0"/>
    <n v="0"/>
    <n v="0"/>
    <n v="72"/>
    <n v="83"/>
    <n v="0"/>
    <n v="377.01"/>
    <n v="141.32"/>
    <m/>
    <n v="415.67450254064073"/>
    <n v="135.80626150990429"/>
    <n v="0"/>
    <n v="1756.4895899999999"/>
    <n v="658.40987999999993"/>
    <n v="0"/>
    <n v="1936.6275073368452"/>
    <n v="632.72137237464403"/>
  </r>
  <r>
    <s v="Regular"/>
    <x v="3"/>
    <x v="3"/>
    <x v="2"/>
    <x v="1"/>
    <x v="0"/>
    <x v="0"/>
    <x v="2"/>
    <x v="4"/>
    <n v="0"/>
    <n v="0"/>
    <n v="226.01300000000001"/>
    <n v="226.01300000000001"/>
    <n v="226.01300000000001"/>
    <n v="226.01300000000001"/>
    <n v="576"/>
    <x v="0"/>
    <n v="0"/>
    <n v="0"/>
    <n v="72"/>
    <n v="83"/>
    <n v="0"/>
    <n v="377.01"/>
    <n v="141.32"/>
    <m/>
    <n v="415.67450254064073"/>
    <n v="135.80626150990429"/>
    <n v="0"/>
    <n v="85209.161129999993"/>
    <n v="31940.157159999999"/>
    <n v="0"/>
    <n v="93947.841342717831"/>
    <n v="30693.980582638"/>
  </r>
  <r>
    <s v="Refaturamento - Regular"/>
    <x v="3"/>
    <x v="3"/>
    <x v="2"/>
    <x v="1"/>
    <x v="0"/>
    <x v="0"/>
    <x v="2"/>
    <x v="4"/>
    <n v="0"/>
    <n v="0"/>
    <n v="-0.16"/>
    <n v="-0.16"/>
    <n v="-0.16"/>
    <n v="-0.16"/>
    <n v="0"/>
    <x v="0"/>
    <n v="0"/>
    <n v="0"/>
    <n v="72"/>
    <n v="83"/>
    <n v="0"/>
    <n v="377.01"/>
    <n v="141.32"/>
    <m/>
    <n v="415.67450254064073"/>
    <n v="135.80626150990429"/>
    <n v="0"/>
    <n v="-60.321599999999997"/>
    <n v="-22.6112"/>
    <n v="0"/>
    <n v="-66.507920406502521"/>
    <n v="-21.729001841584687"/>
  </r>
  <r>
    <s v="Sistema de Compensação"/>
    <x v="3"/>
    <x v="3"/>
    <x v="2"/>
    <x v="1"/>
    <x v="0"/>
    <x v="0"/>
    <x v="2"/>
    <x v="4"/>
    <n v="0"/>
    <n v="0"/>
    <n v="8.4700000000000006"/>
    <n v="8.4700000000000006"/>
    <n v="8.4700000000000006"/>
    <n v="8.4700000000000006"/>
    <n v="34"/>
    <x v="0"/>
    <n v="0"/>
    <n v="0"/>
    <n v="72"/>
    <n v="83"/>
    <n v="0"/>
    <n v="377.01"/>
    <n v="141.32"/>
    <m/>
    <n v="415.67450254064073"/>
    <n v="135.80626150990429"/>
    <n v="0"/>
    <n v="3193.2746999999999"/>
    <n v="1196.9804000000001"/>
    <n v="0"/>
    <n v="3520.7630365192272"/>
    <n v="1150.2790349888894"/>
  </r>
  <r>
    <s v="Regular"/>
    <x v="3"/>
    <x v="3"/>
    <x v="2"/>
    <x v="1"/>
    <x v="0"/>
    <x v="0"/>
    <x v="2"/>
    <x v="5"/>
    <n v="0"/>
    <n v="0"/>
    <n v="247.99199999999999"/>
    <n v="247.99199999999999"/>
    <n v="247.99199999999999"/>
    <n v="247.99199999999999"/>
    <n v="579"/>
    <x v="0"/>
    <n v="0"/>
    <n v="0"/>
    <n v="72"/>
    <n v="83"/>
    <n v="0"/>
    <n v="377.01"/>
    <n v="141.32"/>
    <m/>
    <n v="415.67450254064073"/>
    <n v="135.80626150990429"/>
    <n v="0"/>
    <n v="93495.463919999995"/>
    <n v="35046.229439999996"/>
    <n v="0"/>
    <n v="103083.95123405858"/>
    <n v="33678.866404364184"/>
  </r>
  <r>
    <s v="Sistema de Compensação"/>
    <x v="3"/>
    <x v="3"/>
    <x v="2"/>
    <x v="1"/>
    <x v="0"/>
    <x v="0"/>
    <x v="2"/>
    <x v="5"/>
    <n v="0"/>
    <n v="0"/>
    <n v="7.9870000000000001"/>
    <n v="7.9870000000000001"/>
    <n v="7.9870000000000001"/>
    <n v="7.9870000000000001"/>
    <n v="34"/>
    <x v="0"/>
    <n v="0"/>
    <n v="0"/>
    <n v="72"/>
    <n v="83"/>
    <n v="0"/>
    <n v="377.01"/>
    <n v="141.32"/>
    <m/>
    <n v="415.67450254064073"/>
    <n v="135.80626150990429"/>
    <n v="0"/>
    <n v="3011.1788700000002"/>
    <n v="1128.7228399999999"/>
    <n v="0"/>
    <n v="3319.9922517920977"/>
    <n v="1084.6846106796056"/>
  </r>
  <r>
    <s v="Regular"/>
    <x v="3"/>
    <x v="3"/>
    <x v="2"/>
    <x v="1"/>
    <x v="0"/>
    <x v="0"/>
    <x v="2"/>
    <x v="6"/>
    <n v="0"/>
    <n v="0"/>
    <n v="239.46899999999999"/>
    <n v="239.46899999999999"/>
    <n v="239.46899999999999"/>
    <n v="239.46899999999999"/>
    <n v="587"/>
    <x v="0"/>
    <n v="0"/>
    <n v="0"/>
    <n v="72"/>
    <n v="83"/>
    <n v="0"/>
    <n v="377.01"/>
    <n v="141.32"/>
    <m/>
    <n v="415.67450254064073"/>
    <n v="135.80626150990429"/>
    <n v="0"/>
    <n v="90282.207689999996"/>
    <n v="33841.759079999996"/>
    <n v="0"/>
    <n v="99541.157448904691"/>
    <n v="32521.389637515269"/>
  </r>
  <r>
    <s v="Sistema de Compensação"/>
    <x v="3"/>
    <x v="3"/>
    <x v="2"/>
    <x v="1"/>
    <x v="0"/>
    <x v="0"/>
    <x v="2"/>
    <x v="6"/>
    <n v="0"/>
    <n v="0"/>
    <n v="7.8159999999999998"/>
    <n v="7.8159999999999998"/>
    <n v="7.8159999999999998"/>
    <n v="7.8159999999999998"/>
    <n v="30"/>
    <x v="0"/>
    <n v="0"/>
    <n v="0"/>
    <n v="72"/>
    <n v="83"/>
    <n v="0"/>
    <n v="377.01"/>
    <n v="141.32"/>
    <m/>
    <n v="415.67450254064073"/>
    <n v="135.80626150990429"/>
    <n v="0"/>
    <n v="2946.7101600000001"/>
    <n v="1104.5571199999999"/>
    <n v="0"/>
    <n v="3248.9119118576477"/>
    <n v="1061.4617399614119"/>
  </r>
  <r>
    <s v="Regular"/>
    <x v="3"/>
    <x v="3"/>
    <x v="2"/>
    <x v="1"/>
    <x v="0"/>
    <x v="0"/>
    <x v="2"/>
    <x v="7"/>
    <n v="0"/>
    <n v="0"/>
    <n v="228.21299999999999"/>
    <n v="228.21299999999999"/>
    <n v="228.21299999999999"/>
    <n v="228.21299999999999"/>
    <n v="588"/>
    <x v="0"/>
    <n v="0"/>
    <n v="0"/>
    <n v="72"/>
    <n v="83"/>
    <n v="0"/>
    <n v="377.01"/>
    <n v="141.32"/>
    <m/>
    <n v="415.67450254064073"/>
    <n v="135.80626150990429"/>
    <n v="0"/>
    <n v="86038.583129999999"/>
    <n v="32251.061159999997"/>
    <n v="0"/>
    <n v="94862.325248307243"/>
    <n v="30992.754357959788"/>
  </r>
  <r>
    <s v="Refaturamento - Regular"/>
    <x v="3"/>
    <x v="3"/>
    <x v="2"/>
    <x v="1"/>
    <x v="0"/>
    <x v="0"/>
    <x v="2"/>
    <x v="7"/>
    <n v="0"/>
    <n v="0"/>
    <n v="-1"/>
    <n v="-1"/>
    <n v="-1"/>
    <n v="-1"/>
    <n v="0"/>
    <x v="0"/>
    <n v="0"/>
    <n v="0"/>
    <n v="72"/>
    <n v="83"/>
    <n v="0"/>
    <n v="377.01"/>
    <n v="141.32"/>
    <m/>
    <n v="415.67450254064073"/>
    <n v="135.80626150990429"/>
    <n v="0"/>
    <n v="-377.01"/>
    <n v="-141.32"/>
    <n v="0"/>
    <n v="-415.67450254064073"/>
    <n v="-135.80626150990429"/>
  </r>
  <r>
    <s v="Sistema de Compensação"/>
    <x v="3"/>
    <x v="3"/>
    <x v="2"/>
    <x v="1"/>
    <x v="0"/>
    <x v="0"/>
    <x v="2"/>
    <x v="7"/>
    <n v="0"/>
    <n v="0"/>
    <n v="9.9359999999999999"/>
    <n v="9.9359999999999999"/>
    <n v="9.9359999999999999"/>
    <n v="9.9359999999999999"/>
    <n v="30"/>
    <x v="0"/>
    <n v="0"/>
    <n v="0"/>
    <n v="72"/>
    <n v="83"/>
    <n v="0"/>
    <n v="377.01"/>
    <n v="141.32"/>
    <m/>
    <n v="415.67450254064073"/>
    <n v="135.80626150990429"/>
    <n v="0"/>
    <n v="3745.97136"/>
    <n v="1404.15552"/>
    <n v="0"/>
    <n v="4130.141857243806"/>
    <n v="1349.3710143624089"/>
  </r>
  <r>
    <s v="Regular"/>
    <x v="3"/>
    <x v="3"/>
    <x v="2"/>
    <x v="1"/>
    <x v="0"/>
    <x v="0"/>
    <x v="2"/>
    <x v="8"/>
    <n v="0"/>
    <n v="0"/>
    <n v="213.23699999999999"/>
    <n v="213.23699999999999"/>
    <n v="213.23699999999999"/>
    <n v="213.23699999999999"/>
    <n v="587"/>
    <x v="0"/>
    <n v="0"/>
    <n v="0"/>
    <n v="72"/>
    <n v="83"/>
    <n v="0"/>
    <n v="377.01"/>
    <n v="141.32"/>
    <m/>
    <n v="415.67450254064073"/>
    <n v="135.80626150990429"/>
    <n v="0"/>
    <n v="80392.481369999994"/>
    <n v="30134.652839999999"/>
    <n v="0"/>
    <n v="88637.183898258605"/>
    <n v="28958.919785587459"/>
  </r>
  <r>
    <s v="Sistema de Compensação"/>
    <x v="3"/>
    <x v="3"/>
    <x v="2"/>
    <x v="1"/>
    <x v="0"/>
    <x v="0"/>
    <x v="2"/>
    <x v="8"/>
    <n v="0"/>
    <n v="0"/>
    <n v="9.952"/>
    <n v="9.952"/>
    <n v="9.952"/>
    <n v="9.952"/>
    <n v="31"/>
    <x v="0"/>
    <n v="0"/>
    <n v="0"/>
    <n v="72"/>
    <n v="83"/>
    <n v="0"/>
    <n v="377.01"/>
    <n v="141.32"/>
    <m/>
    <n v="415.67450254064073"/>
    <n v="135.80626150990429"/>
    <n v="0"/>
    <n v="3752.0035199999998"/>
    <n v="1406.4166399999999"/>
    <n v="0"/>
    <n v="4136.7926492844563"/>
    <n v="1351.5439145465675"/>
  </r>
  <r>
    <s v="Regular"/>
    <x v="3"/>
    <x v="3"/>
    <x v="2"/>
    <x v="1"/>
    <x v="0"/>
    <x v="0"/>
    <x v="2"/>
    <x v="9"/>
    <n v="0"/>
    <n v="0"/>
    <n v="209.62200000000001"/>
    <n v="209.62200000000001"/>
    <n v="209.62200000000001"/>
    <n v="209.62200000000001"/>
    <n v="591"/>
    <x v="0"/>
    <n v="0"/>
    <n v="0"/>
    <n v="72"/>
    <n v="83"/>
    <n v="0"/>
    <n v="377.01"/>
    <n v="141.32"/>
    <m/>
    <n v="415.67450254064073"/>
    <n v="135.80626150990429"/>
    <n v="0"/>
    <n v="79029.590219999998"/>
    <n v="29623.781040000002"/>
    <n v="0"/>
    <n v="87134.52057157419"/>
    <n v="28467.980150229159"/>
  </r>
  <r>
    <s v="Sistema de Compensação"/>
    <x v="3"/>
    <x v="3"/>
    <x v="2"/>
    <x v="1"/>
    <x v="0"/>
    <x v="0"/>
    <x v="2"/>
    <x v="9"/>
    <n v="0"/>
    <n v="0"/>
    <n v="11.952999999999999"/>
    <n v="11.952999999999999"/>
    <n v="11.952999999999999"/>
    <n v="11.952999999999999"/>
    <n v="32"/>
    <x v="0"/>
    <n v="0"/>
    <n v="0"/>
    <n v="72"/>
    <n v="83"/>
    <n v="0"/>
    <n v="377.01"/>
    <n v="141.32"/>
    <m/>
    <n v="415.67450254064073"/>
    <n v="135.80626150990429"/>
    <n v="0"/>
    <n v="4506.4005299999999"/>
    <n v="1689.1979599999997"/>
    <n v="0"/>
    <n v="4968.5573288682781"/>
    <n v="1623.2922438278858"/>
  </r>
  <r>
    <s v="Regular"/>
    <x v="3"/>
    <x v="3"/>
    <x v="2"/>
    <x v="1"/>
    <x v="0"/>
    <x v="0"/>
    <x v="2"/>
    <x v="10"/>
    <n v="0"/>
    <n v="0"/>
    <n v="191.53"/>
    <n v="191.53"/>
    <n v="191.53"/>
    <n v="191.53"/>
    <n v="586"/>
    <x v="0"/>
    <n v="0"/>
    <n v="0"/>
    <n v="72"/>
    <n v="83"/>
    <n v="0"/>
    <n v="377.01"/>
    <n v="141.32"/>
    <m/>
    <n v="415.67450254064073"/>
    <n v="135.80626150990429"/>
    <n v="0"/>
    <n v="72208.725300000006"/>
    <n v="27067.0196"/>
    <n v="0"/>
    <n v="79614.137471608919"/>
    <n v="26010.973266991969"/>
  </r>
  <r>
    <s v="Sistema de Compensação"/>
    <x v="3"/>
    <x v="3"/>
    <x v="2"/>
    <x v="1"/>
    <x v="0"/>
    <x v="0"/>
    <x v="2"/>
    <x v="10"/>
    <n v="0"/>
    <n v="0"/>
    <n v="12.05"/>
    <n v="12.05"/>
    <n v="12.05"/>
    <n v="12.05"/>
    <n v="36"/>
    <x v="0"/>
    <n v="0"/>
    <n v="0"/>
    <n v="72"/>
    <n v="83"/>
    <n v="0"/>
    <n v="377.01"/>
    <n v="141.32"/>
    <m/>
    <n v="415.67450254064073"/>
    <n v="135.80626150990429"/>
    <n v="0"/>
    <n v="4542.9705000000004"/>
    <n v="1702.9059999999999"/>
    <n v="0"/>
    <n v="5008.8777556147215"/>
    <n v="1636.4654511943468"/>
  </r>
  <r>
    <s v="Regular"/>
    <x v="3"/>
    <x v="3"/>
    <x v="2"/>
    <x v="1"/>
    <x v="0"/>
    <x v="0"/>
    <x v="2"/>
    <x v="11"/>
    <n v="0"/>
    <n v="0"/>
    <n v="195.05099999999999"/>
    <n v="195.05099999999999"/>
    <n v="195.05099999999999"/>
    <n v="195.05099999999999"/>
    <n v="588"/>
    <x v="0"/>
    <n v="0"/>
    <n v="0"/>
    <n v="72"/>
    <n v="83"/>
    <n v="0"/>
    <n v="377.01"/>
    <n v="141.32"/>
    <m/>
    <n v="415.67450254064073"/>
    <n v="135.80626150990429"/>
    <n v="0"/>
    <n v="73536.177509999994"/>
    <n v="27564.607319999996"/>
    <n v="0"/>
    <n v="81077.727395054506"/>
    <n v="26489.14711376834"/>
  </r>
  <r>
    <s v="Sistema de Compensação"/>
    <x v="3"/>
    <x v="3"/>
    <x v="2"/>
    <x v="1"/>
    <x v="0"/>
    <x v="0"/>
    <x v="2"/>
    <x v="11"/>
    <n v="0"/>
    <n v="0"/>
    <n v="10.855"/>
    <n v="10.855"/>
    <n v="10.855"/>
    <n v="10.855"/>
    <n v="36"/>
    <x v="0"/>
    <n v="0"/>
    <n v="0"/>
    <n v="72"/>
    <n v="83"/>
    <n v="0"/>
    <n v="377.01"/>
    <n v="141.32"/>
    <m/>
    <n v="415.67450254064073"/>
    <n v="135.80626150990429"/>
    <n v="0"/>
    <n v="4092.44355"/>
    <n v="1534.0286000000001"/>
    <n v="0"/>
    <n v="4512.1467250786554"/>
    <n v="1474.1769686900111"/>
  </r>
  <r>
    <s v="Sistema de Compensação"/>
    <x v="3"/>
    <x v="3"/>
    <x v="2"/>
    <x v="1"/>
    <x v="0"/>
    <x v="0"/>
    <x v="2"/>
    <x v="11"/>
    <n v="0"/>
    <n v="0"/>
    <n v="0.1"/>
    <n v="0.1"/>
    <n v="0.1"/>
    <n v="0.1"/>
    <n v="1"/>
    <x v="0"/>
    <n v="0"/>
    <n v="0"/>
    <n v="72"/>
    <n v="83"/>
    <n v="0"/>
    <n v="377.01"/>
    <n v="141.32"/>
    <m/>
    <n v="415.67450254064073"/>
    <n v="135.80626150990429"/>
    <n v="0"/>
    <n v="37.701000000000001"/>
    <n v="14.132"/>
    <n v="0"/>
    <n v="41.567450254064077"/>
    <n v="13.58062615099043"/>
  </r>
  <r>
    <s v="Regular"/>
    <x v="3"/>
    <x v="3"/>
    <x v="3"/>
    <x v="1"/>
    <x v="0"/>
    <x v="0"/>
    <x v="2"/>
    <x v="0"/>
    <n v="0"/>
    <n v="0"/>
    <n v="168.71199999999999"/>
    <n v="168.71199999999999"/>
    <n v="168.71199999999999"/>
    <n v="168.71199999999999"/>
    <n v="141"/>
    <x v="0"/>
    <n v="0"/>
    <n v="0"/>
    <n v="72"/>
    <n v="83"/>
    <n v="0"/>
    <n v="377.01"/>
    <n v="141.32"/>
    <m/>
    <n v="415.67450254064073"/>
    <n v="135.80626150990429"/>
    <n v="0"/>
    <n v="63606.111119999994"/>
    <n v="23842.379839999998"/>
    <n v="0"/>
    <n v="70129.276672636581"/>
    <n v="22912.145991858972"/>
  </r>
  <r>
    <s v="Sistema de Compensação"/>
    <x v="3"/>
    <x v="3"/>
    <x v="3"/>
    <x v="1"/>
    <x v="0"/>
    <x v="0"/>
    <x v="2"/>
    <x v="0"/>
    <n v="0"/>
    <n v="0"/>
    <n v="6.9630000000000001"/>
    <n v="6.9630000000000001"/>
    <n v="6.9630000000000001"/>
    <n v="6.9630000000000001"/>
    <n v="9"/>
    <x v="0"/>
    <n v="0"/>
    <n v="0"/>
    <n v="72"/>
    <n v="83"/>
    <n v="0"/>
    <n v="377.01"/>
    <n v="141.32"/>
    <m/>
    <n v="415.67450254064073"/>
    <n v="135.80626150990429"/>
    <n v="0"/>
    <n v="2625.1206299999999"/>
    <n v="984.01116000000002"/>
    <n v="0"/>
    <n v="2894.3415611904816"/>
    <n v="945.61899889346353"/>
  </r>
  <r>
    <s v="Regular"/>
    <x v="3"/>
    <x v="3"/>
    <x v="3"/>
    <x v="1"/>
    <x v="0"/>
    <x v="0"/>
    <x v="2"/>
    <x v="1"/>
    <n v="0"/>
    <n v="0"/>
    <n v="155.042"/>
    <n v="155.042"/>
    <n v="155.042"/>
    <n v="155.042"/>
    <n v="144"/>
    <x v="0"/>
    <n v="0"/>
    <n v="0"/>
    <n v="72"/>
    <n v="83"/>
    <n v="0"/>
    <n v="377.01"/>
    <n v="141.32"/>
    <m/>
    <n v="415.67450254064073"/>
    <n v="135.80626150990429"/>
    <n v="0"/>
    <n v="58452.384420000002"/>
    <n v="21910.53544"/>
    <n v="0"/>
    <n v="64447.00622290602"/>
    <n v="21055.674397018582"/>
  </r>
  <r>
    <s v="Sistema de Compensação"/>
    <x v="3"/>
    <x v="3"/>
    <x v="3"/>
    <x v="1"/>
    <x v="0"/>
    <x v="0"/>
    <x v="2"/>
    <x v="1"/>
    <n v="0"/>
    <n v="0"/>
    <n v="5.1040000000000001"/>
    <n v="5.1040000000000001"/>
    <n v="5.1040000000000001"/>
    <n v="5.1040000000000001"/>
    <n v="10"/>
    <x v="0"/>
    <n v="0"/>
    <n v="0"/>
    <n v="72"/>
    <n v="83"/>
    <n v="0"/>
    <n v="377.01"/>
    <n v="141.32"/>
    <m/>
    <n v="415.67450254064073"/>
    <n v="135.80626150990429"/>
    <n v="0"/>
    <n v="1924.2590399999999"/>
    <n v="721.29728"/>
    <n v="0"/>
    <n v="2121.6026609674304"/>
    <n v="693.15515874655148"/>
  </r>
  <r>
    <s v="Regular"/>
    <x v="3"/>
    <x v="3"/>
    <x v="3"/>
    <x v="1"/>
    <x v="0"/>
    <x v="0"/>
    <x v="2"/>
    <x v="2"/>
    <n v="0"/>
    <n v="0"/>
    <n v="139.66900000000001"/>
    <n v="139.66900000000001"/>
    <n v="139.66900000000001"/>
    <n v="139.66900000000001"/>
    <n v="145"/>
    <x v="0"/>
    <n v="0"/>
    <n v="0"/>
    <n v="72"/>
    <n v="83"/>
    <n v="0"/>
    <n v="377.01"/>
    <n v="141.32"/>
    <m/>
    <n v="415.67450254064073"/>
    <n v="135.80626150990429"/>
    <n v="0"/>
    <n v="52656.609690000005"/>
    <n v="19738.023079999999"/>
    <n v="0"/>
    <n v="58056.842095348758"/>
    <n v="18967.924738826823"/>
  </r>
  <r>
    <s v="Sistema de Compensação"/>
    <x v="3"/>
    <x v="3"/>
    <x v="3"/>
    <x v="1"/>
    <x v="0"/>
    <x v="0"/>
    <x v="2"/>
    <x v="2"/>
    <n v="0"/>
    <n v="0"/>
    <n v="5.7770000000000001"/>
    <n v="5.7770000000000001"/>
    <n v="5.7770000000000001"/>
    <n v="5.7770000000000001"/>
    <n v="10"/>
    <x v="0"/>
    <n v="0"/>
    <n v="0"/>
    <n v="72"/>
    <n v="83"/>
    <n v="0"/>
    <n v="377.01"/>
    <n v="141.32"/>
    <m/>
    <n v="415.67450254064073"/>
    <n v="135.80626150990429"/>
    <n v="0"/>
    <n v="2177.98677"/>
    <n v="816.40563999999995"/>
    <n v="0"/>
    <n v="2401.3516011772817"/>
    <n v="784.55277274271714"/>
  </r>
  <r>
    <s v="Regular"/>
    <x v="3"/>
    <x v="3"/>
    <x v="3"/>
    <x v="1"/>
    <x v="0"/>
    <x v="0"/>
    <x v="2"/>
    <x v="3"/>
    <n v="0"/>
    <n v="0"/>
    <n v="157.71600000000001"/>
    <n v="157.71600000000001"/>
    <n v="157.71600000000001"/>
    <n v="157.71600000000001"/>
    <n v="145"/>
    <x v="0"/>
    <n v="0"/>
    <n v="0"/>
    <n v="72"/>
    <n v="83"/>
    <n v="0"/>
    <n v="377.01"/>
    <n v="141.32"/>
    <m/>
    <n v="415.67450254064073"/>
    <n v="135.80626150990429"/>
    <n v="0"/>
    <n v="59460.509160000001"/>
    <n v="22288.42512"/>
    <n v="0"/>
    <n v="65558.519842699694"/>
    <n v="21418.820340296064"/>
  </r>
  <r>
    <s v="Sistema de Compensação"/>
    <x v="3"/>
    <x v="3"/>
    <x v="3"/>
    <x v="1"/>
    <x v="0"/>
    <x v="0"/>
    <x v="2"/>
    <x v="3"/>
    <n v="0"/>
    <n v="0"/>
    <n v="3.4830000000000001"/>
    <n v="3.4830000000000001"/>
    <n v="3.4830000000000001"/>
    <n v="3.4830000000000001"/>
    <n v="10"/>
    <x v="0"/>
    <n v="0"/>
    <n v="0"/>
    <n v="72"/>
    <n v="83"/>
    <n v="0"/>
    <n v="377.01"/>
    <n v="141.32"/>
    <m/>
    <n v="415.67450254064073"/>
    <n v="135.80626150990429"/>
    <n v="0"/>
    <n v="1313.12583"/>
    <n v="492.21755999999999"/>
    <n v="0"/>
    <n v="1447.7942923490516"/>
    <n v="473.01320883899666"/>
  </r>
  <r>
    <s v="Regular"/>
    <x v="3"/>
    <x v="3"/>
    <x v="3"/>
    <x v="1"/>
    <x v="0"/>
    <x v="0"/>
    <x v="2"/>
    <x v="4"/>
    <n v="0"/>
    <n v="0"/>
    <n v="111.425"/>
    <n v="111.425"/>
    <n v="111.425"/>
    <n v="111.425"/>
    <n v="144"/>
    <x v="0"/>
    <n v="0"/>
    <n v="0"/>
    <n v="72"/>
    <n v="83"/>
    <n v="0"/>
    <n v="377.01"/>
    <n v="141.32"/>
    <m/>
    <n v="415.67450254064073"/>
    <n v="135.80626150990429"/>
    <n v="0"/>
    <n v="42008.339249999997"/>
    <n v="15746.580999999998"/>
    <n v="0"/>
    <n v="46316.531445590896"/>
    <n v="15132.212688741085"/>
  </r>
  <r>
    <s v="Sistema de Compensação"/>
    <x v="3"/>
    <x v="3"/>
    <x v="3"/>
    <x v="1"/>
    <x v="0"/>
    <x v="0"/>
    <x v="2"/>
    <x v="4"/>
    <n v="0"/>
    <n v="0"/>
    <n v="8.7379999999999995"/>
    <n v="8.7379999999999995"/>
    <n v="8.7379999999999995"/>
    <n v="8.7379999999999995"/>
    <n v="10"/>
    <x v="0"/>
    <n v="0"/>
    <n v="0"/>
    <n v="72"/>
    <n v="83"/>
    <n v="0"/>
    <n v="377.01"/>
    <n v="141.32"/>
    <m/>
    <n v="415.67450254064073"/>
    <n v="135.80626150990429"/>
    <n v="0"/>
    <n v="3294.3133799999996"/>
    <n v="1234.8541599999999"/>
    <n v="0"/>
    <n v="3632.1638032001183"/>
    <n v="1186.6751130735436"/>
  </r>
  <r>
    <s v="Regular"/>
    <x v="3"/>
    <x v="3"/>
    <x v="3"/>
    <x v="1"/>
    <x v="0"/>
    <x v="0"/>
    <x v="2"/>
    <x v="5"/>
    <n v="0"/>
    <n v="0"/>
    <n v="151.197"/>
    <n v="151.197"/>
    <n v="151.197"/>
    <n v="151.197"/>
    <n v="143"/>
    <x v="0"/>
    <n v="0"/>
    <n v="0"/>
    <n v="72"/>
    <n v="83"/>
    <n v="0"/>
    <n v="377.01"/>
    <n v="141.32"/>
    <m/>
    <n v="415.67450254064073"/>
    <n v="135.80626150990429"/>
    <n v="0"/>
    <n v="57002.78097"/>
    <n v="21367.160039999999"/>
    <n v="0"/>
    <n v="62848.737760637261"/>
    <n v="20533.499321512998"/>
  </r>
  <r>
    <s v="Sistema de Compensação"/>
    <x v="3"/>
    <x v="3"/>
    <x v="3"/>
    <x v="1"/>
    <x v="0"/>
    <x v="0"/>
    <x v="2"/>
    <x v="5"/>
    <n v="0"/>
    <n v="0"/>
    <n v="7.7590000000000003"/>
    <n v="7.7590000000000003"/>
    <n v="7.7590000000000003"/>
    <n v="7.7590000000000003"/>
    <n v="10"/>
    <x v="0"/>
    <n v="0"/>
    <n v="0"/>
    <n v="72"/>
    <n v="83"/>
    <n v="0"/>
    <n v="377.01"/>
    <n v="141.32"/>
    <m/>
    <n v="415.67450254064073"/>
    <n v="135.80626150990429"/>
    <n v="0"/>
    <n v="2925.2205899999999"/>
    <n v="1096.50188"/>
    <n v="0"/>
    <n v="3225.2184652128317"/>
    <n v="1053.7207830553475"/>
  </r>
  <r>
    <s v="Regular"/>
    <x v="3"/>
    <x v="3"/>
    <x v="3"/>
    <x v="1"/>
    <x v="0"/>
    <x v="0"/>
    <x v="2"/>
    <x v="6"/>
    <n v="0"/>
    <n v="0"/>
    <n v="148.249"/>
    <n v="148.249"/>
    <n v="148.249"/>
    <n v="148.249"/>
    <n v="143"/>
    <x v="0"/>
    <n v="0"/>
    <n v="0"/>
    <n v="72"/>
    <n v="83"/>
    <n v="0"/>
    <n v="377.01"/>
    <n v="141.32"/>
    <m/>
    <n v="415.67450254064073"/>
    <n v="135.80626150990429"/>
    <n v="0"/>
    <n v="55891.355489999994"/>
    <n v="20950.54868"/>
    <n v="0"/>
    <n v="61623.329327147447"/>
    <n v="20133.1424625818"/>
  </r>
  <r>
    <s v="Refaturamento - Regular"/>
    <x v="3"/>
    <x v="3"/>
    <x v="3"/>
    <x v="1"/>
    <x v="0"/>
    <x v="0"/>
    <x v="2"/>
    <x v="6"/>
    <n v="0"/>
    <n v="0"/>
    <n v="-3.4359999999999999"/>
    <n v="-3.4359999999999999"/>
    <n v="-3.4359999999999999"/>
    <n v="-3.4359999999999999"/>
    <n v="0"/>
    <x v="0"/>
    <n v="0"/>
    <n v="0"/>
    <n v="72"/>
    <n v="83"/>
    <n v="0"/>
    <n v="377.01"/>
    <n v="141.32"/>
    <m/>
    <n v="415.67450254064073"/>
    <n v="135.80626150990429"/>
    <n v="0"/>
    <n v="-1295.4063599999999"/>
    <n v="-485.57551999999998"/>
    <n v="0"/>
    <n v="-1428.2575907296416"/>
    <n v="-466.63031454803115"/>
  </r>
  <r>
    <s v="Sistema de Compensação"/>
    <x v="3"/>
    <x v="3"/>
    <x v="3"/>
    <x v="1"/>
    <x v="0"/>
    <x v="0"/>
    <x v="2"/>
    <x v="6"/>
    <n v="0"/>
    <n v="0"/>
    <n v="6.4610000000000003"/>
    <n v="6.4610000000000003"/>
    <n v="6.4610000000000003"/>
    <n v="6.4610000000000003"/>
    <n v="10"/>
    <x v="0"/>
    <n v="0"/>
    <n v="0"/>
    <n v="72"/>
    <n v="83"/>
    <n v="0"/>
    <n v="377.01"/>
    <n v="141.32"/>
    <m/>
    <n v="415.67450254064073"/>
    <n v="135.80626150990429"/>
    <n v="0"/>
    <n v="2435.8616099999999"/>
    <n v="913.06852000000003"/>
    <n v="0"/>
    <n v="2685.6729609150798"/>
    <n v="877.44425561549167"/>
  </r>
  <r>
    <s v="Regular"/>
    <x v="3"/>
    <x v="3"/>
    <x v="3"/>
    <x v="1"/>
    <x v="0"/>
    <x v="0"/>
    <x v="2"/>
    <x v="7"/>
    <n v="0"/>
    <n v="0"/>
    <n v="148.232"/>
    <n v="148.232"/>
    <n v="148.232"/>
    <n v="148.232"/>
    <n v="141"/>
    <x v="0"/>
    <n v="0"/>
    <n v="0"/>
    <n v="72"/>
    <n v="83"/>
    <n v="0"/>
    <n v="377.01"/>
    <n v="141.32"/>
    <m/>
    <n v="415.67450254064073"/>
    <n v="135.80626150990429"/>
    <n v="0"/>
    <n v="55884.946319999995"/>
    <n v="20948.146239999998"/>
    <n v="0"/>
    <n v="61616.262860604256"/>
    <n v="20130.833756136133"/>
  </r>
  <r>
    <s v="Sistema de Compensação"/>
    <x v="3"/>
    <x v="3"/>
    <x v="3"/>
    <x v="1"/>
    <x v="0"/>
    <x v="0"/>
    <x v="2"/>
    <x v="7"/>
    <n v="0"/>
    <n v="0"/>
    <n v="5.3739999999999997"/>
    <n v="5.3739999999999997"/>
    <n v="5.3739999999999997"/>
    <n v="5.3739999999999997"/>
    <n v="10"/>
    <x v="0"/>
    <n v="0"/>
    <n v="0"/>
    <n v="72"/>
    <n v="83"/>
    <n v="0"/>
    <n v="377.01"/>
    <n v="141.32"/>
    <m/>
    <n v="415.67450254064073"/>
    <n v="135.80626150990429"/>
    <n v="0"/>
    <n v="2026.0517399999999"/>
    <n v="759.45367999999996"/>
    <n v="0"/>
    <n v="2233.834776653403"/>
    <n v="729.82284935422558"/>
  </r>
  <r>
    <s v="Regular"/>
    <x v="3"/>
    <x v="3"/>
    <x v="3"/>
    <x v="1"/>
    <x v="0"/>
    <x v="0"/>
    <x v="2"/>
    <x v="8"/>
    <n v="0"/>
    <n v="0"/>
    <n v="156.66399999999999"/>
    <n v="156.66399999999999"/>
    <n v="156.66399999999999"/>
    <n v="156.66399999999999"/>
    <n v="140"/>
    <x v="0"/>
    <n v="0"/>
    <n v="0"/>
    <n v="72"/>
    <n v="83"/>
    <n v="0"/>
    <n v="377.01"/>
    <n v="141.32"/>
    <m/>
    <n v="415.67450254064073"/>
    <n v="135.80626150990429"/>
    <n v="0"/>
    <n v="59063.894639999991"/>
    <n v="22139.756479999996"/>
    <n v="0"/>
    <n v="65121.230266026934"/>
    <n v="21275.952153187645"/>
  </r>
  <r>
    <s v="Sistema de Compensação"/>
    <x v="3"/>
    <x v="3"/>
    <x v="3"/>
    <x v="1"/>
    <x v="0"/>
    <x v="0"/>
    <x v="2"/>
    <x v="8"/>
    <n v="0"/>
    <n v="0"/>
    <n v="7.5190000000000001"/>
    <n v="7.5190000000000001"/>
    <n v="7.5190000000000001"/>
    <n v="7.5190000000000001"/>
    <n v="11"/>
    <x v="0"/>
    <n v="0"/>
    <n v="0"/>
    <n v="72"/>
    <n v="83"/>
    <n v="0"/>
    <n v="377.01"/>
    <n v="141.32"/>
    <m/>
    <n v="415.67450254064073"/>
    <n v="135.80626150990429"/>
    <n v="0"/>
    <n v="2834.73819"/>
    <n v="1062.5850800000001"/>
    <n v="0"/>
    <n v="3125.4565846030778"/>
    <n v="1021.1272802929703"/>
  </r>
  <r>
    <s v="Regular"/>
    <x v="3"/>
    <x v="3"/>
    <x v="3"/>
    <x v="1"/>
    <x v="0"/>
    <x v="0"/>
    <x v="2"/>
    <x v="9"/>
    <n v="0"/>
    <n v="0"/>
    <n v="154.83799999999999"/>
    <n v="154.83799999999999"/>
    <n v="154.83799999999999"/>
    <n v="154.83799999999999"/>
    <n v="138"/>
    <x v="0"/>
    <n v="0"/>
    <n v="0"/>
    <n v="72"/>
    <n v="83"/>
    <n v="0"/>
    <n v="377.01"/>
    <n v="141.32"/>
    <m/>
    <n v="415.67450254064073"/>
    <n v="135.80626150990429"/>
    <n v="0"/>
    <n v="58375.47438"/>
    <n v="21881.706159999998"/>
    <n v="0"/>
    <n v="64362.208624387727"/>
    <n v="21027.969919670559"/>
  </r>
  <r>
    <s v="Sistema de Compensação"/>
    <x v="3"/>
    <x v="3"/>
    <x v="3"/>
    <x v="1"/>
    <x v="0"/>
    <x v="0"/>
    <x v="2"/>
    <x v="9"/>
    <n v="0"/>
    <n v="0"/>
    <n v="15.335000000000001"/>
    <n v="15.335000000000001"/>
    <n v="15.335000000000001"/>
    <n v="15.335000000000001"/>
    <n v="12"/>
    <x v="0"/>
    <n v="0"/>
    <n v="0"/>
    <n v="72"/>
    <n v="83"/>
    <n v="0"/>
    <n v="377.01"/>
    <n v="141.32"/>
    <m/>
    <n v="415.67450254064073"/>
    <n v="135.80626150990429"/>
    <n v="0"/>
    <n v="5781.4483500000006"/>
    <n v="2167.1422000000002"/>
    <n v="0"/>
    <n v="6374.3684964607255"/>
    <n v="2082.5890202543824"/>
  </r>
  <r>
    <s v="Regular"/>
    <x v="3"/>
    <x v="3"/>
    <x v="3"/>
    <x v="1"/>
    <x v="0"/>
    <x v="0"/>
    <x v="2"/>
    <x v="10"/>
    <n v="0"/>
    <n v="0"/>
    <n v="143.267"/>
    <n v="143.267"/>
    <n v="143.267"/>
    <n v="143.267"/>
    <n v="138"/>
    <x v="0"/>
    <n v="0"/>
    <n v="0"/>
    <n v="72"/>
    <n v="83"/>
    <n v="0"/>
    <n v="377.01"/>
    <n v="141.32"/>
    <m/>
    <n v="415.67450254064073"/>
    <n v="135.80626150990429"/>
    <n v="0"/>
    <n v="54013.091669999994"/>
    <n v="20246.492439999998"/>
    <n v="0"/>
    <n v="59552.438955489975"/>
    <n v="19456.555667739456"/>
  </r>
  <r>
    <s v="Sistema de Compensação"/>
    <x v="3"/>
    <x v="3"/>
    <x v="3"/>
    <x v="1"/>
    <x v="0"/>
    <x v="0"/>
    <x v="2"/>
    <x v="10"/>
    <n v="0"/>
    <n v="0"/>
    <n v="17.295000000000002"/>
    <n v="17.295000000000002"/>
    <n v="17.295000000000002"/>
    <n v="17.295000000000002"/>
    <n v="13"/>
    <x v="0"/>
    <n v="0"/>
    <n v="0"/>
    <n v="72"/>
    <n v="83"/>
    <n v="0"/>
    <n v="377.01"/>
    <n v="141.32"/>
    <m/>
    <n v="415.67450254064073"/>
    <n v="135.80626150990429"/>
    <n v="0"/>
    <n v="6520.3879500000003"/>
    <n v="2444.1294000000003"/>
    <n v="0"/>
    <n v="7189.090521440382"/>
    <n v="2348.7692928137949"/>
  </r>
  <r>
    <s v="Regular"/>
    <x v="3"/>
    <x v="3"/>
    <x v="3"/>
    <x v="1"/>
    <x v="0"/>
    <x v="0"/>
    <x v="2"/>
    <x v="11"/>
    <n v="0"/>
    <n v="0"/>
    <n v="160.126"/>
    <n v="160.126"/>
    <n v="160.126"/>
    <n v="160.126"/>
    <n v="137"/>
    <x v="0"/>
    <n v="0"/>
    <n v="0"/>
    <n v="72"/>
    <n v="83"/>
    <n v="0"/>
    <n v="377.01"/>
    <n v="141.32"/>
    <m/>
    <n v="415.67450254064073"/>
    <n v="135.80626150990429"/>
    <n v="0"/>
    <n v="60369.103260000004"/>
    <n v="22629.00632"/>
    <n v="0"/>
    <n v="66560.295393822642"/>
    <n v="21746.113430534933"/>
  </r>
  <r>
    <s v="Sistema de Compensação"/>
    <x v="3"/>
    <x v="3"/>
    <x v="3"/>
    <x v="1"/>
    <x v="0"/>
    <x v="0"/>
    <x v="2"/>
    <x v="11"/>
    <n v="0"/>
    <n v="0"/>
    <n v="12.842000000000001"/>
    <n v="12.842000000000001"/>
    <n v="12.842000000000001"/>
    <n v="12.842000000000001"/>
    <n v="14"/>
    <x v="0"/>
    <n v="0"/>
    <n v="0"/>
    <n v="72"/>
    <n v="83"/>
    <n v="0"/>
    <n v="377.01"/>
    <n v="141.32"/>
    <m/>
    <n v="415.67450254064073"/>
    <n v="135.80626150990429"/>
    <n v="0"/>
    <n v="4841.5624200000002"/>
    <n v="1814.8314399999999"/>
    <n v="0"/>
    <n v="5338.0919616269084"/>
    <n v="1744.024010310191"/>
  </r>
  <r>
    <s v="Sistema de Compensação"/>
    <x v="3"/>
    <x v="3"/>
    <x v="3"/>
    <x v="1"/>
    <x v="0"/>
    <x v="0"/>
    <x v="2"/>
    <x v="11"/>
    <n v="0"/>
    <n v="0"/>
    <n v="-1.802"/>
    <n v="-1.802"/>
    <n v="-1.802"/>
    <n v="-1.802"/>
    <n v="2"/>
    <x v="0"/>
    <n v="0"/>
    <n v="0"/>
    <n v="72"/>
    <n v="83"/>
    <n v="0"/>
    <n v="377.01"/>
    <n v="141.32"/>
    <m/>
    <n v="415.67450254064073"/>
    <n v="135.80626150990429"/>
    <n v="0"/>
    <n v="-679.37202000000002"/>
    <n v="-254.65863999999999"/>
    <n v="0"/>
    <n v="-749.04545357823463"/>
    <n v="-244.72288324084752"/>
  </r>
  <r>
    <s v="Regular"/>
    <x v="3"/>
    <x v="3"/>
    <x v="6"/>
    <x v="1"/>
    <x v="0"/>
    <x v="0"/>
    <x v="2"/>
    <x v="0"/>
    <n v="0"/>
    <n v="0"/>
    <n v="108.654"/>
    <n v="108.654"/>
    <n v="108.654"/>
    <n v="108.654"/>
    <n v="159"/>
    <x v="0"/>
    <n v="0"/>
    <n v="0"/>
    <n v="72"/>
    <n v="83"/>
    <n v="0"/>
    <n v="377.01"/>
    <n v="141.32"/>
    <m/>
    <n v="415.67450254064073"/>
    <n v="135.80626150990429"/>
    <n v="0"/>
    <n v="40963.644540000001"/>
    <n v="15354.983279999999"/>
    <n v="0"/>
    <n v="45164.697399050776"/>
    <n v="14755.89353809714"/>
  </r>
  <r>
    <s v="Regular"/>
    <x v="3"/>
    <x v="3"/>
    <x v="6"/>
    <x v="1"/>
    <x v="0"/>
    <x v="0"/>
    <x v="2"/>
    <x v="1"/>
    <n v="0"/>
    <n v="0"/>
    <n v="105.723"/>
    <n v="105.723"/>
    <n v="105.723"/>
    <n v="105.723"/>
    <n v="162"/>
    <x v="0"/>
    <n v="0"/>
    <n v="0"/>
    <n v="72"/>
    <n v="83"/>
    <n v="0"/>
    <n v="377.01"/>
    <n v="141.32"/>
    <m/>
    <n v="415.67450254064073"/>
    <n v="135.80626150990429"/>
    <n v="0"/>
    <n v="39858.628230000002"/>
    <n v="14940.774359999999"/>
    <n v="0"/>
    <n v="43946.355432104159"/>
    <n v="14357.84538561161"/>
  </r>
  <r>
    <s v="Regular"/>
    <x v="3"/>
    <x v="3"/>
    <x v="6"/>
    <x v="1"/>
    <x v="0"/>
    <x v="0"/>
    <x v="2"/>
    <x v="2"/>
    <n v="0"/>
    <n v="0"/>
    <n v="112.221"/>
    <n v="112.221"/>
    <n v="112.221"/>
    <n v="112.221"/>
    <n v="163"/>
    <x v="0"/>
    <n v="0"/>
    <n v="0"/>
    <n v="72"/>
    <n v="83"/>
    <n v="0"/>
    <n v="377.01"/>
    <n v="141.32"/>
    <m/>
    <n v="415.67450254064073"/>
    <n v="135.80626150990429"/>
    <n v="0"/>
    <n v="42308.439209999997"/>
    <n v="15859.07172"/>
    <n v="0"/>
    <n v="46647.408349613244"/>
    <n v="15240.31447290297"/>
  </r>
  <r>
    <s v="Regular"/>
    <x v="3"/>
    <x v="3"/>
    <x v="6"/>
    <x v="1"/>
    <x v="0"/>
    <x v="0"/>
    <x v="2"/>
    <x v="3"/>
    <n v="0"/>
    <n v="0"/>
    <n v="129.02600000000001"/>
    <n v="129.02600000000001"/>
    <n v="129.02600000000001"/>
    <n v="129.02600000000001"/>
    <n v="160"/>
    <x v="0"/>
    <n v="0"/>
    <n v="0"/>
    <n v="72"/>
    <n v="83"/>
    <n v="0"/>
    <n v="377.01"/>
    <n v="141.32"/>
    <m/>
    <n v="415.67450254064073"/>
    <n v="135.80626150990429"/>
    <n v="0"/>
    <n v="48644.092260000005"/>
    <n v="18233.954320000001"/>
    <n v="0"/>
    <n v="53632.818364808714"/>
    <n v="17522.538697576911"/>
  </r>
  <r>
    <s v="Regular"/>
    <x v="3"/>
    <x v="3"/>
    <x v="6"/>
    <x v="1"/>
    <x v="0"/>
    <x v="0"/>
    <x v="2"/>
    <x v="4"/>
    <n v="0"/>
    <n v="0"/>
    <n v="132.499"/>
    <n v="132.499"/>
    <n v="132.499"/>
    <n v="132.499"/>
    <n v="161"/>
    <x v="0"/>
    <n v="0"/>
    <n v="0"/>
    <n v="72"/>
    <n v="83"/>
    <n v="0"/>
    <n v="377.01"/>
    <n v="141.32"/>
    <m/>
    <n v="415.67450254064073"/>
    <n v="135.80626150990429"/>
    <n v="0"/>
    <n v="49953.447990000001"/>
    <n v="18724.758679999999"/>
    <n v="0"/>
    <n v="55076.455912132355"/>
    <n v="17994.193843800807"/>
  </r>
  <r>
    <s v="Refaturamento - Regular"/>
    <x v="3"/>
    <x v="3"/>
    <x v="6"/>
    <x v="1"/>
    <x v="0"/>
    <x v="0"/>
    <x v="2"/>
    <x v="4"/>
    <n v="0"/>
    <n v="0"/>
    <n v="-2.6269999999999998"/>
    <n v="-2.6269999999999998"/>
    <n v="-2.6269999999999998"/>
    <n v="-2.6269999999999998"/>
    <n v="0"/>
    <x v="0"/>
    <n v="0"/>
    <n v="0"/>
    <n v="72"/>
    <n v="83"/>
    <n v="0"/>
    <n v="377.01"/>
    <n v="141.32"/>
    <m/>
    <n v="415.67450254064073"/>
    <n v="135.80626150990429"/>
    <n v="0"/>
    <n v="-990.40526999999986"/>
    <n v="-371.24763999999993"/>
    <n v="0"/>
    <n v="-1091.9769181742631"/>
    <n v="-356.76304898651853"/>
  </r>
  <r>
    <s v="Regular"/>
    <x v="3"/>
    <x v="3"/>
    <x v="6"/>
    <x v="1"/>
    <x v="0"/>
    <x v="0"/>
    <x v="2"/>
    <x v="5"/>
    <n v="0"/>
    <n v="0"/>
    <n v="155.26900000000001"/>
    <n v="155.26900000000001"/>
    <n v="155.26900000000001"/>
    <n v="155.26900000000001"/>
    <n v="158"/>
    <x v="0"/>
    <n v="0"/>
    <n v="0"/>
    <n v="72"/>
    <n v="83"/>
    <n v="0"/>
    <n v="377.01"/>
    <n v="141.32"/>
    <m/>
    <n v="415.67450254064073"/>
    <n v="135.80626150990429"/>
    <n v="0"/>
    <n v="58537.965689999997"/>
    <n v="21942.61508"/>
    <n v="0"/>
    <n v="64541.364334982747"/>
    <n v="21086.502418381329"/>
  </r>
  <r>
    <s v="Regular"/>
    <x v="3"/>
    <x v="3"/>
    <x v="6"/>
    <x v="1"/>
    <x v="0"/>
    <x v="0"/>
    <x v="2"/>
    <x v="6"/>
    <n v="0"/>
    <n v="0"/>
    <n v="148.22499999999999"/>
    <n v="148.22499999999999"/>
    <n v="148.22499999999999"/>
    <n v="148.22499999999999"/>
    <n v="158"/>
    <x v="0"/>
    <n v="0"/>
    <n v="0"/>
    <n v="72"/>
    <n v="83"/>
    <n v="0"/>
    <n v="377.01"/>
    <n v="141.32"/>
    <m/>
    <n v="415.67450254064073"/>
    <n v="135.80626150990429"/>
    <n v="0"/>
    <n v="55882.307249999998"/>
    <n v="20947.156999999999"/>
    <n v="0"/>
    <n v="61613.353139086466"/>
    <n v="20129.883112305561"/>
  </r>
  <r>
    <s v="Regular"/>
    <x v="3"/>
    <x v="3"/>
    <x v="6"/>
    <x v="1"/>
    <x v="0"/>
    <x v="0"/>
    <x v="2"/>
    <x v="7"/>
    <n v="0"/>
    <n v="0"/>
    <n v="119.629"/>
    <n v="119.629"/>
    <n v="119.629"/>
    <n v="119.629"/>
    <n v="157"/>
    <x v="0"/>
    <n v="0"/>
    <n v="0"/>
    <n v="72"/>
    <n v="83"/>
    <n v="0"/>
    <n v="377.01"/>
    <n v="141.32"/>
    <m/>
    <n v="415.67450254064073"/>
    <n v="135.80626150990429"/>
    <n v="0"/>
    <n v="45101.329290000001"/>
    <n v="16905.970280000001"/>
    <n v="0"/>
    <n v="49726.725064434315"/>
    <n v="16246.36725816834"/>
  </r>
  <r>
    <s v="Regular"/>
    <x v="3"/>
    <x v="3"/>
    <x v="6"/>
    <x v="1"/>
    <x v="0"/>
    <x v="0"/>
    <x v="2"/>
    <x v="8"/>
    <n v="0"/>
    <n v="0"/>
    <n v="115.01900000000001"/>
    <n v="115.01900000000001"/>
    <n v="115.01900000000001"/>
    <n v="115.01900000000001"/>
    <n v="158"/>
    <x v="0"/>
    <n v="0"/>
    <n v="0"/>
    <n v="72"/>
    <n v="83"/>
    <n v="0"/>
    <n v="377.01"/>
    <n v="141.32"/>
    <m/>
    <n v="415.67450254064073"/>
    <n v="135.80626150990429"/>
    <n v="0"/>
    <n v="43363.313190000001"/>
    <n v="16254.48508"/>
    <n v="0"/>
    <n v="47810.465607721955"/>
    <n v="15620.300392607682"/>
  </r>
  <r>
    <s v="Regular"/>
    <x v="3"/>
    <x v="3"/>
    <x v="6"/>
    <x v="1"/>
    <x v="0"/>
    <x v="0"/>
    <x v="2"/>
    <x v="9"/>
    <n v="0"/>
    <n v="0"/>
    <n v="123.349"/>
    <n v="123.349"/>
    <n v="123.349"/>
    <n v="123.349"/>
    <n v="159"/>
    <x v="0"/>
    <n v="0"/>
    <n v="0"/>
    <n v="72"/>
    <n v="83"/>
    <n v="0"/>
    <n v="377.01"/>
    <n v="141.32"/>
    <m/>
    <n v="415.67450254064073"/>
    <n v="135.80626150990429"/>
    <n v="0"/>
    <n v="46503.806490000003"/>
    <n v="17431.680680000001"/>
    <n v="0"/>
    <n v="51273.034213885498"/>
    <n v="16751.566550985186"/>
  </r>
  <r>
    <s v="Regular"/>
    <x v="3"/>
    <x v="3"/>
    <x v="6"/>
    <x v="1"/>
    <x v="0"/>
    <x v="0"/>
    <x v="2"/>
    <x v="10"/>
    <n v="0"/>
    <n v="0"/>
    <n v="111.56"/>
    <n v="111.56"/>
    <n v="111.56"/>
    <n v="111.56"/>
    <n v="159"/>
    <x v="0"/>
    <n v="0"/>
    <n v="0"/>
    <n v="72"/>
    <n v="83"/>
    <n v="0"/>
    <n v="377.01"/>
    <n v="141.32"/>
    <m/>
    <n v="415.67450254064073"/>
    <n v="135.80626150990429"/>
    <n v="0"/>
    <n v="42059.2356"/>
    <n v="15765.6592"/>
    <n v="0"/>
    <n v="46372.64750343388"/>
    <n v="15150.546534044923"/>
  </r>
  <r>
    <s v="Regular"/>
    <x v="3"/>
    <x v="3"/>
    <x v="6"/>
    <x v="1"/>
    <x v="0"/>
    <x v="0"/>
    <x v="2"/>
    <x v="11"/>
    <n v="0"/>
    <n v="0"/>
    <n v="103.979"/>
    <n v="103.979"/>
    <n v="103.979"/>
    <n v="103.979"/>
    <n v="159"/>
    <x v="0"/>
    <n v="0"/>
    <n v="0"/>
    <n v="72"/>
    <n v="83"/>
    <n v="0"/>
    <n v="377.01"/>
    <n v="141.32"/>
    <m/>
    <n v="415.67450254064073"/>
    <n v="135.80626150990429"/>
    <n v="0"/>
    <n v="39201.122790000001"/>
    <n v="14694.312279999998"/>
    <n v="0"/>
    <n v="43221.41909967328"/>
    <n v="14120.999265538338"/>
  </r>
  <r>
    <s v="Regular"/>
    <x v="3"/>
    <x v="3"/>
    <x v="0"/>
    <x v="0"/>
    <x v="0"/>
    <x v="0"/>
    <x v="2"/>
    <x v="0"/>
    <n v="0"/>
    <n v="0"/>
    <n v="47.116"/>
    <n v="44.28904"/>
    <n v="47.116"/>
    <n v="44.28904"/>
    <n v="19"/>
    <x v="0"/>
    <n v="0"/>
    <n v="0"/>
    <n v="72"/>
    <n v="83"/>
    <n v="0"/>
    <n v="377.01"/>
    <n v="141.32"/>
    <m/>
    <n v="415.67450254064073"/>
    <n v="135.80626150990429"/>
    <n v="0"/>
    <n v="16697.4109704"/>
    <n v="6258.9271327999995"/>
    <n v="0"/>
    <n v="18409.824670002537"/>
    <n v="6014.7289482626111"/>
  </r>
  <r>
    <s v="Regular"/>
    <x v="3"/>
    <x v="3"/>
    <x v="0"/>
    <x v="0"/>
    <x v="0"/>
    <x v="0"/>
    <x v="2"/>
    <x v="1"/>
    <n v="0"/>
    <n v="0"/>
    <n v="44.110999999999997"/>
    <n v="41.46434"/>
    <n v="44.110999999999997"/>
    <n v="41.46434"/>
    <n v="19"/>
    <x v="0"/>
    <n v="0"/>
    <n v="0"/>
    <n v="72"/>
    <n v="83"/>
    <n v="0"/>
    <n v="377.01"/>
    <n v="141.32"/>
    <m/>
    <n v="415.67450254064073"/>
    <n v="135.80626150990429"/>
    <n v="0"/>
    <n v="15632.470823399999"/>
    <n v="5859.7405288"/>
    <n v="0"/>
    <n v="17235.668902675992"/>
    <n v="5631.1170013755846"/>
  </r>
  <r>
    <s v="Regular"/>
    <x v="3"/>
    <x v="3"/>
    <x v="0"/>
    <x v="0"/>
    <x v="0"/>
    <x v="0"/>
    <x v="2"/>
    <x v="2"/>
    <n v="0"/>
    <n v="0"/>
    <n v="43.723999999999997"/>
    <n v="41.100560000000002"/>
    <n v="43.723999999999997"/>
    <n v="41.100560000000002"/>
    <n v="19"/>
    <x v="0"/>
    <n v="0"/>
    <n v="0"/>
    <n v="72"/>
    <n v="83"/>
    <n v="0"/>
    <n v="377.01"/>
    <n v="141.32"/>
    <m/>
    <n v="415.67450254064073"/>
    <n v="135.80626150990429"/>
    <n v="0"/>
    <n v="15495.3221256"/>
    <n v="5808.3311391999996"/>
    <n v="0"/>
    <n v="17084.454832141757"/>
    <n v="5581.7133995635122"/>
  </r>
  <r>
    <s v="Regular"/>
    <x v="3"/>
    <x v="3"/>
    <x v="0"/>
    <x v="0"/>
    <x v="0"/>
    <x v="0"/>
    <x v="2"/>
    <x v="3"/>
    <n v="0"/>
    <n v="0"/>
    <n v="46.649000000000001"/>
    <n v="43.850059999999999"/>
    <n v="46.649000000000001"/>
    <n v="43.850059999999999"/>
    <n v="19"/>
    <x v="0"/>
    <n v="0"/>
    <n v="0"/>
    <n v="72"/>
    <n v="83"/>
    <n v="0"/>
    <n v="377.01"/>
    <n v="141.32"/>
    <m/>
    <n v="415.67450254064073"/>
    <n v="135.80626150990429"/>
    <n v="0"/>
    <n v="16531.911120599998"/>
    <n v="6196.8904791999994"/>
    <n v="0"/>
    <n v="18227.351876877248"/>
    <n v="5955.1127155849936"/>
  </r>
  <r>
    <s v="Regular"/>
    <x v="3"/>
    <x v="3"/>
    <x v="0"/>
    <x v="0"/>
    <x v="0"/>
    <x v="0"/>
    <x v="2"/>
    <x v="4"/>
    <n v="0"/>
    <n v="0"/>
    <n v="46.154000000000003"/>
    <n v="43.38476"/>
    <n v="46.154000000000003"/>
    <n v="43.38476"/>
    <n v="19"/>
    <x v="0"/>
    <n v="0"/>
    <n v="0"/>
    <n v="72"/>
    <n v="83"/>
    <n v="0"/>
    <n v="377.01"/>
    <n v="141.32"/>
    <m/>
    <n v="415.67450254064073"/>
    <n v="135.80626150990429"/>
    <n v="0"/>
    <n v="16356.488367599999"/>
    <n v="6131.1342832"/>
    <n v="0"/>
    <n v="18033.938530845087"/>
    <n v="5891.9220621044351"/>
  </r>
  <r>
    <s v="Regular"/>
    <x v="3"/>
    <x v="3"/>
    <x v="0"/>
    <x v="0"/>
    <x v="0"/>
    <x v="0"/>
    <x v="2"/>
    <x v="5"/>
    <n v="0"/>
    <n v="0"/>
    <n v="39.616999999999997"/>
    <n v="37.239980000000003"/>
    <n v="39.616999999999997"/>
    <n v="37.239980000000003"/>
    <n v="19"/>
    <x v="0"/>
    <n v="0"/>
    <n v="0"/>
    <n v="72"/>
    <n v="83"/>
    <n v="0"/>
    <n v="377.01"/>
    <n v="141.32"/>
    <m/>
    <n v="415.67450254064073"/>
    <n v="135.80626150990429"/>
    <n v="0"/>
    <n v="14039.844859800001"/>
    <n v="5262.7539735999999"/>
    <n v="0"/>
    <n v="15479.710161123412"/>
    <n v="5057.4224625036059"/>
  </r>
  <r>
    <s v="Regular"/>
    <x v="3"/>
    <x v="3"/>
    <x v="0"/>
    <x v="0"/>
    <x v="0"/>
    <x v="0"/>
    <x v="2"/>
    <x v="6"/>
    <n v="0"/>
    <n v="0"/>
    <n v="46.433999999999997"/>
    <n v="43.647959999999998"/>
    <n v="46.433999999999997"/>
    <n v="43.647959999999998"/>
    <n v="19"/>
    <x v="0"/>
    <n v="0"/>
    <n v="0"/>
    <n v="72"/>
    <n v="83"/>
    <n v="0"/>
    <n v="377.01"/>
    <n v="141.32"/>
    <m/>
    <n v="415.67450254064073"/>
    <n v="135.80626150990429"/>
    <n v="0"/>
    <n v="16455.717399599998"/>
    <n v="6168.3297071999996"/>
    <n v="0"/>
    <n v="18143.344059913783"/>
    <n v="5927.6662701338419"/>
  </r>
  <r>
    <s v="Regular"/>
    <x v="3"/>
    <x v="3"/>
    <x v="0"/>
    <x v="0"/>
    <x v="0"/>
    <x v="0"/>
    <x v="2"/>
    <x v="7"/>
    <n v="0"/>
    <n v="0"/>
    <n v="55.442"/>
    <n v="52.115479999999998"/>
    <n v="55.442"/>
    <n v="52.115479999999998"/>
    <n v="20"/>
    <x v="0"/>
    <n v="0"/>
    <n v="0"/>
    <n v="72"/>
    <n v="83"/>
    <n v="0"/>
    <n v="377.01"/>
    <n v="141.32"/>
    <m/>
    <n v="415.67450254064073"/>
    <n v="135.80626150990429"/>
    <n v="0"/>
    <n v="19648.057114799998"/>
    <n v="7364.9596335999995"/>
    <n v="0"/>
    <n v="21663.076223666711"/>
    <n v="7077.6085055941867"/>
  </r>
  <r>
    <s v="Regular"/>
    <x v="3"/>
    <x v="3"/>
    <x v="0"/>
    <x v="0"/>
    <x v="0"/>
    <x v="0"/>
    <x v="2"/>
    <x v="8"/>
    <n v="0"/>
    <n v="0"/>
    <n v="43.161999999999999"/>
    <n v="40.572279999999999"/>
    <n v="43.161999999999999"/>
    <n v="40.572279999999999"/>
    <n v="20"/>
    <x v="0"/>
    <n v="0"/>
    <n v="0"/>
    <n v="72"/>
    <n v="83"/>
    <n v="0"/>
    <n v="377.01"/>
    <n v="141.32"/>
    <m/>
    <n v="415.67450254064073"/>
    <n v="135.80626150990429"/>
    <n v="0"/>
    <n v="15296.155282799999"/>
    <n v="5733.6746095999997"/>
    <n v="0"/>
    <n v="16864.862305939587"/>
    <n v="5509.9696677330594"/>
  </r>
  <r>
    <s v="Regular"/>
    <x v="3"/>
    <x v="3"/>
    <x v="0"/>
    <x v="0"/>
    <x v="0"/>
    <x v="0"/>
    <x v="2"/>
    <x v="9"/>
    <n v="0"/>
    <n v="0"/>
    <n v="44.027000000000001"/>
    <n v="41.385379999999998"/>
    <n v="44.027000000000001"/>
    <n v="41.385379999999998"/>
    <n v="20"/>
    <x v="0"/>
    <n v="0"/>
    <n v="0"/>
    <n v="72"/>
    <n v="83"/>
    <n v="0"/>
    <n v="377.01"/>
    <n v="141.32"/>
    <m/>
    <n v="415.67450254064073"/>
    <n v="135.80626150990429"/>
    <n v="0"/>
    <n v="15602.702113799998"/>
    <n v="5848.5819015999996"/>
    <n v="0"/>
    <n v="17202.847243955381"/>
    <n v="5620.3937389667626"/>
  </r>
  <r>
    <s v="Regular"/>
    <x v="3"/>
    <x v="3"/>
    <x v="0"/>
    <x v="0"/>
    <x v="0"/>
    <x v="0"/>
    <x v="2"/>
    <x v="10"/>
    <n v="0"/>
    <n v="0"/>
    <n v="49.674999999999997"/>
    <n v="46.694499999999998"/>
    <n v="49.674999999999997"/>
    <n v="46.694499999999998"/>
    <n v="20"/>
    <x v="0"/>
    <n v="0"/>
    <n v="0"/>
    <n v="72"/>
    <n v="83"/>
    <n v="0"/>
    <n v="377.01"/>
    <n v="141.32"/>
    <m/>
    <n v="415.67450254064073"/>
    <n v="135.80626150990429"/>
    <n v="0"/>
    <n v="17604.293444999999"/>
    <n v="6598.8667399999995"/>
    <n v="0"/>
    <n v="19409.713058883946"/>
    <n v="6341.4054780742254"/>
  </r>
  <r>
    <s v="Regular"/>
    <x v="3"/>
    <x v="3"/>
    <x v="0"/>
    <x v="0"/>
    <x v="0"/>
    <x v="0"/>
    <x v="2"/>
    <x v="11"/>
    <n v="0"/>
    <n v="0"/>
    <n v="48.137999999999998"/>
    <n v="45.249720000000003"/>
    <n v="48.137999999999998"/>
    <n v="45.249720000000003"/>
    <n v="20"/>
    <x v="0"/>
    <n v="0"/>
    <n v="0"/>
    <n v="72"/>
    <n v="83"/>
    <n v="0"/>
    <n v="377.01"/>
    <n v="141.32"/>
    <m/>
    <n v="415.67450254064073"/>
    <n v="135.80626150990429"/>
    <n v="0"/>
    <n v="17059.5969372"/>
    <n v="6394.6904304"/>
    <n v="0"/>
    <n v="18809.154851103282"/>
    <n v="6145.1953075699466"/>
  </r>
  <r>
    <s v="Regular"/>
    <x v="4"/>
    <x v="3"/>
    <x v="7"/>
    <x v="9"/>
    <x v="0"/>
    <x v="0"/>
    <x v="2"/>
    <x v="0"/>
    <n v="0"/>
    <n v="0"/>
    <n v="76.06"/>
    <n v="76.06"/>
    <n v="76.06"/>
    <n v="76.06"/>
    <n v="7"/>
    <x v="0"/>
    <n v="0"/>
    <n v="0"/>
    <n v="38"/>
    <n v="77"/>
    <n v="0"/>
    <n v="207.36"/>
    <n v="77.73"/>
    <m/>
    <n v="228.62097639735242"/>
    <n v="74.693443830447364"/>
    <n v="0"/>
    <n v="15771.801600000001"/>
    <n v="5912.1438000000007"/>
    <n v="0"/>
    <n v="17388.911464782625"/>
    <n v="5681.183337743827"/>
  </r>
  <r>
    <s v="Regular"/>
    <x v="4"/>
    <x v="3"/>
    <x v="7"/>
    <x v="9"/>
    <x v="0"/>
    <x v="0"/>
    <x v="2"/>
    <x v="1"/>
    <n v="0"/>
    <n v="0"/>
    <n v="78.504999999999995"/>
    <n v="78.504999999999995"/>
    <n v="78.504999999999995"/>
    <n v="78.504999999999995"/>
    <n v="7"/>
    <x v="0"/>
    <n v="0"/>
    <n v="0"/>
    <n v="38"/>
    <n v="77"/>
    <n v="0"/>
    <n v="207.36"/>
    <n v="77.73"/>
    <m/>
    <n v="228.62097639735242"/>
    <n v="74.693443830447364"/>
    <n v="0"/>
    <n v="16278.7968"/>
    <n v="6102.1936500000002"/>
    <n v="0"/>
    <n v="17947.889752074152"/>
    <n v="5863.8088079092704"/>
  </r>
  <r>
    <s v="Regular"/>
    <x v="4"/>
    <x v="3"/>
    <x v="7"/>
    <x v="9"/>
    <x v="0"/>
    <x v="0"/>
    <x v="2"/>
    <x v="2"/>
    <n v="0"/>
    <n v="0"/>
    <n v="76.010999999999996"/>
    <n v="76.010999999999996"/>
    <n v="76.010999999999996"/>
    <n v="76.010999999999996"/>
    <n v="7"/>
    <x v="0"/>
    <n v="0"/>
    <n v="0"/>
    <n v="38"/>
    <n v="77"/>
    <n v="0"/>
    <n v="207.36"/>
    <n v="77.73"/>
    <m/>
    <n v="228.62097639735242"/>
    <n v="74.693443830447364"/>
    <n v="0"/>
    <n v="15761.640960000001"/>
    <n v="5908.3350300000002"/>
    <n v="0"/>
    <n v="17377.709036939155"/>
    <n v="5677.5233589961344"/>
  </r>
  <r>
    <s v="Regular"/>
    <x v="4"/>
    <x v="3"/>
    <x v="7"/>
    <x v="9"/>
    <x v="0"/>
    <x v="0"/>
    <x v="2"/>
    <x v="3"/>
    <n v="0"/>
    <n v="0"/>
    <n v="78.085999999999999"/>
    <n v="78.085999999999999"/>
    <n v="78.085999999999999"/>
    <n v="78.085999999999999"/>
    <n v="7"/>
    <x v="0"/>
    <n v="0"/>
    <n v="0"/>
    <n v="38"/>
    <n v="77"/>
    <n v="0"/>
    <n v="207.36"/>
    <n v="77.73"/>
    <m/>
    <n v="228.62097639735242"/>
    <n v="74.693443830447364"/>
    <n v="0"/>
    <n v="16191.912960000001"/>
    <n v="6069.6247800000001"/>
    <n v="0"/>
    <n v="17852.09756296366"/>
    <n v="5832.5122549443131"/>
  </r>
  <r>
    <s v="Regular"/>
    <x v="4"/>
    <x v="3"/>
    <x v="7"/>
    <x v="9"/>
    <x v="0"/>
    <x v="0"/>
    <x v="2"/>
    <x v="4"/>
    <n v="0"/>
    <n v="0"/>
    <n v="77.98"/>
    <n v="77.98"/>
    <n v="77.98"/>
    <n v="77.98"/>
    <n v="7"/>
    <x v="0"/>
    <n v="0"/>
    <n v="0"/>
    <n v="38"/>
    <n v="77"/>
    <n v="0"/>
    <n v="207.36"/>
    <n v="77.73"/>
    <m/>
    <n v="228.62097639735242"/>
    <n v="74.693443830447364"/>
    <n v="0"/>
    <n v="16169.932800000002"/>
    <n v="6061.385400000001"/>
    <n v="0"/>
    <n v="17827.863739465542"/>
    <n v="5824.594749898286"/>
  </r>
  <r>
    <s v="Regular"/>
    <x v="4"/>
    <x v="3"/>
    <x v="7"/>
    <x v="9"/>
    <x v="0"/>
    <x v="0"/>
    <x v="2"/>
    <x v="5"/>
    <n v="0"/>
    <n v="0"/>
    <n v="71.025000000000006"/>
    <n v="71.025000000000006"/>
    <n v="71.025000000000006"/>
    <n v="71.025000000000006"/>
    <n v="7"/>
    <x v="0"/>
    <n v="0"/>
    <n v="0"/>
    <n v="38"/>
    <n v="77"/>
    <n v="0"/>
    <n v="207.36"/>
    <n v="77.73"/>
    <m/>
    <n v="228.62097639735242"/>
    <n v="74.693443830447364"/>
    <n v="0"/>
    <n v="14727.744000000002"/>
    <n v="5520.7732500000011"/>
    <n v="0"/>
    <n v="16237.804848621958"/>
    <n v="5305.1018480575249"/>
  </r>
  <r>
    <s v="Regular"/>
    <x v="4"/>
    <x v="3"/>
    <x v="7"/>
    <x v="9"/>
    <x v="0"/>
    <x v="0"/>
    <x v="2"/>
    <x v="6"/>
    <n v="0"/>
    <n v="0"/>
    <n v="78.382000000000005"/>
    <n v="78.382000000000005"/>
    <n v="78.382000000000005"/>
    <n v="78.382000000000005"/>
    <n v="7"/>
    <x v="0"/>
    <n v="0"/>
    <n v="0"/>
    <n v="38"/>
    <n v="77"/>
    <n v="0"/>
    <n v="207.36"/>
    <n v="77.73"/>
    <m/>
    <n v="228.62097639735242"/>
    <n v="74.693443830447364"/>
    <n v="0"/>
    <n v="16253.291520000002"/>
    <n v="6092.6328600000006"/>
    <n v="0"/>
    <n v="17919.76937197728"/>
    <n v="5854.6215143181253"/>
  </r>
  <r>
    <s v="Regular"/>
    <x v="4"/>
    <x v="3"/>
    <x v="7"/>
    <x v="9"/>
    <x v="0"/>
    <x v="0"/>
    <x v="2"/>
    <x v="7"/>
    <n v="0"/>
    <n v="0"/>
    <n v="75.691000000000003"/>
    <n v="75.691000000000003"/>
    <n v="75.691000000000003"/>
    <n v="75.691000000000003"/>
    <n v="7"/>
    <x v="0"/>
    <n v="0"/>
    <n v="0"/>
    <n v="38"/>
    <n v="77"/>
    <n v="0"/>
    <n v="207.36"/>
    <n v="77.73"/>
    <m/>
    <n v="228.62097639735242"/>
    <n v="74.693443830447364"/>
    <n v="0"/>
    <n v="15695.285760000001"/>
    <n v="5883.4614300000003"/>
    <n v="0"/>
    <n v="17304.550324492004"/>
    <n v="5653.6214569703916"/>
  </r>
  <r>
    <s v="Regular"/>
    <x v="4"/>
    <x v="3"/>
    <x v="7"/>
    <x v="9"/>
    <x v="0"/>
    <x v="0"/>
    <x v="2"/>
    <x v="8"/>
    <n v="0"/>
    <n v="0"/>
    <n v="78.97"/>
    <n v="78.97"/>
    <n v="78.97"/>
    <n v="78.97"/>
    <n v="7"/>
    <x v="0"/>
    <n v="0"/>
    <n v="0"/>
    <n v="38"/>
    <n v="77"/>
    <n v="0"/>
    <n v="207.36"/>
    <n v="77.73"/>
    <m/>
    <n v="228.62097639735242"/>
    <n v="74.693443830447364"/>
    <n v="0"/>
    <n v="16375.219200000001"/>
    <n v="6138.3380999999999"/>
    <n v="0"/>
    <n v="18054.198506098921"/>
    <n v="5898.5412592904286"/>
  </r>
  <r>
    <s v="Regular"/>
    <x v="4"/>
    <x v="3"/>
    <x v="7"/>
    <x v="9"/>
    <x v="0"/>
    <x v="0"/>
    <x v="2"/>
    <x v="9"/>
    <n v="0"/>
    <n v="0"/>
    <n v="78.191999999999993"/>
    <n v="78.191999999999993"/>
    <n v="78.191999999999993"/>
    <n v="78.191999999999993"/>
    <n v="7"/>
    <x v="0"/>
    <n v="0"/>
    <n v="0"/>
    <n v="38"/>
    <n v="77"/>
    <n v="0"/>
    <n v="207.36"/>
    <n v="77.73"/>
    <m/>
    <n v="228.62097639735242"/>
    <n v="74.693443830447364"/>
    <n v="0"/>
    <n v="16213.893119999999"/>
    <n v="6077.8641600000001"/>
    <n v="0"/>
    <n v="17876.331386461778"/>
    <n v="5840.4297599903402"/>
  </r>
  <r>
    <s v="Regular"/>
    <x v="4"/>
    <x v="3"/>
    <x v="7"/>
    <x v="9"/>
    <x v="0"/>
    <x v="0"/>
    <x v="2"/>
    <x v="10"/>
    <n v="0"/>
    <n v="0"/>
    <n v="80.864000000000004"/>
    <n v="80.864000000000004"/>
    <n v="80.864000000000004"/>
    <n v="80.864000000000004"/>
    <n v="7"/>
    <x v="0"/>
    <n v="0"/>
    <n v="0"/>
    <n v="38"/>
    <n v="77"/>
    <n v="0"/>
    <n v="207.36"/>
    <n v="77.73"/>
    <m/>
    <n v="228.62097639735242"/>
    <n v="74.693443830447364"/>
    <n v="0"/>
    <n v="16767.959040000002"/>
    <n v="6285.5587200000009"/>
    <n v="0"/>
    <n v="18487.206635395509"/>
    <n v="6040.0106419052963"/>
  </r>
  <r>
    <s v="Regular"/>
    <x v="4"/>
    <x v="3"/>
    <x v="7"/>
    <x v="9"/>
    <x v="0"/>
    <x v="0"/>
    <x v="2"/>
    <x v="11"/>
    <n v="0"/>
    <n v="0"/>
    <n v="80.777000000000001"/>
    <n v="80.777000000000001"/>
    <n v="80.777000000000001"/>
    <n v="80.777000000000001"/>
    <n v="7"/>
    <x v="0"/>
    <n v="0"/>
    <n v="0"/>
    <n v="38"/>
    <n v="77"/>
    <n v="0"/>
    <n v="207.36"/>
    <n v="77.73"/>
    <m/>
    <n v="228.62097639735242"/>
    <n v="74.693443830447364"/>
    <n v="0"/>
    <n v="16749.918720000001"/>
    <n v="6278.7962100000004"/>
    <n v="0"/>
    <n v="18467.316610448936"/>
    <n v="6033.512312292046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6">
  <r>
    <s v="Regular"/>
    <x v="0"/>
    <x v="0"/>
    <x v="0"/>
    <x v="0"/>
    <x v="0"/>
    <x v="0"/>
    <x v="0"/>
    <x v="0"/>
    <n v="497"/>
    <n v="422.45"/>
    <n v="245.80799999999999"/>
    <n v="231.05951999999999"/>
    <n v="245.80799999999999"/>
    <n v="231.05951999999999"/>
    <n v="0"/>
    <s v="CATIVO"/>
    <n v="0"/>
    <n v="12"/>
    <n v="1"/>
    <n v="51"/>
    <n v="25.66"/>
    <n v="66.22"/>
    <n v="141.32"/>
    <n v="25.189608465764316"/>
    <n v="99.847749713611876"/>
    <n v="135.80626150990429"/>
    <n v="1912.9530000000002"/>
    <n v="3060.8995392000002"/>
    <n v="1877.8853111227299"/>
    <n v="3475.5384714498036"/>
    <x v="0"/>
  </r>
  <r>
    <s v="Regular"/>
    <x v="0"/>
    <x v="0"/>
    <x v="0"/>
    <x v="0"/>
    <x v="0"/>
    <x v="0"/>
    <x v="0"/>
    <x v="1"/>
    <n v="503"/>
    <n v="427.55"/>
    <n v="232.422"/>
    <n v="218.47667999999999"/>
    <n v="232.422"/>
    <n v="218.47667999999999"/>
    <n v="0"/>
    <s v="CATIVO"/>
    <n v="0"/>
    <n v="12"/>
    <n v="1"/>
    <n v="51"/>
    <n v="25.66"/>
    <n v="66.22"/>
    <n v="141.32"/>
    <n v="25.189608465764316"/>
    <n v="99.847749713611876"/>
    <n v="135.80626150990429"/>
    <n v="1936.0469999999998"/>
    <n v="2894.2117128000018"/>
    <n v="1900.5559587419173"/>
    <n v="3286.2705957955268"/>
    <x v="0"/>
  </r>
  <r>
    <s v="Regular"/>
    <x v="0"/>
    <x v="0"/>
    <x v="0"/>
    <x v="0"/>
    <x v="0"/>
    <x v="0"/>
    <x v="0"/>
    <x v="2"/>
    <n v="485"/>
    <n v="412.25"/>
    <n v="199.46799999999999"/>
    <n v="187.49992"/>
    <n v="199.46799999999999"/>
    <n v="187.49992"/>
    <n v="0"/>
    <s v="CATIVO"/>
    <n v="0"/>
    <n v="12"/>
    <n v="1"/>
    <n v="51"/>
    <n v="25.66"/>
    <n v="66.22"/>
    <n v="141.32"/>
    <n v="25.189608465764316"/>
    <n v="99.847749713611876"/>
    <n v="135.80626150990429"/>
    <n v="1866.7650000000001"/>
    <n v="2483.8553231999967"/>
    <n v="1832.5440158843539"/>
    <n v="2820.3260586439364"/>
    <x v="0"/>
  </r>
  <r>
    <s v="Regular"/>
    <x v="0"/>
    <x v="0"/>
    <x v="0"/>
    <x v="0"/>
    <x v="0"/>
    <x v="0"/>
    <x v="0"/>
    <x v="3"/>
    <n v="473"/>
    <n v="402.05"/>
    <n v="209.739"/>
    <n v="197.15466000000001"/>
    <n v="209.739"/>
    <n v="197.15466000000001"/>
    <n v="0"/>
    <s v="CATIVO"/>
    <n v="0"/>
    <n v="12"/>
    <n v="1"/>
    <n v="51"/>
    <n v="25.66"/>
    <n v="66.22"/>
    <n v="141.32"/>
    <n v="25.189608465764316"/>
    <n v="99.847749713611876"/>
    <n v="135.80626150990429"/>
    <n v="1820.5769999999998"/>
    <n v="2611.7539235999993"/>
    <n v="1787.2027206459779"/>
    <n v="2965.5501996005428"/>
    <x v="0"/>
  </r>
  <r>
    <s v="Regular"/>
    <x v="0"/>
    <x v="0"/>
    <x v="0"/>
    <x v="0"/>
    <x v="0"/>
    <x v="0"/>
    <x v="0"/>
    <x v="4"/>
    <n v="476"/>
    <n v="404.59999999999997"/>
    <n v="186.745"/>
    <n v="175.5403"/>
    <n v="186.745"/>
    <n v="175.5403"/>
    <n v="0"/>
    <s v="CATIVO"/>
    <n v="0"/>
    <n v="12"/>
    <n v="1"/>
    <n v="51"/>
    <n v="25.66"/>
    <n v="66.22"/>
    <n v="141.32"/>
    <n v="25.189608465764316"/>
    <n v="99.847749713611876"/>
    <n v="135.80626150990429"/>
    <n v="1832.1240000000009"/>
    <n v="2325.4234380000003"/>
    <n v="1798.5380444555731"/>
    <n v="2640.4324995561324"/>
    <x v="0"/>
  </r>
  <r>
    <s v="Regular"/>
    <x v="0"/>
    <x v="0"/>
    <x v="0"/>
    <x v="0"/>
    <x v="0"/>
    <x v="0"/>
    <x v="0"/>
    <x v="5"/>
    <n v="473"/>
    <n v="402.05"/>
    <n v="175.04400000000001"/>
    <n v="164.54136"/>
    <n v="175.04400000000001"/>
    <n v="164.54136"/>
    <n v="0"/>
    <s v="CATIVO"/>
    <n v="0"/>
    <n v="12"/>
    <n v="1"/>
    <n v="51"/>
    <n v="25.66"/>
    <n v="66.22"/>
    <n v="141.32"/>
    <n v="25.189608465764316"/>
    <n v="99.847749713611876"/>
    <n v="135.80626150990429"/>
    <n v="1820.5769999999998"/>
    <n v="2179.7179056000027"/>
    <n v="1787.2027206459779"/>
    <n v="2474.9892444365532"/>
    <x v="0"/>
  </r>
  <r>
    <s v="Regular"/>
    <x v="0"/>
    <x v="0"/>
    <x v="0"/>
    <x v="0"/>
    <x v="0"/>
    <x v="0"/>
    <x v="0"/>
    <x v="6"/>
    <n v="476"/>
    <n v="404.59999999999997"/>
    <n v="190.74100000000001"/>
    <n v="179.29653999999999"/>
    <n v="190.74100000000001"/>
    <n v="179.29653999999999"/>
    <n v="0"/>
    <s v="CATIVO"/>
    <n v="0"/>
    <n v="12"/>
    <n v="1"/>
    <n v="51"/>
    <n v="25.66"/>
    <n v="66.22"/>
    <n v="141.32"/>
    <n v="25.189608465764316"/>
    <n v="99.847749713611876"/>
    <n v="135.80626150990429"/>
    <n v="1832.1240000000009"/>
    <n v="2375.1832284000043"/>
    <n v="1798.5380444555731"/>
    <n v="2696.9329052870871"/>
    <x v="0"/>
  </r>
  <r>
    <s v="Regular"/>
    <x v="0"/>
    <x v="0"/>
    <x v="0"/>
    <x v="0"/>
    <x v="0"/>
    <x v="0"/>
    <x v="0"/>
    <x v="7"/>
    <n v="482"/>
    <n v="409.7"/>
    <n v="194.71899999999999"/>
    <n v="183.03586000000001"/>
    <n v="194.71899999999999"/>
    <n v="183.03586000000001"/>
    <n v="0"/>
    <s v="CATIVO"/>
    <n v="0"/>
    <n v="12"/>
    <n v="1"/>
    <n v="51"/>
    <n v="25.66"/>
    <n v="66.22"/>
    <n v="141.32"/>
    <n v="25.189608465764316"/>
    <n v="99.847749713611876"/>
    <n v="135.80626150990429"/>
    <n v="1855.2180000000003"/>
    <n v="2424.718875599996"/>
    <n v="1821.2086920747604"/>
    <n v="2753.178804685906"/>
    <x v="0"/>
  </r>
  <r>
    <s v="Regular"/>
    <x v="0"/>
    <x v="0"/>
    <x v="0"/>
    <x v="0"/>
    <x v="0"/>
    <x v="0"/>
    <x v="0"/>
    <x v="8"/>
    <n v="485"/>
    <n v="412.25"/>
    <n v="242.363"/>
    <n v="227.82122000000001"/>
    <n v="242.363"/>
    <n v="227.82122000000001"/>
    <n v="0"/>
    <s v="CATIVO"/>
    <n v="0"/>
    <n v="12"/>
    <n v="1"/>
    <n v="51"/>
    <n v="25.66"/>
    <n v="66.22"/>
    <n v="141.32"/>
    <n v="25.189608465764316"/>
    <n v="99.847749713611876"/>
    <n v="135.80626150990429"/>
    <n v="1866.7650000000001"/>
    <n v="3018.0010211999979"/>
    <n v="1832.5440158843539"/>
    <n v="3426.8287873299005"/>
    <x v="0"/>
  </r>
  <r>
    <s v="Regular"/>
    <x v="0"/>
    <x v="0"/>
    <x v="0"/>
    <x v="0"/>
    <x v="0"/>
    <x v="0"/>
    <x v="0"/>
    <x v="9"/>
    <n v="487"/>
    <n v="413.95"/>
    <n v="249.66399999999999"/>
    <n v="234.68415999999999"/>
    <n v="249.66399999999999"/>
    <n v="234.68415999999999"/>
    <n v="0"/>
    <s v="CATIVO"/>
    <n v="0"/>
    <n v="12"/>
    <n v="1"/>
    <n v="51"/>
    <n v="25.66"/>
    <n v="66.22"/>
    <n v="141.32"/>
    <n v="25.189608465764316"/>
    <n v="99.847749713611876"/>
    <n v="135.80626150990429"/>
    <n v="1874.4630000000002"/>
    <n v="3108.9159935999992"/>
    <n v="1840.1008984240837"/>
    <n v="3530.0593834864753"/>
    <x v="0"/>
  </r>
  <r>
    <s v="Regular"/>
    <x v="0"/>
    <x v="0"/>
    <x v="0"/>
    <x v="0"/>
    <x v="0"/>
    <x v="0"/>
    <x v="0"/>
    <x v="10"/>
    <n v="483"/>
    <n v="410.55"/>
    <n v="241.64599999999999"/>
    <n v="227.14724000000001"/>
    <n v="241.64599999999999"/>
    <n v="227.14724000000001"/>
    <n v="0"/>
    <s v="CATIVO"/>
    <n v="0"/>
    <n v="12"/>
    <n v="1"/>
    <n v="51"/>
    <n v="25.66"/>
    <n v="66.22"/>
    <n v="141.32"/>
    <n v="25.189608465764316"/>
    <n v="99.847749713611876"/>
    <n v="135.80626150990429"/>
    <n v="1859.0669999999998"/>
    <n v="3009.0726503999949"/>
    <n v="1824.9871333446245"/>
    <n v="3416.6909517670615"/>
    <x v="0"/>
  </r>
  <r>
    <s v="Regular"/>
    <x v="0"/>
    <x v="0"/>
    <x v="0"/>
    <x v="0"/>
    <x v="0"/>
    <x v="0"/>
    <x v="0"/>
    <x v="11"/>
    <n v="490"/>
    <n v="416.5"/>
    <n v="204.32599999999999"/>
    <n v="192.06644"/>
    <n v="204.32599999999999"/>
    <n v="192.06644"/>
    <n v="0"/>
    <s v="CATIVO"/>
    <n v="0"/>
    <n v="12"/>
    <n v="1"/>
    <n v="51"/>
    <n v="25.66"/>
    <n v="66.22"/>
    <n v="141.32"/>
    <n v="25.189608465764316"/>
    <n v="99.847749713611876"/>
    <n v="135.80626150990429"/>
    <n v="1886.01"/>
    <n v="2544.3490823999987"/>
    <n v="1851.4362222336772"/>
    <n v="2889.0144898353683"/>
    <x v="0"/>
  </r>
  <r>
    <s v="Regular"/>
    <x v="0"/>
    <x v="0"/>
    <x v="0"/>
    <x v="0"/>
    <x v="0"/>
    <x v="0"/>
    <x v="1"/>
    <x v="0"/>
    <n v="492"/>
    <n v="418.2"/>
    <n v="24.686"/>
    <n v="23.204840000000001"/>
    <n v="24.686"/>
    <n v="23.204840000000001"/>
    <n v="0"/>
    <s v="CATIVO"/>
    <n v="0"/>
    <n v="10"/>
    <n v="1"/>
    <n v="44"/>
    <n v="77.17"/>
    <n v="66.22"/>
    <n v="141.32"/>
    <n v="76.156132598985039"/>
    <n v="99.847749713611876"/>
    <n v="135.80626150990429"/>
    <n v="5695.1460000000006"/>
    <n v="307.39994639999981"/>
    <n v="5620.3225858050964"/>
    <n v="349.04129526382303"/>
    <x v="0"/>
  </r>
  <r>
    <s v="Regular"/>
    <x v="0"/>
    <x v="0"/>
    <x v="0"/>
    <x v="0"/>
    <x v="0"/>
    <x v="0"/>
    <x v="1"/>
    <x v="1"/>
    <n v="503"/>
    <n v="427.55"/>
    <n v="22.405000000000001"/>
    <n v="21.060700000000001"/>
    <n v="22.405000000000001"/>
    <n v="21.060700000000001"/>
    <n v="0"/>
    <s v="CATIVO"/>
    <n v="0"/>
    <n v="10"/>
    <n v="1"/>
    <n v="44"/>
    <n v="77.17"/>
    <n v="66.22"/>
    <n v="141.32"/>
    <n v="76.156132598985039"/>
    <n v="99.847749713611876"/>
    <n v="135.80626150990429"/>
    <n v="5822.4764999999989"/>
    <n v="278.9960220000001"/>
    <n v="5745.9802045934202"/>
    <n v="316.78968728777289"/>
    <x v="0"/>
  </r>
  <r>
    <s v="Regular"/>
    <x v="0"/>
    <x v="0"/>
    <x v="0"/>
    <x v="0"/>
    <x v="0"/>
    <x v="0"/>
    <x v="1"/>
    <x v="2"/>
    <n v="485"/>
    <n v="412.25"/>
    <n v="18.599"/>
    <n v="17.483059999999998"/>
    <n v="18.599"/>
    <n v="17.483059999999998"/>
    <n v="0"/>
    <s v="CATIVO"/>
    <n v="0"/>
    <n v="10"/>
    <n v="1"/>
    <n v="44"/>
    <n v="77.17"/>
    <n v="66.22"/>
    <n v="141.32"/>
    <n v="76.156132598985039"/>
    <n v="99.847749713611876"/>
    <n v="135.80626150990429"/>
    <n v="5614.1175000000003"/>
    <n v="231.60218760000041"/>
    <n v="5540.3586465761618"/>
    <n v="262.97573728477107"/>
    <x v="0"/>
  </r>
  <r>
    <s v="Regular"/>
    <x v="0"/>
    <x v="0"/>
    <x v="0"/>
    <x v="0"/>
    <x v="0"/>
    <x v="0"/>
    <x v="1"/>
    <x v="3"/>
    <n v="473"/>
    <n v="402.05"/>
    <n v="21.518000000000001"/>
    <n v="20.22692"/>
    <n v="21.518000000000001"/>
    <n v="20.22692"/>
    <n v="0"/>
    <s v="CATIVO"/>
    <n v="0"/>
    <n v="10"/>
    <n v="1"/>
    <n v="44"/>
    <n v="77.17"/>
    <n v="66.22"/>
    <n v="141.32"/>
    <n v="76.156132598985039"/>
    <n v="99.847749713611876"/>
    <n v="135.80626150990429"/>
    <n v="5475.2114999999994"/>
    <n v="267.9507432000002"/>
    <n v="5403.2776078979878"/>
    <n v="304.24818081045748"/>
    <x v="0"/>
  </r>
  <r>
    <s v="Regular"/>
    <x v="0"/>
    <x v="0"/>
    <x v="0"/>
    <x v="0"/>
    <x v="0"/>
    <x v="0"/>
    <x v="1"/>
    <x v="4"/>
    <n v="473"/>
    <n v="402.05"/>
    <n v="17.815000000000001"/>
    <n v="16.746099999999998"/>
    <n v="17.815000000000001"/>
    <n v="16.746099999999998"/>
    <n v="0"/>
    <s v="CATIVO"/>
    <n v="0"/>
    <n v="10"/>
    <n v="1"/>
    <n v="44"/>
    <n v="77.17"/>
    <n v="66.22"/>
    <n v="141.32"/>
    <n v="76.156132598985039"/>
    <n v="99.847749713611876"/>
    <n v="135.80626150990429"/>
    <n v="5475.2114999999994"/>
    <n v="221.8395060000006"/>
    <n v="5403.2776078979878"/>
    <n v="251.89057259681709"/>
    <x v="0"/>
  </r>
  <r>
    <s v="Regular"/>
    <x v="0"/>
    <x v="0"/>
    <x v="0"/>
    <x v="0"/>
    <x v="0"/>
    <x v="0"/>
    <x v="1"/>
    <x v="5"/>
    <n v="473"/>
    <n v="402.05"/>
    <n v="17.861999999999998"/>
    <n v="16.790279999999999"/>
    <n v="17.861999999999998"/>
    <n v="16.790279999999999"/>
    <n v="0"/>
    <s v="CATIVO"/>
    <n v="0"/>
    <n v="10"/>
    <n v="1"/>
    <n v="44"/>
    <n v="77.17"/>
    <n v="66.22"/>
    <n v="141.32"/>
    <n v="76.156132598985039"/>
    <n v="99.847749713611876"/>
    <n v="135.80626150990429"/>
    <n v="5475.2114999999994"/>
    <n v="222.42476879999981"/>
    <n v="5403.2776078979878"/>
    <n v="252.55511690846654"/>
    <x v="0"/>
  </r>
  <r>
    <s v="Regular"/>
    <x v="0"/>
    <x v="0"/>
    <x v="0"/>
    <x v="0"/>
    <x v="0"/>
    <x v="0"/>
    <x v="1"/>
    <x v="6"/>
    <n v="473"/>
    <n v="402.05"/>
    <n v="18.792000000000002"/>
    <n v="17.664480000000001"/>
    <n v="18.792000000000002"/>
    <n v="17.664480000000001"/>
    <n v="0"/>
    <s v="CATIVO"/>
    <n v="0"/>
    <n v="10"/>
    <n v="1"/>
    <n v="44"/>
    <n v="77.17"/>
    <n v="66.22"/>
    <n v="141.32"/>
    <n v="76.156132598985039"/>
    <n v="99.847749713611876"/>
    <n v="135.80626150990429"/>
    <n v="5475.2114999999994"/>
    <n v="234.00550080000011"/>
    <n v="5403.2776078979878"/>
    <n v="265.70461073473905"/>
    <x v="0"/>
  </r>
  <r>
    <s v="Regular"/>
    <x v="0"/>
    <x v="0"/>
    <x v="0"/>
    <x v="0"/>
    <x v="0"/>
    <x v="0"/>
    <x v="1"/>
    <x v="7"/>
    <n v="481"/>
    <n v="408.84999999999997"/>
    <n v="17.777000000000001"/>
    <n v="16.710380000000001"/>
    <n v="17.777000000000001"/>
    <n v="16.710380000000001"/>
    <n v="0"/>
    <s v="CATIVO"/>
    <n v="0"/>
    <n v="10"/>
    <n v="1"/>
    <n v="44"/>
    <n v="77.17"/>
    <n v="66.22"/>
    <n v="141.32"/>
    <n v="76.156132598985039"/>
    <n v="99.847749713611876"/>
    <n v="135.80626150990429"/>
    <n v="5567.8155000000024"/>
    <n v="221.36631480000008"/>
    <n v="5494.6649670167735"/>
    <n v="251.35328145122688"/>
    <x v="0"/>
  </r>
  <r>
    <s v="Regular"/>
    <x v="0"/>
    <x v="0"/>
    <x v="0"/>
    <x v="0"/>
    <x v="0"/>
    <x v="0"/>
    <x v="1"/>
    <x v="8"/>
    <n v="485"/>
    <n v="412.25"/>
    <n v="26.413"/>
    <n v="24.828220000000002"/>
    <n v="26.413"/>
    <n v="24.828220000000002"/>
    <n v="0"/>
    <s v="CATIVO"/>
    <n v="0"/>
    <n v="10"/>
    <n v="1"/>
    <n v="44"/>
    <n v="77.17"/>
    <n v="66.22"/>
    <n v="141.32"/>
    <n v="76.156132598985039"/>
    <n v="99.847749713611876"/>
    <n v="135.80626150990429"/>
    <n v="5614.1175000000003"/>
    <n v="328.90524119999969"/>
    <n v="5540.3586465761618"/>
    <n v="373.45976390680357"/>
    <x v="0"/>
  </r>
  <r>
    <s v="Regular"/>
    <x v="0"/>
    <x v="0"/>
    <x v="0"/>
    <x v="0"/>
    <x v="0"/>
    <x v="0"/>
    <x v="1"/>
    <x v="9"/>
    <n v="483"/>
    <n v="410.55"/>
    <n v="27.216000000000001"/>
    <n v="25.58304"/>
    <n v="27.216000000000001"/>
    <n v="25.58304"/>
    <n v="0"/>
    <s v="CATIVO"/>
    <n v="0"/>
    <n v="10"/>
    <n v="1"/>
    <n v="44"/>
    <n v="77.17"/>
    <n v="66.22"/>
    <n v="141.32"/>
    <n v="76.156132598985039"/>
    <n v="99.847749713611876"/>
    <n v="135.80626150990429"/>
    <n v="5590.9664999999995"/>
    <n v="338.90451840000014"/>
    <n v="5517.511806796465"/>
    <n v="384.8135741675531"/>
    <x v="0"/>
  </r>
  <r>
    <s v="Regular"/>
    <x v="0"/>
    <x v="0"/>
    <x v="0"/>
    <x v="0"/>
    <x v="0"/>
    <x v="0"/>
    <x v="1"/>
    <x v="10"/>
    <n v="480"/>
    <n v="408"/>
    <n v="25.218"/>
    <n v="23.704920000000001"/>
    <n v="25.218"/>
    <n v="23.704920000000001"/>
    <n v="0"/>
    <s v="CATIVO"/>
    <n v="0"/>
    <n v="10"/>
    <n v="1"/>
    <n v="44"/>
    <n v="77.17"/>
    <n v="66.22"/>
    <n v="141.32"/>
    <n v="76.156132598985039"/>
    <n v="99.847749713611876"/>
    <n v="135.80626150990429"/>
    <n v="5556.24"/>
    <n v="314.02462319999972"/>
    <n v="5483.2415471269233"/>
    <n v="356.56337130207748"/>
    <x v="0"/>
  </r>
  <r>
    <s v="Regular"/>
    <x v="0"/>
    <x v="0"/>
    <x v="0"/>
    <x v="0"/>
    <x v="0"/>
    <x v="0"/>
    <x v="1"/>
    <x v="11"/>
    <n v="510"/>
    <n v="433.5"/>
    <n v="23.26"/>
    <n v="21.8644"/>
    <n v="23.26"/>
    <n v="21.8644"/>
    <n v="0"/>
    <s v="CATIVO"/>
    <n v="0"/>
    <n v="10"/>
    <n v="1"/>
    <n v="44"/>
    <n v="77.17"/>
    <n v="66.22"/>
    <n v="141.32"/>
    <n v="76.156132598985039"/>
    <n v="99.847749713611876"/>
    <n v="135.80626150990429"/>
    <n v="5903.5050000000001"/>
    <n v="289.64282400000036"/>
    <n v="5825.9441438223557"/>
    <n v="328.87873806353957"/>
    <x v="0"/>
  </r>
  <r>
    <s v="Regular"/>
    <x v="0"/>
    <x v="1"/>
    <x v="1"/>
    <x v="1"/>
    <x v="0"/>
    <x v="1"/>
    <x v="2"/>
    <x v="0"/>
    <n v="909"/>
    <n v="909"/>
    <n v="0"/>
    <n v="0"/>
    <n v="0"/>
    <n v="0"/>
    <n v="0"/>
    <s v="GERAÇÃO"/>
    <n v="35415"/>
    <n v="7"/>
    <n v="0"/>
    <n v="0"/>
    <n v="3.37"/>
    <n v="0"/>
    <n v="0"/>
    <n v="3.410508540351314"/>
    <m/>
    <m/>
    <n v="0"/>
    <n v="0"/>
    <n v="0"/>
    <n v="0"/>
    <x v="1"/>
  </r>
  <r>
    <s v="Regular"/>
    <x v="0"/>
    <x v="1"/>
    <x v="1"/>
    <x v="1"/>
    <x v="0"/>
    <x v="1"/>
    <x v="2"/>
    <x v="1"/>
    <n v="909"/>
    <n v="454.5"/>
    <n v="0"/>
    <n v="0"/>
    <n v="0"/>
    <n v="0"/>
    <n v="0"/>
    <s v="GERAÇÃO"/>
    <n v="35415"/>
    <n v="7"/>
    <n v="0"/>
    <n v="0"/>
    <n v="3.37"/>
    <n v="0"/>
    <n v="0"/>
    <n v="3.410508540351314"/>
    <m/>
    <m/>
    <n v="1531.665"/>
    <n v="0"/>
    <n v="1550.0761315896723"/>
    <n v="0"/>
    <x v="1"/>
  </r>
  <r>
    <s v="Regular"/>
    <x v="0"/>
    <x v="1"/>
    <x v="1"/>
    <x v="1"/>
    <x v="0"/>
    <x v="1"/>
    <x v="2"/>
    <x v="2"/>
    <n v="909"/>
    <n v="454.5"/>
    <n v="0"/>
    <n v="0"/>
    <n v="0"/>
    <n v="0"/>
    <n v="0"/>
    <s v="GERAÇÃO"/>
    <n v="35415"/>
    <n v="7"/>
    <n v="0"/>
    <n v="0"/>
    <n v="3.37"/>
    <n v="0"/>
    <n v="0"/>
    <n v="3.410508540351314"/>
    <m/>
    <m/>
    <n v="1531.665"/>
    <n v="0"/>
    <n v="1550.0761315896723"/>
    <n v="0"/>
    <x v="1"/>
  </r>
  <r>
    <s v="Regular"/>
    <x v="0"/>
    <x v="1"/>
    <x v="1"/>
    <x v="1"/>
    <x v="0"/>
    <x v="1"/>
    <x v="2"/>
    <x v="3"/>
    <n v="909"/>
    <n v="454.5"/>
    <n v="0"/>
    <n v="0"/>
    <n v="0"/>
    <n v="0"/>
    <n v="0"/>
    <s v="GERAÇÃO"/>
    <n v="35415"/>
    <n v="7"/>
    <n v="0"/>
    <n v="0"/>
    <n v="3.37"/>
    <n v="0"/>
    <n v="0"/>
    <n v="3.410508540351314"/>
    <m/>
    <m/>
    <n v="1531.665"/>
    <n v="0"/>
    <n v="1550.0761315896723"/>
    <n v="0"/>
    <x v="1"/>
  </r>
  <r>
    <s v="Regular"/>
    <x v="0"/>
    <x v="1"/>
    <x v="1"/>
    <x v="1"/>
    <x v="0"/>
    <x v="1"/>
    <x v="2"/>
    <x v="4"/>
    <n v="909"/>
    <n v="454.5"/>
    <n v="0"/>
    <n v="0"/>
    <n v="0"/>
    <n v="0"/>
    <n v="0"/>
    <s v="GERAÇÃO"/>
    <n v="35415"/>
    <n v="7"/>
    <n v="0"/>
    <n v="0"/>
    <n v="3.37"/>
    <n v="0"/>
    <n v="0"/>
    <n v="3.410508540351314"/>
    <m/>
    <m/>
    <n v="1531.665"/>
    <n v="0"/>
    <n v="1550.0761315896723"/>
    <n v="0"/>
    <x v="1"/>
  </r>
  <r>
    <s v="Regular"/>
    <x v="0"/>
    <x v="1"/>
    <x v="1"/>
    <x v="1"/>
    <x v="0"/>
    <x v="1"/>
    <x v="2"/>
    <x v="5"/>
    <n v="909"/>
    <n v="454.5"/>
    <n v="0"/>
    <n v="0"/>
    <n v="0"/>
    <n v="0"/>
    <n v="0"/>
    <s v="GERAÇÃO"/>
    <n v="35415"/>
    <n v="7"/>
    <n v="0"/>
    <n v="0"/>
    <n v="3.37"/>
    <n v="0"/>
    <n v="0"/>
    <n v="3.410508540351314"/>
    <m/>
    <m/>
    <n v="1531.665"/>
    <n v="0"/>
    <n v="1550.0761315896723"/>
    <n v="0"/>
    <x v="1"/>
  </r>
  <r>
    <s v="Regular"/>
    <x v="0"/>
    <x v="1"/>
    <x v="1"/>
    <x v="1"/>
    <x v="0"/>
    <x v="1"/>
    <x v="2"/>
    <x v="6"/>
    <n v="909"/>
    <n v="454.5"/>
    <n v="0"/>
    <n v="0"/>
    <n v="0"/>
    <n v="0"/>
    <n v="0"/>
    <s v="GERAÇÃO"/>
    <n v="35415"/>
    <n v="7"/>
    <n v="0"/>
    <n v="0"/>
    <n v="3.37"/>
    <n v="0"/>
    <n v="0"/>
    <n v="3.410508540351314"/>
    <m/>
    <m/>
    <n v="1531.665"/>
    <n v="0"/>
    <n v="1550.0761315896723"/>
    <n v="0"/>
    <x v="1"/>
  </r>
  <r>
    <s v="Regular"/>
    <x v="0"/>
    <x v="1"/>
    <x v="1"/>
    <x v="1"/>
    <x v="0"/>
    <x v="1"/>
    <x v="2"/>
    <x v="7"/>
    <n v="909"/>
    <n v="454.5"/>
    <n v="0"/>
    <n v="0"/>
    <n v="0"/>
    <n v="0"/>
    <n v="0"/>
    <s v="GERAÇÃO"/>
    <n v="35415"/>
    <n v="7"/>
    <n v="0"/>
    <n v="0"/>
    <n v="3.37"/>
    <n v="0"/>
    <n v="0"/>
    <n v="3.410508540351314"/>
    <m/>
    <m/>
    <n v="1531.665"/>
    <n v="0"/>
    <n v="1550.0761315896723"/>
    <n v="0"/>
    <x v="1"/>
  </r>
  <r>
    <s v="Regular"/>
    <x v="0"/>
    <x v="1"/>
    <x v="1"/>
    <x v="1"/>
    <x v="0"/>
    <x v="1"/>
    <x v="2"/>
    <x v="8"/>
    <n v="909"/>
    <n v="454.5"/>
    <n v="0"/>
    <n v="0"/>
    <n v="0"/>
    <n v="0"/>
    <n v="0"/>
    <s v="GERAÇÃO"/>
    <n v="35415"/>
    <n v="7"/>
    <n v="0"/>
    <n v="0"/>
    <n v="3.37"/>
    <n v="0"/>
    <n v="0"/>
    <n v="3.410508540351314"/>
    <m/>
    <m/>
    <n v="1531.665"/>
    <n v="0"/>
    <n v="1550.0761315896723"/>
    <n v="0"/>
    <x v="1"/>
  </r>
  <r>
    <s v="Regular"/>
    <x v="0"/>
    <x v="1"/>
    <x v="1"/>
    <x v="1"/>
    <x v="0"/>
    <x v="1"/>
    <x v="2"/>
    <x v="9"/>
    <n v="909"/>
    <n v="454.5"/>
    <n v="0"/>
    <n v="0"/>
    <n v="0"/>
    <n v="0"/>
    <n v="0"/>
    <s v="GERAÇÃO"/>
    <n v="35415"/>
    <n v="7"/>
    <n v="0"/>
    <n v="0"/>
    <n v="3.37"/>
    <n v="0"/>
    <n v="0"/>
    <n v="3.410508540351314"/>
    <m/>
    <m/>
    <n v="1531.665"/>
    <n v="0"/>
    <n v="1550.0761315896723"/>
    <n v="0"/>
    <x v="1"/>
  </r>
  <r>
    <s v="Regular"/>
    <x v="0"/>
    <x v="1"/>
    <x v="1"/>
    <x v="1"/>
    <x v="0"/>
    <x v="1"/>
    <x v="2"/>
    <x v="10"/>
    <n v="909"/>
    <n v="454.5"/>
    <n v="0"/>
    <n v="0"/>
    <n v="0"/>
    <n v="0"/>
    <n v="0"/>
    <s v="GERAÇÃO"/>
    <n v="35415"/>
    <n v="7"/>
    <n v="0"/>
    <n v="0"/>
    <n v="3.37"/>
    <n v="0"/>
    <n v="0"/>
    <n v="3.410508540351314"/>
    <m/>
    <m/>
    <n v="1531.665"/>
    <n v="0"/>
    <n v="1550.0761315896723"/>
    <n v="0"/>
    <x v="1"/>
  </r>
  <r>
    <s v="Regular"/>
    <x v="0"/>
    <x v="1"/>
    <x v="1"/>
    <x v="1"/>
    <x v="0"/>
    <x v="1"/>
    <x v="2"/>
    <x v="11"/>
    <n v="909"/>
    <n v="454.5"/>
    <n v="0"/>
    <n v="0"/>
    <n v="0"/>
    <n v="0"/>
    <n v="0"/>
    <s v="GERAÇÃO"/>
    <n v="35415"/>
    <n v="7"/>
    <n v="0"/>
    <n v="0"/>
    <n v="3.37"/>
    <n v="0"/>
    <n v="0"/>
    <n v="3.410508540351314"/>
    <m/>
    <m/>
    <n v="1531.665"/>
    <n v="0"/>
    <n v="1550.0761315896723"/>
    <n v="0"/>
    <x v="1"/>
  </r>
  <r>
    <s v="Regular"/>
    <x v="0"/>
    <x v="2"/>
    <x v="2"/>
    <x v="1"/>
    <x v="0"/>
    <x v="0"/>
    <x v="0"/>
    <x v="0"/>
    <n v="0"/>
    <n v="0"/>
    <n v="24.815999999999999"/>
    <n v="23.823360000000001"/>
    <n v="24.815999999999999"/>
    <n v="23.823360000000001"/>
    <n v="0"/>
    <s v="CATIVO"/>
    <n v="0"/>
    <n v="0"/>
    <n v="23"/>
    <n v="51"/>
    <n v="0"/>
    <n v="66.22"/>
    <n v="141.32"/>
    <m/>
    <n v="99.847749713611876"/>
    <n v="135.80626150990429"/>
    <n v="0"/>
    <n v="206.01250559999957"/>
    <n v="0"/>
    <n v="233.91959770091063"/>
    <x v="2"/>
  </r>
  <r>
    <s v="Sistema de Compensação"/>
    <x v="0"/>
    <x v="2"/>
    <x v="2"/>
    <x v="1"/>
    <x v="0"/>
    <x v="0"/>
    <x v="0"/>
    <x v="0"/>
    <n v="0"/>
    <n v="0"/>
    <n v="36.305999999999997"/>
    <n v="34.853759999999994"/>
    <n v="36.305999999999997"/>
    <n v="34.853759999999994"/>
    <n v="0"/>
    <s v="CATIVO"/>
    <n v="0"/>
    <n v="0"/>
    <n v="23"/>
    <n v="51"/>
    <n v="0"/>
    <n v="66.22"/>
    <n v="141.32"/>
    <m/>
    <n v="99.847749713611876"/>
    <n v="135.80626150990429"/>
    <n v="0"/>
    <n v="301.39788960000067"/>
    <n v="0"/>
    <n v="342.22618125923987"/>
    <x v="2"/>
  </r>
  <r>
    <s v="Regular"/>
    <x v="0"/>
    <x v="2"/>
    <x v="2"/>
    <x v="1"/>
    <x v="0"/>
    <x v="0"/>
    <x v="0"/>
    <x v="1"/>
    <n v="0"/>
    <n v="0"/>
    <n v="11.069000000000001"/>
    <n v="10.626239999999999"/>
    <n v="11.069000000000001"/>
    <n v="10.626239999999999"/>
    <n v="0"/>
    <s v="CATIVO"/>
    <n v="0"/>
    <n v="0"/>
    <n v="23"/>
    <n v="51"/>
    <n v="0"/>
    <n v="66.22"/>
    <n v="141.32"/>
    <m/>
    <n v="99.847749713611876"/>
    <n v="135.80626150990429"/>
    <n v="0"/>
    <n v="91.890410400000334"/>
    <n v="0"/>
    <n v="104.33817000932439"/>
    <x v="2"/>
  </r>
  <r>
    <s v="Sistema de Compensação"/>
    <x v="0"/>
    <x v="2"/>
    <x v="2"/>
    <x v="1"/>
    <x v="0"/>
    <x v="0"/>
    <x v="0"/>
    <x v="1"/>
    <n v="0"/>
    <n v="0"/>
    <n v="33.93"/>
    <n v="32.572800000000001"/>
    <n v="33.93"/>
    <n v="32.572800000000001"/>
    <n v="0"/>
    <s v="CATIVO"/>
    <n v="0"/>
    <n v="0"/>
    <n v="23"/>
    <n v="51"/>
    <n v="0"/>
    <n v="66.22"/>
    <n v="141.32"/>
    <m/>
    <n v="99.847749713611876"/>
    <n v="135.80626150990429"/>
    <n v="0"/>
    <n v="281.67328799999979"/>
    <n v="0"/>
    <n v="319.8296240325559"/>
    <x v="2"/>
  </r>
  <r>
    <s v="Regular"/>
    <x v="0"/>
    <x v="2"/>
    <x v="2"/>
    <x v="1"/>
    <x v="0"/>
    <x v="0"/>
    <x v="0"/>
    <x v="2"/>
    <n v="0"/>
    <n v="0"/>
    <n v="24.327999999999999"/>
    <n v="23.354880000000001"/>
    <n v="24.327999999999999"/>
    <n v="23.354880000000001"/>
    <n v="0"/>
    <s v="CATIVO"/>
    <n v="0"/>
    <n v="0"/>
    <n v="23"/>
    <n v="51"/>
    <n v="0"/>
    <n v="66.22"/>
    <n v="141.32"/>
    <m/>
    <n v="99.847749713611876"/>
    <n v="135.80626150990429"/>
    <n v="0"/>
    <n v="201.96132479999955"/>
    <n v="0"/>
    <n v="229.31963140182759"/>
    <x v="2"/>
  </r>
  <r>
    <s v="Sistema de Compensação"/>
    <x v="0"/>
    <x v="2"/>
    <x v="2"/>
    <x v="1"/>
    <x v="0"/>
    <x v="0"/>
    <x v="0"/>
    <x v="2"/>
    <n v="0"/>
    <n v="0"/>
    <n v="32.448"/>
    <n v="31.150079999999999"/>
    <n v="32.448"/>
    <n v="31.150079999999999"/>
    <n v="0"/>
    <s v="CATIVO"/>
    <n v="0"/>
    <n v="0"/>
    <n v="23"/>
    <n v="51"/>
    <n v="0"/>
    <n v="66.22"/>
    <n v="141.32"/>
    <m/>
    <n v="99.847749713611876"/>
    <n v="135.80626150990429"/>
    <n v="0"/>
    <n v="269.3703168000003"/>
    <n v="0"/>
    <n v="305.8600542472264"/>
    <x v="2"/>
  </r>
  <r>
    <s v="Regular"/>
    <x v="0"/>
    <x v="2"/>
    <x v="2"/>
    <x v="1"/>
    <x v="0"/>
    <x v="0"/>
    <x v="0"/>
    <x v="3"/>
    <n v="0"/>
    <n v="0"/>
    <n v="1.9530000000000001"/>
    <n v="1.8748800000000001"/>
    <n v="1.9530000000000001"/>
    <n v="1.8748800000000001"/>
    <n v="0"/>
    <s v="CATIVO"/>
    <n v="0"/>
    <n v="0"/>
    <n v="23"/>
    <n v="51"/>
    <n v="0"/>
    <n v="66.22"/>
    <n v="141.32"/>
    <m/>
    <n v="99.847749713611876"/>
    <n v="135.80626150990429"/>
    <n v="0"/>
    <n v="16.213024799999992"/>
    <n v="0"/>
    <n v="18.409291356781075"/>
    <x v="2"/>
  </r>
  <r>
    <s v="Sistema de Compensação"/>
    <x v="0"/>
    <x v="2"/>
    <x v="2"/>
    <x v="1"/>
    <x v="0"/>
    <x v="0"/>
    <x v="0"/>
    <x v="3"/>
    <n v="0"/>
    <n v="0"/>
    <n v="41.04"/>
    <n v="39.398400000000002"/>
    <n v="41.04"/>
    <n v="39.398400000000002"/>
    <n v="0"/>
    <s v="CATIVO"/>
    <n v="0"/>
    <n v="0"/>
    <n v="23"/>
    <n v="51"/>
    <n v="0"/>
    <n v="66.22"/>
    <n v="141.32"/>
    <m/>
    <n v="99.847749713611876"/>
    <n v="135.80626150990429"/>
    <n v="0"/>
    <n v="340.69766399999935"/>
    <n v="0"/>
    <n v="386.8496248245234"/>
    <x v="2"/>
  </r>
  <r>
    <s v="Regular"/>
    <x v="0"/>
    <x v="2"/>
    <x v="2"/>
    <x v="1"/>
    <x v="0"/>
    <x v="0"/>
    <x v="0"/>
    <x v="4"/>
    <n v="0"/>
    <n v="0"/>
    <n v="23.11"/>
    <n v="22.185600000000001"/>
    <n v="23.11"/>
    <n v="22.185600000000001"/>
    <n v="0"/>
    <s v="CATIVO"/>
    <n v="0"/>
    <n v="0"/>
    <n v="23"/>
    <n v="51"/>
    <n v="0"/>
    <n v="66.22"/>
    <n v="141.32"/>
    <m/>
    <n v="99.847749713611876"/>
    <n v="135.80626150990429"/>
    <n v="0"/>
    <n v="191.84997599999969"/>
    <n v="0"/>
    <n v="217.83856797501801"/>
    <x v="2"/>
  </r>
  <r>
    <s v="Sistema de Compensação"/>
    <x v="0"/>
    <x v="2"/>
    <x v="2"/>
    <x v="1"/>
    <x v="0"/>
    <x v="0"/>
    <x v="0"/>
    <x v="4"/>
    <n v="0"/>
    <n v="0"/>
    <n v="38.734999999999999"/>
    <n v="37.185600000000001"/>
    <n v="38.734999999999999"/>
    <n v="37.185600000000001"/>
    <n v="0"/>
    <s v="CATIVO"/>
    <n v="0"/>
    <n v="0"/>
    <n v="23"/>
    <n v="51"/>
    <n v="0"/>
    <n v="66.22"/>
    <n v="141.32"/>
    <m/>
    <n v="99.847749713611876"/>
    <n v="135.80626150990429"/>
    <n v="0"/>
    <n v="321.56247599999966"/>
    <n v="0"/>
    <n v="365.12232498971559"/>
    <x v="2"/>
  </r>
  <r>
    <s v="Regular"/>
    <x v="0"/>
    <x v="2"/>
    <x v="2"/>
    <x v="1"/>
    <x v="0"/>
    <x v="0"/>
    <x v="0"/>
    <x v="5"/>
    <n v="0"/>
    <n v="0"/>
    <n v="20.693000000000001"/>
    <n v="19.865279999999998"/>
    <n v="20.693000000000001"/>
    <n v="19.865279999999998"/>
    <n v="0"/>
    <s v="CATIVO"/>
    <n v="0"/>
    <n v="0"/>
    <n v="23"/>
    <n v="51"/>
    <n v="0"/>
    <n v="66.22"/>
    <n v="141.32"/>
    <m/>
    <n v="99.847749713611876"/>
    <n v="135.80626150990429"/>
    <n v="0"/>
    <n v="171.78500880000058"/>
    <n v="0"/>
    <n v="195.05553816992949"/>
    <x v="2"/>
  </r>
  <r>
    <s v="Sistema de Compensação"/>
    <x v="0"/>
    <x v="2"/>
    <x v="2"/>
    <x v="1"/>
    <x v="0"/>
    <x v="0"/>
    <x v="0"/>
    <x v="5"/>
    <n v="0"/>
    <n v="0"/>
    <n v="32.728000000000002"/>
    <n v="31.418880000000001"/>
    <n v="32.728000000000002"/>
    <n v="31.418880000000001"/>
    <n v="0"/>
    <s v="CATIVO"/>
    <n v="0"/>
    <n v="0"/>
    <n v="23"/>
    <n v="51"/>
    <n v="0"/>
    <n v="66.22"/>
    <n v="141.32"/>
    <m/>
    <n v="99.847749713611876"/>
    <n v="135.80626150990429"/>
    <n v="0"/>
    <n v="271.69476480000003"/>
    <n v="0"/>
    <n v="308.49937917292948"/>
    <x v="2"/>
  </r>
  <r>
    <s v="Regular"/>
    <x v="0"/>
    <x v="2"/>
    <x v="2"/>
    <x v="1"/>
    <x v="0"/>
    <x v="0"/>
    <x v="0"/>
    <x v="6"/>
    <n v="0"/>
    <n v="0"/>
    <n v="18.538"/>
    <n v="17.796479999999999"/>
    <n v="18.538"/>
    <n v="17.796479999999999"/>
    <n v="0"/>
    <s v="CATIVO"/>
    <n v="0"/>
    <n v="0"/>
    <n v="23"/>
    <n v="51"/>
    <n v="0"/>
    <n v="66.22"/>
    <n v="141.32"/>
    <m/>
    <n v="99.847749713611876"/>
    <n v="135.80626150990429"/>
    <n v="0"/>
    <n v="153.89506080000027"/>
    <n v="0"/>
    <n v="174.74216240246201"/>
    <x v="2"/>
  </r>
  <r>
    <s v="Sistema de Compensação"/>
    <x v="0"/>
    <x v="2"/>
    <x v="2"/>
    <x v="1"/>
    <x v="0"/>
    <x v="0"/>
    <x v="0"/>
    <x v="6"/>
    <n v="0"/>
    <n v="0"/>
    <n v="47.869"/>
    <n v="45.954239999999999"/>
    <n v="47.869"/>
    <n v="45.954239999999999"/>
    <n v="0"/>
    <s v="CATIVO"/>
    <n v="0"/>
    <n v="0"/>
    <n v="23"/>
    <n v="51"/>
    <n v="0"/>
    <n v="66.22"/>
    <n v="141.32"/>
    <m/>
    <n v="99.847749713611876"/>
    <n v="135.80626150990429"/>
    <n v="0"/>
    <n v="397.38929040000022"/>
    <n v="0"/>
    <n v="451.2208745303401"/>
    <x v="2"/>
  </r>
  <r>
    <s v="Regular"/>
    <x v="0"/>
    <x v="2"/>
    <x v="2"/>
    <x v="1"/>
    <x v="0"/>
    <x v="0"/>
    <x v="0"/>
    <x v="7"/>
    <n v="0"/>
    <n v="0"/>
    <n v="13.742000000000001"/>
    <n v="13.19232"/>
    <n v="13.742000000000001"/>
    <n v="13.19232"/>
    <n v="0"/>
    <s v="CATIVO"/>
    <n v="0"/>
    <n v="0"/>
    <n v="23"/>
    <n v="51"/>
    <n v="0"/>
    <n v="66.22"/>
    <n v="141.32"/>
    <m/>
    <n v="99.847749713611876"/>
    <n v="135.80626150990429"/>
    <n v="0"/>
    <n v="114.08058720000008"/>
    <n v="0"/>
    <n v="129.53429688934244"/>
    <x v="2"/>
  </r>
  <r>
    <s v="Sistema de Compensação"/>
    <x v="0"/>
    <x v="2"/>
    <x v="2"/>
    <x v="1"/>
    <x v="0"/>
    <x v="0"/>
    <x v="0"/>
    <x v="7"/>
    <n v="0"/>
    <n v="0"/>
    <n v="43.215000000000003"/>
    <n v="41.486400000000003"/>
    <n v="43.215000000000003"/>
    <n v="41.486400000000003"/>
    <n v="0"/>
    <s v="CATIVO"/>
    <n v="0"/>
    <n v="0"/>
    <n v="23"/>
    <n v="51"/>
    <n v="0"/>
    <n v="66.22"/>
    <n v="141.32"/>
    <m/>
    <n v="99.847749713611876"/>
    <n v="135.80626150990429"/>
    <n v="0"/>
    <n v="358.75364400000001"/>
    <n v="0"/>
    <n v="407.35152380097009"/>
    <x v="2"/>
  </r>
  <r>
    <s v="Regular"/>
    <x v="0"/>
    <x v="2"/>
    <x v="2"/>
    <x v="1"/>
    <x v="0"/>
    <x v="0"/>
    <x v="0"/>
    <x v="8"/>
    <n v="0"/>
    <n v="0"/>
    <n v="21.577000000000002"/>
    <n v="20.713920000000002"/>
    <n v="21.577000000000002"/>
    <n v="20.713920000000002"/>
    <n v="0"/>
    <s v="CATIVO"/>
    <n v="0"/>
    <n v="0"/>
    <n v="23"/>
    <n v="51"/>
    <n v="0"/>
    <n v="66.22"/>
    <n v="141.32"/>
    <m/>
    <n v="99.847749713611876"/>
    <n v="135.80626150990429"/>
    <n v="0"/>
    <n v="179.1236232"/>
    <n v="0"/>
    <n v="203.38826400679233"/>
    <x v="2"/>
  </r>
  <r>
    <s v="Sistema de Compensação"/>
    <x v="0"/>
    <x v="2"/>
    <x v="2"/>
    <x v="1"/>
    <x v="0"/>
    <x v="0"/>
    <x v="0"/>
    <x v="8"/>
    <n v="0"/>
    <n v="0"/>
    <n v="23.762"/>
    <n v="22.811520000000002"/>
    <n v="23.762"/>
    <n v="22.811520000000002"/>
    <n v="0"/>
    <s v="CATIVO"/>
    <n v="0"/>
    <n v="0"/>
    <n v="23"/>
    <n v="51"/>
    <n v="0"/>
    <n v="66.22"/>
    <n v="141.32"/>
    <m/>
    <n v="99.847749713611876"/>
    <n v="135.80626150990429"/>
    <n v="0"/>
    <n v="197.26261919999979"/>
    <n v="0"/>
    <n v="223.9844245877274"/>
    <x v="2"/>
  </r>
  <r>
    <s v="Regular"/>
    <x v="0"/>
    <x v="2"/>
    <x v="2"/>
    <x v="1"/>
    <x v="0"/>
    <x v="0"/>
    <x v="0"/>
    <x v="9"/>
    <n v="0"/>
    <n v="0"/>
    <n v="2.1389999999999998"/>
    <n v="2.0534400000000002"/>
    <n v="2.1389999999999998"/>
    <n v="2.0534400000000002"/>
    <n v="0"/>
    <s v="CATIVO"/>
    <n v="0"/>
    <n v="0"/>
    <n v="23"/>
    <n v="51"/>
    <n v="0"/>
    <n v="66.22"/>
    <n v="141.32"/>
    <m/>
    <n v="99.847749713611876"/>
    <n v="135.80626150990429"/>
    <n v="0"/>
    <n v="17.757122399999925"/>
    <n v="0"/>
    <n v="20.162557200283956"/>
    <x v="2"/>
  </r>
  <r>
    <s v="Sistema de Compensação"/>
    <x v="0"/>
    <x v="2"/>
    <x v="2"/>
    <x v="1"/>
    <x v="0"/>
    <x v="0"/>
    <x v="0"/>
    <x v="9"/>
    <n v="0"/>
    <n v="0"/>
    <n v="35.104999999999997"/>
    <n v="33.700800000000001"/>
    <n v="35.104999999999997"/>
    <n v="33.700800000000001"/>
    <n v="0"/>
    <s v="CATIVO"/>
    <n v="0"/>
    <n v="0"/>
    <n v="23"/>
    <n v="51"/>
    <n v="0"/>
    <n v="66.22"/>
    <n v="141.32"/>
    <m/>
    <n v="99.847749713611876"/>
    <n v="135.80626150990429"/>
    <n v="0"/>
    <n v="291.42766799999913"/>
    <n v="0"/>
    <n v="330.90536256006044"/>
    <x v="2"/>
  </r>
  <r>
    <s v="Regular"/>
    <x v="0"/>
    <x v="2"/>
    <x v="2"/>
    <x v="1"/>
    <x v="0"/>
    <x v="0"/>
    <x v="0"/>
    <x v="10"/>
    <n v="0"/>
    <n v="0"/>
    <n v="0.872"/>
    <n v="0.83711999999999998"/>
    <n v="0.872"/>
    <n v="0.83711999999999998"/>
    <n v="0"/>
    <s v="CATIVO"/>
    <n v="0"/>
    <n v="0"/>
    <n v="23"/>
    <n v="51"/>
    <n v="0"/>
    <n v="66.22"/>
    <n v="141.32"/>
    <m/>
    <n v="99.847749713611876"/>
    <n v="135.80626150990429"/>
    <n v="0"/>
    <n v="7.2389952000000042"/>
    <n v="0"/>
    <n v="8.2196119114762496"/>
    <x v="2"/>
  </r>
  <r>
    <s v="Regular"/>
    <x v="0"/>
    <x v="2"/>
    <x v="2"/>
    <x v="1"/>
    <x v="0"/>
    <x v="0"/>
    <x v="0"/>
    <x v="11"/>
    <n v="0"/>
    <n v="0"/>
    <n v="15.085000000000001"/>
    <n v="14.4816"/>
    <n v="15.085000000000001"/>
    <n v="14.4816"/>
    <n v="0"/>
    <s v="CATIVO"/>
    <n v="0"/>
    <n v="0"/>
    <n v="23"/>
    <n v="51"/>
    <n v="0"/>
    <n v="66.22"/>
    <n v="141.32"/>
    <m/>
    <n v="99.847749713611876"/>
    <n v="135.80626150990429"/>
    <n v="0"/>
    <n v="125.22963600000011"/>
    <n v="0"/>
    <n v="142.19363037226981"/>
    <x v="2"/>
  </r>
  <r>
    <s v="Sistema de Compensação"/>
    <x v="0"/>
    <x v="2"/>
    <x v="2"/>
    <x v="1"/>
    <x v="0"/>
    <x v="0"/>
    <x v="0"/>
    <x v="11"/>
    <n v="0"/>
    <n v="0"/>
    <n v="56.241"/>
    <n v="53.99136"/>
    <n v="56.241"/>
    <n v="53.99136"/>
    <n v="0"/>
    <s v="CATIVO"/>
    <n v="0"/>
    <n v="0"/>
    <n v="23"/>
    <n v="51"/>
    <n v="0"/>
    <n v="66.22"/>
    <n v="141.32"/>
    <m/>
    <n v="99.847749713611876"/>
    <n v="135.80626150990429"/>
    <n v="0"/>
    <n v="466.89028559999986"/>
    <n v="0"/>
    <n v="530.13668980887076"/>
    <x v="2"/>
  </r>
  <r>
    <s v="Regular"/>
    <x v="0"/>
    <x v="2"/>
    <x v="2"/>
    <x v="1"/>
    <x v="0"/>
    <x v="0"/>
    <x v="2"/>
    <x v="0"/>
    <n v="90"/>
    <n v="86.4"/>
    <n v="0"/>
    <n v="0"/>
    <n v="0"/>
    <n v="0"/>
    <n v="1"/>
    <s v="CATIVO"/>
    <n v="0"/>
    <n v="16"/>
    <n v="0"/>
    <n v="0"/>
    <n v="25.66"/>
    <n v="0"/>
    <n v="0"/>
    <n v="25.189608465764316"/>
    <m/>
    <m/>
    <n v="92.375999999999848"/>
    <n v="0"/>
    <n v="90.6825904767514"/>
    <n v="0"/>
    <x v="2"/>
  </r>
  <r>
    <s v="Sistema de Compensação"/>
    <x v="0"/>
    <x v="2"/>
    <x v="2"/>
    <x v="1"/>
    <x v="0"/>
    <x v="0"/>
    <x v="2"/>
    <x v="0"/>
    <n v="264"/>
    <n v="253.44"/>
    <n v="0"/>
    <n v="0"/>
    <n v="0"/>
    <n v="0"/>
    <n v="2"/>
    <s v="CATIVO"/>
    <n v="0"/>
    <n v="16"/>
    <n v="0"/>
    <n v="0"/>
    <n v="25.66"/>
    <n v="0"/>
    <n v="0"/>
    <n v="25.189608465764316"/>
    <m/>
    <m/>
    <n v="270.96960000000007"/>
    <n v="0"/>
    <n v="266.00226539847125"/>
    <n v="0"/>
    <x v="2"/>
  </r>
  <r>
    <s v="Regular"/>
    <x v="0"/>
    <x v="2"/>
    <x v="2"/>
    <x v="1"/>
    <x v="0"/>
    <x v="0"/>
    <x v="2"/>
    <x v="1"/>
    <n v="90"/>
    <n v="86.4"/>
    <n v="0"/>
    <n v="0"/>
    <n v="0"/>
    <n v="0"/>
    <n v="1"/>
    <s v="CATIVO"/>
    <n v="0"/>
    <n v="16"/>
    <n v="0"/>
    <n v="0"/>
    <n v="25.66"/>
    <n v="0"/>
    <n v="0"/>
    <n v="25.189608465764316"/>
    <m/>
    <m/>
    <n v="92.375999999999848"/>
    <n v="0"/>
    <n v="90.6825904767514"/>
    <n v="0"/>
    <x v="2"/>
  </r>
  <r>
    <s v="Sistema de Compensação"/>
    <x v="0"/>
    <x v="2"/>
    <x v="2"/>
    <x v="1"/>
    <x v="0"/>
    <x v="0"/>
    <x v="2"/>
    <x v="1"/>
    <n v="254"/>
    <n v="243.84"/>
    <n v="0"/>
    <n v="0"/>
    <n v="0"/>
    <n v="0"/>
    <n v="2"/>
    <s v="CATIVO"/>
    <n v="0"/>
    <n v="16"/>
    <n v="0"/>
    <n v="0"/>
    <n v="25.66"/>
    <n v="0"/>
    <n v="0"/>
    <n v="25.189608465764316"/>
    <m/>
    <m/>
    <n v="260.70559999999989"/>
    <n v="0"/>
    <n v="255.92642201216538"/>
    <n v="0"/>
    <x v="2"/>
  </r>
  <r>
    <s v="Regular"/>
    <x v="0"/>
    <x v="2"/>
    <x v="2"/>
    <x v="1"/>
    <x v="0"/>
    <x v="0"/>
    <x v="2"/>
    <x v="2"/>
    <n v="90"/>
    <n v="86.4"/>
    <n v="0"/>
    <n v="0"/>
    <n v="0"/>
    <n v="0"/>
    <n v="1"/>
    <s v="CATIVO"/>
    <n v="0"/>
    <n v="16"/>
    <n v="0"/>
    <n v="0"/>
    <n v="25.66"/>
    <n v="0"/>
    <n v="0"/>
    <n v="25.189608465764316"/>
    <m/>
    <m/>
    <n v="92.375999999999848"/>
    <n v="0"/>
    <n v="90.6825904767514"/>
    <n v="0"/>
    <x v="2"/>
  </r>
  <r>
    <s v="Sistema de Compensação"/>
    <x v="0"/>
    <x v="2"/>
    <x v="2"/>
    <x v="1"/>
    <x v="0"/>
    <x v="0"/>
    <x v="2"/>
    <x v="2"/>
    <n v="259"/>
    <n v="248.64"/>
    <n v="0"/>
    <n v="0"/>
    <n v="0"/>
    <n v="0"/>
    <n v="2"/>
    <s v="CATIVO"/>
    <n v="0"/>
    <n v="16"/>
    <n v="0"/>
    <n v="0"/>
    <n v="25.66"/>
    <n v="0"/>
    <n v="0"/>
    <n v="25.189608465764316"/>
    <m/>
    <m/>
    <n v="265.83760000000035"/>
    <n v="0"/>
    <n v="260.96434370531864"/>
    <n v="0"/>
    <x v="2"/>
  </r>
  <r>
    <s v="Regular"/>
    <x v="0"/>
    <x v="2"/>
    <x v="2"/>
    <x v="1"/>
    <x v="0"/>
    <x v="0"/>
    <x v="2"/>
    <x v="3"/>
    <n v="90"/>
    <n v="86.4"/>
    <n v="0"/>
    <n v="0"/>
    <n v="0"/>
    <n v="0"/>
    <n v="1"/>
    <s v="CATIVO"/>
    <n v="0"/>
    <n v="16"/>
    <n v="0"/>
    <n v="0"/>
    <n v="25.66"/>
    <n v="0"/>
    <n v="0"/>
    <n v="25.189608465764316"/>
    <m/>
    <m/>
    <n v="92.375999999999848"/>
    <n v="0"/>
    <n v="90.6825904767514"/>
    <n v="0"/>
    <x v="2"/>
  </r>
  <r>
    <s v="Sistema de Compensação"/>
    <x v="0"/>
    <x v="2"/>
    <x v="2"/>
    <x v="1"/>
    <x v="0"/>
    <x v="0"/>
    <x v="2"/>
    <x v="3"/>
    <n v="279"/>
    <n v="267.83999999999997"/>
    <n v="0"/>
    <n v="0"/>
    <n v="0"/>
    <n v="0"/>
    <n v="2"/>
    <s v="CATIVO"/>
    <n v="0"/>
    <n v="16"/>
    <n v="0"/>
    <n v="0"/>
    <n v="25.66"/>
    <n v="0"/>
    <n v="0"/>
    <n v="25.189608465764316"/>
    <m/>
    <m/>
    <n v="286.36560000000065"/>
    <n v="0"/>
    <n v="281.11603047793039"/>
    <n v="0"/>
    <x v="2"/>
  </r>
  <r>
    <s v="Regular"/>
    <x v="0"/>
    <x v="2"/>
    <x v="2"/>
    <x v="1"/>
    <x v="0"/>
    <x v="0"/>
    <x v="2"/>
    <x v="4"/>
    <n v="90"/>
    <n v="86.4"/>
    <n v="0"/>
    <n v="0"/>
    <n v="0"/>
    <n v="0"/>
    <n v="1"/>
    <s v="CATIVO"/>
    <n v="0"/>
    <n v="16"/>
    <n v="0"/>
    <n v="0"/>
    <n v="25.66"/>
    <n v="0"/>
    <n v="0"/>
    <n v="25.189608465764316"/>
    <m/>
    <m/>
    <n v="92.375999999999848"/>
    <n v="0"/>
    <n v="90.6825904767514"/>
    <n v="0"/>
    <x v="2"/>
  </r>
  <r>
    <s v="Sistema de Compensação"/>
    <x v="0"/>
    <x v="2"/>
    <x v="2"/>
    <x v="1"/>
    <x v="0"/>
    <x v="0"/>
    <x v="2"/>
    <x v="4"/>
    <n v="255"/>
    <n v="244.8"/>
    <n v="0"/>
    <n v="0"/>
    <n v="0"/>
    <n v="0"/>
    <n v="2"/>
    <s v="CATIVO"/>
    <n v="0"/>
    <n v="16"/>
    <n v="0"/>
    <n v="0"/>
    <n v="25.66"/>
    <n v="0"/>
    <n v="0"/>
    <n v="25.189608465764316"/>
    <m/>
    <m/>
    <n v="261.73199999999969"/>
    <n v="0"/>
    <n v="256.93400635079576"/>
    <n v="0"/>
    <x v="2"/>
  </r>
  <r>
    <s v="Regular"/>
    <x v="0"/>
    <x v="2"/>
    <x v="2"/>
    <x v="1"/>
    <x v="0"/>
    <x v="0"/>
    <x v="2"/>
    <x v="5"/>
    <n v="90"/>
    <n v="86.4"/>
    <n v="0"/>
    <n v="0"/>
    <n v="0"/>
    <n v="0"/>
    <n v="1"/>
    <s v="CATIVO"/>
    <n v="0"/>
    <n v="16"/>
    <n v="0"/>
    <n v="0"/>
    <n v="25.66"/>
    <n v="0"/>
    <n v="0"/>
    <n v="25.189608465764316"/>
    <m/>
    <m/>
    <n v="92.375999999999848"/>
    <n v="0"/>
    <n v="90.6825904767514"/>
    <n v="0"/>
    <x v="2"/>
  </r>
  <r>
    <s v="Sistema de Compensação"/>
    <x v="0"/>
    <x v="2"/>
    <x v="2"/>
    <x v="1"/>
    <x v="0"/>
    <x v="0"/>
    <x v="2"/>
    <x v="5"/>
    <n v="269"/>
    <n v="258.24"/>
    <n v="0"/>
    <n v="0"/>
    <n v="0"/>
    <n v="0"/>
    <n v="2"/>
    <s v="CATIVO"/>
    <n v="0"/>
    <n v="16"/>
    <n v="0"/>
    <n v="0"/>
    <n v="25.66"/>
    <n v="0"/>
    <n v="0"/>
    <n v="25.189608465764316"/>
    <m/>
    <m/>
    <n v="276.10159999999979"/>
    <n v="0"/>
    <n v="271.04018709162381"/>
    <n v="0"/>
    <x v="2"/>
  </r>
  <r>
    <s v="Regular"/>
    <x v="0"/>
    <x v="2"/>
    <x v="2"/>
    <x v="1"/>
    <x v="0"/>
    <x v="0"/>
    <x v="2"/>
    <x v="6"/>
    <n v="90"/>
    <n v="86.4"/>
    <n v="0"/>
    <n v="0"/>
    <n v="0"/>
    <n v="0"/>
    <n v="1"/>
    <s v="CATIVO"/>
    <n v="0"/>
    <n v="16"/>
    <n v="0"/>
    <n v="0"/>
    <n v="25.66"/>
    <n v="0"/>
    <n v="0"/>
    <n v="25.189608465764316"/>
    <m/>
    <m/>
    <n v="92.375999999999848"/>
    <n v="0"/>
    <n v="90.6825904767514"/>
    <n v="0"/>
    <x v="2"/>
  </r>
  <r>
    <s v="Sistema de Compensação"/>
    <x v="0"/>
    <x v="2"/>
    <x v="2"/>
    <x v="1"/>
    <x v="0"/>
    <x v="0"/>
    <x v="2"/>
    <x v="6"/>
    <n v="295"/>
    <n v="283.2"/>
    <n v="0"/>
    <n v="0"/>
    <n v="0"/>
    <n v="0"/>
    <n v="2"/>
    <s v="CATIVO"/>
    <n v="0"/>
    <n v="16"/>
    <n v="0"/>
    <n v="0"/>
    <n v="25.66"/>
    <n v="0"/>
    <n v="0"/>
    <n v="25.189608465764316"/>
    <m/>
    <m/>
    <n v="302.7880000000003"/>
    <n v="0"/>
    <n v="297.23737989601921"/>
    <n v="0"/>
    <x v="2"/>
  </r>
  <r>
    <s v="Regular"/>
    <x v="0"/>
    <x v="2"/>
    <x v="2"/>
    <x v="1"/>
    <x v="0"/>
    <x v="0"/>
    <x v="2"/>
    <x v="7"/>
    <n v="90"/>
    <n v="86.4"/>
    <n v="0"/>
    <n v="0"/>
    <n v="0"/>
    <n v="0"/>
    <n v="1"/>
    <s v="CATIVO"/>
    <n v="0"/>
    <n v="16"/>
    <n v="0"/>
    <n v="0"/>
    <n v="25.66"/>
    <n v="0"/>
    <n v="0"/>
    <n v="25.189608465764316"/>
    <m/>
    <m/>
    <n v="92.375999999999848"/>
    <n v="0"/>
    <n v="90.6825904767514"/>
    <n v="0"/>
    <x v="2"/>
  </r>
  <r>
    <s v="Sistema de Compensação"/>
    <x v="0"/>
    <x v="2"/>
    <x v="2"/>
    <x v="1"/>
    <x v="0"/>
    <x v="0"/>
    <x v="2"/>
    <x v="7"/>
    <n v="270"/>
    <n v="259.2"/>
    <n v="0"/>
    <n v="0"/>
    <n v="0"/>
    <n v="0"/>
    <n v="2"/>
    <s v="CATIVO"/>
    <n v="0"/>
    <n v="16"/>
    <n v="0"/>
    <n v="0"/>
    <n v="25.66"/>
    <n v="0"/>
    <n v="0"/>
    <n v="25.189608465764316"/>
    <m/>
    <m/>
    <n v="277.12800000000027"/>
    <n v="0"/>
    <n v="272.0477714302549"/>
    <n v="0"/>
    <x v="2"/>
  </r>
  <r>
    <s v="Regular"/>
    <x v="0"/>
    <x v="2"/>
    <x v="2"/>
    <x v="1"/>
    <x v="0"/>
    <x v="0"/>
    <x v="2"/>
    <x v="8"/>
    <n v="90"/>
    <n v="86.4"/>
    <n v="0"/>
    <n v="0"/>
    <n v="0"/>
    <n v="0"/>
    <n v="1"/>
    <s v="CATIVO"/>
    <n v="0"/>
    <n v="16"/>
    <n v="0"/>
    <n v="0"/>
    <n v="25.66"/>
    <n v="0"/>
    <n v="0"/>
    <n v="25.189608465764316"/>
    <m/>
    <m/>
    <n v="92.375999999999848"/>
    <n v="0"/>
    <n v="90.6825904767514"/>
    <n v="0"/>
    <x v="2"/>
  </r>
  <r>
    <s v="Sistema de Compensação"/>
    <x v="0"/>
    <x v="2"/>
    <x v="2"/>
    <x v="1"/>
    <x v="0"/>
    <x v="0"/>
    <x v="2"/>
    <x v="8"/>
    <n v="250"/>
    <n v="240"/>
    <n v="0"/>
    <n v="0"/>
    <n v="0"/>
    <n v="0"/>
    <n v="2"/>
    <s v="CATIVO"/>
    <n v="0"/>
    <n v="16"/>
    <n v="0"/>
    <n v="0"/>
    <n v="25.66"/>
    <n v="0"/>
    <n v="0"/>
    <n v="25.189608465764316"/>
    <m/>
    <m/>
    <n v="256.60000000000002"/>
    <n v="0"/>
    <n v="251.89608465764314"/>
    <n v="0"/>
    <x v="2"/>
  </r>
  <r>
    <s v="Regular"/>
    <x v="0"/>
    <x v="2"/>
    <x v="2"/>
    <x v="1"/>
    <x v="0"/>
    <x v="0"/>
    <x v="2"/>
    <x v="9"/>
    <n v="90"/>
    <n v="86.4"/>
    <n v="0"/>
    <n v="0"/>
    <n v="0"/>
    <n v="0"/>
    <n v="1"/>
    <s v="CATIVO"/>
    <n v="0"/>
    <n v="16"/>
    <n v="0"/>
    <n v="0"/>
    <n v="25.66"/>
    <n v="0"/>
    <n v="0"/>
    <n v="25.189608465764316"/>
    <m/>
    <m/>
    <n v="92.375999999999848"/>
    <n v="0"/>
    <n v="90.6825904767514"/>
    <n v="0"/>
    <x v="2"/>
  </r>
  <r>
    <s v="Sistema de Compensação"/>
    <x v="0"/>
    <x v="2"/>
    <x v="2"/>
    <x v="1"/>
    <x v="0"/>
    <x v="0"/>
    <x v="2"/>
    <x v="9"/>
    <n v="259"/>
    <n v="248.64"/>
    <n v="0"/>
    <n v="0"/>
    <n v="0"/>
    <n v="0"/>
    <n v="2"/>
    <s v="CATIVO"/>
    <n v="0"/>
    <n v="16"/>
    <n v="0"/>
    <n v="0"/>
    <n v="25.66"/>
    <n v="0"/>
    <n v="0"/>
    <n v="25.189608465764316"/>
    <m/>
    <m/>
    <n v="265.83760000000035"/>
    <n v="0"/>
    <n v="260.96434370531864"/>
    <n v="0"/>
    <x v="2"/>
  </r>
  <r>
    <s v="Regular"/>
    <x v="0"/>
    <x v="2"/>
    <x v="2"/>
    <x v="1"/>
    <x v="0"/>
    <x v="0"/>
    <x v="2"/>
    <x v="10"/>
    <n v="90"/>
    <n v="86.4"/>
    <n v="0"/>
    <n v="0"/>
    <n v="0"/>
    <n v="0"/>
    <n v="1"/>
    <s v="CATIVO"/>
    <n v="0"/>
    <n v="16"/>
    <n v="0"/>
    <n v="0"/>
    <n v="25.66"/>
    <n v="0"/>
    <n v="0"/>
    <n v="25.189608465764316"/>
    <m/>
    <m/>
    <n v="92.375999999999848"/>
    <n v="0"/>
    <n v="90.6825904767514"/>
    <n v="0"/>
    <x v="2"/>
  </r>
  <r>
    <s v="Sistema de Compensação"/>
    <x v="0"/>
    <x v="2"/>
    <x v="2"/>
    <x v="1"/>
    <x v="0"/>
    <x v="0"/>
    <x v="2"/>
    <x v="10"/>
    <n v="100"/>
    <n v="96"/>
    <n v="0"/>
    <n v="0"/>
    <n v="0"/>
    <n v="0"/>
    <n v="1"/>
    <s v="CATIVO"/>
    <n v="0"/>
    <n v="16"/>
    <n v="0"/>
    <n v="0"/>
    <n v="25.66"/>
    <n v="0"/>
    <n v="0"/>
    <n v="25.189608465764316"/>
    <m/>
    <m/>
    <n v="102.64"/>
    <n v="0"/>
    <n v="100.75843386305726"/>
    <n v="0"/>
    <x v="2"/>
  </r>
  <r>
    <s v="Regular"/>
    <x v="0"/>
    <x v="2"/>
    <x v="2"/>
    <x v="1"/>
    <x v="0"/>
    <x v="0"/>
    <x v="2"/>
    <x v="11"/>
    <n v="90"/>
    <n v="86.4"/>
    <n v="0"/>
    <n v="0"/>
    <n v="0"/>
    <n v="0"/>
    <n v="1"/>
    <s v="CATIVO"/>
    <n v="0"/>
    <n v="16"/>
    <n v="0"/>
    <n v="0"/>
    <n v="25.66"/>
    <n v="0"/>
    <n v="0"/>
    <n v="25.189608465764316"/>
    <m/>
    <m/>
    <n v="92.375999999999848"/>
    <n v="0"/>
    <n v="90.6825904767514"/>
    <n v="0"/>
    <x v="2"/>
  </r>
  <r>
    <s v="Sistema de Compensação"/>
    <x v="0"/>
    <x v="2"/>
    <x v="2"/>
    <x v="1"/>
    <x v="0"/>
    <x v="0"/>
    <x v="2"/>
    <x v="11"/>
    <n v="250"/>
    <n v="240"/>
    <n v="0"/>
    <n v="0"/>
    <n v="0"/>
    <n v="0"/>
    <n v="2"/>
    <s v="CATIVO"/>
    <n v="0"/>
    <n v="16"/>
    <n v="0"/>
    <n v="0"/>
    <n v="25.66"/>
    <n v="0"/>
    <n v="0"/>
    <n v="25.189608465764316"/>
    <m/>
    <m/>
    <n v="256.60000000000002"/>
    <n v="0"/>
    <n v="251.89608465764314"/>
    <n v="0"/>
    <x v="2"/>
  </r>
  <r>
    <s v="Regular"/>
    <x v="0"/>
    <x v="2"/>
    <x v="2"/>
    <x v="1"/>
    <x v="0"/>
    <x v="0"/>
    <x v="1"/>
    <x v="0"/>
    <n v="0"/>
    <n v="0"/>
    <n v="2.2890000000000001"/>
    <n v="2.1974399999999998"/>
    <n v="2.2890000000000001"/>
    <n v="2.1974399999999998"/>
    <n v="0"/>
    <s v="CATIVO"/>
    <n v="0"/>
    <n v="0"/>
    <n v="25"/>
    <n v="44"/>
    <n v="0"/>
    <n v="1922.56"/>
    <n v="141.32"/>
    <m/>
    <n v="1931.7033804673958"/>
    <n v="135.80626150990429"/>
    <n v="0"/>
    <n v="188.96885280000063"/>
    <n v="0"/>
    <n v="189.30118281944223"/>
    <x v="2"/>
  </r>
  <r>
    <s v="Sistema de Compensação"/>
    <x v="0"/>
    <x v="2"/>
    <x v="2"/>
    <x v="1"/>
    <x v="0"/>
    <x v="0"/>
    <x v="1"/>
    <x v="0"/>
    <n v="0"/>
    <n v="0"/>
    <n v="2.2869999999999999"/>
    <n v="2.1955199999999997"/>
    <n v="2.2869999999999999"/>
    <n v="2.1955199999999997"/>
    <n v="0"/>
    <s v="CATIVO"/>
    <n v="0"/>
    <n v="0"/>
    <n v="25"/>
    <n v="44"/>
    <n v="0"/>
    <n v="1922.56"/>
    <n v="141.32"/>
    <m/>
    <n v="1931.7033804673958"/>
    <n v="135.80626150990429"/>
    <n v="0"/>
    <n v="188.80374240000046"/>
    <n v="0"/>
    <n v="189.13578204808388"/>
    <x v="2"/>
  </r>
  <r>
    <s v="Regular"/>
    <x v="0"/>
    <x v="2"/>
    <x v="2"/>
    <x v="1"/>
    <x v="0"/>
    <x v="0"/>
    <x v="1"/>
    <x v="1"/>
    <n v="0"/>
    <n v="0"/>
    <n v="0.97499999999999998"/>
    <n v="0.93600000000000005"/>
    <n v="0.97499999999999998"/>
    <n v="0.93600000000000005"/>
    <n v="0"/>
    <s v="CATIVO"/>
    <n v="0"/>
    <n v="0"/>
    <n v="25"/>
    <n v="44"/>
    <n v="0"/>
    <n v="1922.56"/>
    <n v="141.32"/>
    <m/>
    <n v="1931.7033804673958"/>
    <n v="135.80626150990429"/>
    <n v="0"/>
    <n v="80.491319999999845"/>
    <n v="0"/>
    <n v="80.632876037114556"/>
    <x v="2"/>
  </r>
  <r>
    <s v="Sistema de Compensação"/>
    <x v="0"/>
    <x v="2"/>
    <x v="2"/>
    <x v="1"/>
    <x v="0"/>
    <x v="0"/>
    <x v="1"/>
    <x v="1"/>
    <n v="0"/>
    <n v="0"/>
    <n v="2.0619999999999998"/>
    <n v="1.9795199999999999"/>
    <n v="2.0619999999999998"/>
    <n v="1.9795199999999999"/>
    <n v="0"/>
    <s v="CATIVO"/>
    <n v="0"/>
    <n v="0"/>
    <n v="25"/>
    <n v="44"/>
    <n v="0"/>
    <n v="1922.56"/>
    <n v="141.32"/>
    <m/>
    <n v="1931.7033804673958"/>
    <n v="135.80626150990429"/>
    <n v="0"/>
    <n v="170.22882239999976"/>
    <n v="0"/>
    <n v="170.52819527028748"/>
    <x v="2"/>
  </r>
  <r>
    <s v="Regular"/>
    <x v="0"/>
    <x v="2"/>
    <x v="2"/>
    <x v="1"/>
    <x v="0"/>
    <x v="0"/>
    <x v="1"/>
    <x v="2"/>
    <n v="0"/>
    <n v="0"/>
    <n v="2.1949999999999998"/>
    <n v="2.1072000000000002"/>
    <n v="2.1949999999999998"/>
    <n v="2.1072000000000002"/>
    <n v="0"/>
    <s v="CATIVO"/>
    <n v="0"/>
    <n v="0"/>
    <n v="25"/>
    <n v="44"/>
    <n v="0"/>
    <n v="1922.56"/>
    <n v="141.32"/>
    <m/>
    <n v="1931.7033804673958"/>
    <n v="135.80626150990429"/>
    <n v="0"/>
    <n v="181.20866399999926"/>
    <n v="0"/>
    <n v="181.52734656560625"/>
    <x v="2"/>
  </r>
  <r>
    <s v="Sistema de Compensação"/>
    <x v="0"/>
    <x v="2"/>
    <x v="2"/>
    <x v="1"/>
    <x v="0"/>
    <x v="0"/>
    <x v="1"/>
    <x v="2"/>
    <n v="0"/>
    <n v="0"/>
    <n v="2.226"/>
    <n v="2.1369600000000002"/>
    <n v="2.226"/>
    <n v="2.1369600000000002"/>
    <n v="0"/>
    <s v="CATIVO"/>
    <n v="0"/>
    <n v="0"/>
    <n v="25"/>
    <n v="44"/>
    <n v="0"/>
    <n v="1922.56"/>
    <n v="141.32"/>
    <m/>
    <n v="1931.7033804673958"/>
    <n v="135.80626150990429"/>
    <n v="0"/>
    <n v="183.76787519999954"/>
    <n v="0"/>
    <n v="184.09105852165837"/>
    <x v="2"/>
  </r>
  <r>
    <s v="Regular"/>
    <x v="0"/>
    <x v="2"/>
    <x v="2"/>
    <x v="1"/>
    <x v="0"/>
    <x v="0"/>
    <x v="1"/>
    <x v="3"/>
    <n v="0"/>
    <n v="0"/>
    <n v="0.248"/>
    <n v="0.23808000000000001"/>
    <n v="0.248"/>
    <n v="0.23808000000000001"/>
    <n v="0"/>
    <s v="CATIVO"/>
    <n v="0"/>
    <n v="0"/>
    <n v="25"/>
    <n v="44"/>
    <n v="0"/>
    <n v="1922.56"/>
    <n v="141.32"/>
    <m/>
    <n v="1931.7033804673958"/>
    <n v="135.80626150990429"/>
    <n v="0"/>
    <n v="20.473689599999965"/>
    <n v="0"/>
    <n v="20.509695648414784"/>
    <x v="2"/>
  </r>
  <r>
    <s v="Sistema de Compensação"/>
    <x v="0"/>
    <x v="2"/>
    <x v="2"/>
    <x v="1"/>
    <x v="0"/>
    <x v="0"/>
    <x v="1"/>
    <x v="3"/>
    <n v="0"/>
    <n v="0"/>
    <n v="2.8319999999999999"/>
    <n v="2.7187199999999998"/>
    <n v="2.8319999999999999"/>
    <n v="2.7187199999999998"/>
    <n v="0"/>
    <s v="CATIVO"/>
    <n v="0"/>
    <n v="0"/>
    <n v="25"/>
    <n v="44"/>
    <n v="0"/>
    <n v="1922.56"/>
    <n v="141.32"/>
    <m/>
    <n v="1931.7033804673958"/>
    <n v="135.80626150990429"/>
    <n v="0"/>
    <n v="233.79632640000008"/>
    <n v="0"/>
    <n v="234.20749224318865"/>
    <x v="2"/>
  </r>
  <r>
    <s v="Regular"/>
    <x v="0"/>
    <x v="2"/>
    <x v="2"/>
    <x v="1"/>
    <x v="0"/>
    <x v="0"/>
    <x v="1"/>
    <x v="4"/>
    <n v="0"/>
    <n v="0"/>
    <n v="2.1789999999999998"/>
    <n v="2.0918399999999999"/>
    <n v="2.1789999999999998"/>
    <n v="2.0918399999999999"/>
    <n v="0"/>
    <s v="CATIVO"/>
    <n v="0"/>
    <n v="0"/>
    <n v="25"/>
    <n v="44"/>
    <n v="0"/>
    <n v="1922.56"/>
    <n v="141.32"/>
    <m/>
    <n v="1931.7033804673958"/>
    <n v="135.80626150990429"/>
    <n v="0"/>
    <n v="179.8877807999998"/>
    <n v="0"/>
    <n v="180.20414039474127"/>
    <x v="2"/>
  </r>
  <r>
    <s v="Sistema de Compensação"/>
    <x v="0"/>
    <x v="2"/>
    <x v="2"/>
    <x v="1"/>
    <x v="0"/>
    <x v="0"/>
    <x v="1"/>
    <x v="4"/>
    <n v="0"/>
    <n v="0"/>
    <n v="2.5579999999999998"/>
    <n v="2.4556800000000001"/>
    <n v="2.5579999999999998"/>
    <n v="2.4556800000000001"/>
    <n v="0"/>
    <s v="CATIVO"/>
    <n v="0"/>
    <n v="0"/>
    <n v="25"/>
    <n v="44"/>
    <n v="0"/>
    <n v="1922.56"/>
    <n v="141.32"/>
    <m/>
    <n v="1931.7033804673958"/>
    <n v="135.80626150990429"/>
    <n v="0"/>
    <n v="211.17620159999947"/>
    <n v="0"/>
    <n v="211.54758656711681"/>
    <x v="2"/>
  </r>
  <r>
    <s v="Regular"/>
    <x v="0"/>
    <x v="2"/>
    <x v="2"/>
    <x v="1"/>
    <x v="0"/>
    <x v="0"/>
    <x v="1"/>
    <x v="5"/>
    <n v="0"/>
    <n v="0"/>
    <n v="2.2130000000000001"/>
    <n v="2.1244800000000001"/>
    <n v="2.2130000000000001"/>
    <n v="2.1244800000000001"/>
    <n v="0"/>
    <s v="CATIVO"/>
    <n v="0"/>
    <n v="0"/>
    <n v="25"/>
    <n v="44"/>
    <n v="0"/>
    <n v="1922.56"/>
    <n v="141.32"/>
    <m/>
    <n v="1931.7033804673958"/>
    <n v="135.80626150990429"/>
    <n v="0"/>
    <n v="182.69465759999986"/>
    <n v="0"/>
    <n v="183.01595350783046"/>
    <x v="2"/>
  </r>
  <r>
    <s v="Sistema de Compensação"/>
    <x v="0"/>
    <x v="2"/>
    <x v="2"/>
    <x v="1"/>
    <x v="0"/>
    <x v="0"/>
    <x v="1"/>
    <x v="5"/>
    <n v="0"/>
    <n v="0"/>
    <n v="2.504"/>
    <n v="2.4038400000000002"/>
    <n v="2.504"/>
    <n v="2.4038400000000002"/>
    <n v="0"/>
    <s v="CATIVO"/>
    <n v="0"/>
    <n v="0"/>
    <n v="25"/>
    <n v="44"/>
    <n v="0"/>
    <n v="1922.56"/>
    <n v="141.32"/>
    <m/>
    <n v="1931.7033804673958"/>
    <n v="135.80626150990429"/>
    <n v="0"/>
    <n v="206.71822079999959"/>
    <n v="0"/>
    <n v="207.08176574044597"/>
    <x v="2"/>
  </r>
  <r>
    <s v="Regular"/>
    <x v="0"/>
    <x v="2"/>
    <x v="2"/>
    <x v="1"/>
    <x v="0"/>
    <x v="0"/>
    <x v="1"/>
    <x v="6"/>
    <n v="0"/>
    <n v="0"/>
    <n v="1.9279999999999999"/>
    <n v="1.8508800000000001"/>
    <n v="1.9279999999999999"/>
    <n v="1.8508800000000001"/>
    <n v="0"/>
    <s v="CATIVO"/>
    <n v="0"/>
    <n v="0"/>
    <n v="25"/>
    <n v="44"/>
    <n v="0"/>
    <n v="1922.56"/>
    <n v="141.32"/>
    <m/>
    <n v="1931.7033804673958"/>
    <n v="135.80626150990429"/>
    <n v="0"/>
    <n v="159.16642559999968"/>
    <n v="0"/>
    <n v="159.44634358928909"/>
    <x v="2"/>
  </r>
  <r>
    <s v="Sistema de Compensação"/>
    <x v="0"/>
    <x v="2"/>
    <x v="2"/>
    <x v="1"/>
    <x v="0"/>
    <x v="0"/>
    <x v="1"/>
    <x v="6"/>
    <n v="0"/>
    <n v="0"/>
    <n v="3.9529999999999998"/>
    <n v="3.79488"/>
    <n v="3.9529999999999998"/>
    <n v="3.79488"/>
    <n v="0"/>
    <s v="CATIVO"/>
    <n v="0"/>
    <n v="0"/>
    <n v="25"/>
    <n v="44"/>
    <n v="0"/>
    <n v="1922.56"/>
    <n v="141.32"/>
    <m/>
    <n v="1931.7033804673958"/>
    <n v="135.80626150990429"/>
    <n v="0"/>
    <n v="326.34070559999964"/>
    <n v="0"/>
    <n v="326.91462458945034"/>
    <x v="2"/>
  </r>
  <r>
    <s v="Regular"/>
    <x v="0"/>
    <x v="2"/>
    <x v="2"/>
    <x v="1"/>
    <x v="0"/>
    <x v="0"/>
    <x v="1"/>
    <x v="7"/>
    <n v="0"/>
    <n v="0"/>
    <n v="1.222"/>
    <n v="1.1731199999999999"/>
    <n v="1.222"/>
    <n v="1.1731199999999999"/>
    <n v="0"/>
    <s v="CATIVO"/>
    <n v="0"/>
    <n v="0"/>
    <n v="25"/>
    <n v="44"/>
    <n v="0"/>
    <n v="1922.56"/>
    <n v="141.32"/>
    <m/>
    <n v="1931.7033804673958"/>
    <n v="135.80626150990429"/>
    <n v="0"/>
    <n v="100.88245440000007"/>
    <n v="0"/>
    <n v="101.0598712998505"/>
    <x v="2"/>
  </r>
  <r>
    <s v="Sistema de Compensação"/>
    <x v="0"/>
    <x v="2"/>
    <x v="2"/>
    <x v="1"/>
    <x v="0"/>
    <x v="0"/>
    <x v="1"/>
    <x v="7"/>
    <n v="0"/>
    <n v="0"/>
    <n v="3.1920000000000002"/>
    <n v="3.0643199999999999"/>
    <n v="3.1920000000000002"/>
    <n v="3.0643199999999999"/>
    <n v="0"/>
    <s v="CATIVO"/>
    <n v="0"/>
    <n v="0"/>
    <n v="25"/>
    <n v="44"/>
    <n v="0"/>
    <n v="1922.56"/>
    <n v="141.32"/>
    <m/>
    <n v="1931.7033804673958"/>
    <n v="135.80626150990429"/>
    <n v="0"/>
    <n v="263.51619840000046"/>
    <n v="0"/>
    <n v="263.97963108766214"/>
    <x v="2"/>
  </r>
  <r>
    <s v="Regular"/>
    <x v="0"/>
    <x v="2"/>
    <x v="2"/>
    <x v="1"/>
    <x v="0"/>
    <x v="0"/>
    <x v="1"/>
    <x v="8"/>
    <n v="0"/>
    <n v="0"/>
    <n v="2.1120000000000001"/>
    <n v="2.02752"/>
    <n v="2.1120000000000001"/>
    <n v="2.02752"/>
    <n v="0"/>
    <s v="CATIVO"/>
    <n v="0"/>
    <n v="0"/>
    <n v="25"/>
    <n v="44"/>
    <n v="0"/>
    <n v="1922.56"/>
    <n v="141.32"/>
    <m/>
    <n v="1931.7033804673958"/>
    <n v="135.80626150990429"/>
    <n v="0"/>
    <n v="174.35658240000024"/>
    <n v="0"/>
    <n v="174.66321455424256"/>
    <x v="2"/>
  </r>
  <r>
    <s v="Sistema de Compensação"/>
    <x v="0"/>
    <x v="2"/>
    <x v="2"/>
    <x v="1"/>
    <x v="0"/>
    <x v="0"/>
    <x v="1"/>
    <x v="8"/>
    <n v="0"/>
    <n v="0"/>
    <n v="1.974"/>
    <n v="1.8950400000000001"/>
    <n v="1.974"/>
    <n v="1.8950400000000001"/>
    <n v="0"/>
    <s v="CATIVO"/>
    <n v="0"/>
    <n v="0"/>
    <n v="25"/>
    <n v="44"/>
    <n v="0"/>
    <n v="1922.56"/>
    <n v="141.32"/>
    <m/>
    <n v="1931.7033804673958"/>
    <n v="135.80626150990429"/>
    <n v="0"/>
    <n v="162.96396479999981"/>
    <n v="0"/>
    <n v="163.25056133052743"/>
    <x v="2"/>
  </r>
  <r>
    <s v="Regular"/>
    <x v="0"/>
    <x v="2"/>
    <x v="2"/>
    <x v="1"/>
    <x v="0"/>
    <x v="0"/>
    <x v="1"/>
    <x v="9"/>
    <n v="0"/>
    <n v="0"/>
    <n v="0.19900000000000001"/>
    <n v="0.19103999999999999"/>
    <n v="0.19900000000000001"/>
    <n v="0.19103999999999999"/>
    <n v="0"/>
    <s v="CATIVO"/>
    <n v="0"/>
    <n v="0"/>
    <n v="25"/>
    <n v="44"/>
    <n v="0"/>
    <n v="1922.56"/>
    <n v="141.32"/>
    <m/>
    <n v="1931.7033804673958"/>
    <n v="135.80626150990429"/>
    <n v="0"/>
    <n v="16.428484800000046"/>
    <n v="0"/>
    <n v="16.457376750139357"/>
    <x v="2"/>
  </r>
  <r>
    <s v="Sistema de Compensação"/>
    <x v="0"/>
    <x v="2"/>
    <x v="2"/>
    <x v="1"/>
    <x v="0"/>
    <x v="0"/>
    <x v="1"/>
    <x v="9"/>
    <n v="0"/>
    <n v="0"/>
    <n v="2.44"/>
    <n v="2.3424"/>
    <n v="2.44"/>
    <n v="2.3424"/>
    <n v="0"/>
    <s v="CATIVO"/>
    <n v="0"/>
    <n v="0"/>
    <n v="25"/>
    <n v="44"/>
    <n v="0"/>
    <n v="1922.56"/>
    <n v="141.32"/>
    <m/>
    <n v="1931.7033804673958"/>
    <n v="135.80626150990429"/>
    <n v="0"/>
    <n v="201.4346879999998"/>
    <n v="0"/>
    <n v="201.78894105698433"/>
    <x v="2"/>
  </r>
  <r>
    <s v="Regular"/>
    <x v="0"/>
    <x v="2"/>
    <x v="2"/>
    <x v="1"/>
    <x v="0"/>
    <x v="0"/>
    <x v="1"/>
    <x v="10"/>
    <n v="0"/>
    <n v="0"/>
    <n v="0.11899999999999999"/>
    <n v="0.11423999999999999"/>
    <n v="0.11899999999999999"/>
    <n v="0.11423999999999999"/>
    <n v="0"/>
    <s v="CATIVO"/>
    <n v="0"/>
    <n v="0"/>
    <n v="25"/>
    <n v="44"/>
    <n v="0"/>
    <n v="1922.56"/>
    <n v="141.32"/>
    <m/>
    <n v="1931.7033804673958"/>
    <n v="135.80626150990429"/>
    <n v="0"/>
    <n v="9.8240688000000009"/>
    <n v="0"/>
    <n v="9.8413458958119495"/>
    <x v="2"/>
  </r>
  <r>
    <s v="Regular"/>
    <x v="0"/>
    <x v="2"/>
    <x v="2"/>
    <x v="1"/>
    <x v="0"/>
    <x v="0"/>
    <x v="1"/>
    <x v="11"/>
    <n v="0"/>
    <n v="0"/>
    <n v="1.5349999999999999"/>
    <n v="1.4736"/>
    <n v="1.5349999999999999"/>
    <n v="1.4736"/>
    <n v="0"/>
    <s v="CATIVO"/>
    <n v="0"/>
    <n v="0"/>
    <n v="25"/>
    <n v="44"/>
    <n v="0"/>
    <n v="1922.56"/>
    <n v="141.32"/>
    <m/>
    <n v="1931.7033804673958"/>
    <n v="135.80626150990429"/>
    <n v="0"/>
    <n v="126.72223199999979"/>
    <n v="0"/>
    <n v="126.94509201740601"/>
    <x v="2"/>
  </r>
  <r>
    <s v="Regular"/>
    <x v="0"/>
    <x v="2"/>
    <x v="0"/>
    <x v="0"/>
    <x v="0"/>
    <x v="0"/>
    <x v="0"/>
    <x v="0"/>
    <n v="0"/>
    <n v="0"/>
    <n v="8.99"/>
    <n v="8.4505999999999997"/>
    <n v="8.99"/>
    <n v="8.4505999999999997"/>
    <n v="0"/>
    <s v="CATIVO"/>
    <n v="0"/>
    <n v="0"/>
    <n v="23"/>
    <n v="51"/>
    <n v="0"/>
    <n v="66.22"/>
    <n v="141.32"/>
    <m/>
    <n v="99.847749713611876"/>
    <n v="135.80626150990429"/>
    <n v="0"/>
    <n v="111.94707600000011"/>
    <n v="0"/>
    <n v="127.11177365396475"/>
    <x v="0"/>
  </r>
  <r>
    <s v="Regular"/>
    <x v="0"/>
    <x v="2"/>
    <x v="0"/>
    <x v="0"/>
    <x v="0"/>
    <x v="0"/>
    <x v="0"/>
    <x v="1"/>
    <n v="0"/>
    <n v="0"/>
    <n v="20.884"/>
    <n v="19.630960000000002"/>
    <n v="20.884"/>
    <n v="19.630960000000002"/>
    <n v="0"/>
    <s v="CATIVO"/>
    <n v="0"/>
    <n v="0"/>
    <n v="23"/>
    <n v="51"/>
    <n v="0"/>
    <n v="66.22"/>
    <n v="141.32"/>
    <m/>
    <n v="99.847749713611876"/>
    <n v="135.80626150990429"/>
    <n v="0"/>
    <n v="260.05592159999969"/>
    <n v="0"/>
    <n v="295.28390222351436"/>
    <x v="0"/>
  </r>
  <r>
    <s v="Regular"/>
    <x v="0"/>
    <x v="2"/>
    <x v="0"/>
    <x v="0"/>
    <x v="0"/>
    <x v="0"/>
    <x v="0"/>
    <x v="2"/>
    <n v="0"/>
    <n v="0"/>
    <n v="42.347999999999999"/>
    <n v="39.807119999999998"/>
    <n v="42.347999999999999"/>
    <n v="39.807119999999998"/>
    <n v="0"/>
    <s v="CATIVO"/>
    <n v="0"/>
    <n v="0"/>
    <n v="23"/>
    <n v="51"/>
    <n v="0"/>
    <n v="66.22"/>
    <n v="141.32"/>
    <m/>
    <n v="99.847749713611876"/>
    <n v="135.80626150990429"/>
    <n v="0"/>
    <n v="527.33423520000031"/>
    <n v="0"/>
    <n v="598.76856403760803"/>
    <x v="0"/>
  </r>
  <r>
    <s v="Regular"/>
    <x v="0"/>
    <x v="2"/>
    <x v="0"/>
    <x v="0"/>
    <x v="0"/>
    <x v="0"/>
    <x v="0"/>
    <x v="3"/>
    <n v="0"/>
    <n v="0"/>
    <n v="44.311999999999998"/>
    <n v="41.653280000000002"/>
    <n v="44.311999999999998"/>
    <n v="41.653280000000002"/>
    <n v="0"/>
    <s v="CATIVO"/>
    <n v="0"/>
    <n v="0"/>
    <n v="23"/>
    <n v="51"/>
    <n v="0"/>
    <n v="66.22"/>
    <n v="141.32"/>
    <m/>
    <n v="99.847749713611876"/>
    <n v="135.80626150990429"/>
    <n v="0"/>
    <n v="551.79074879999905"/>
    <n v="0"/>
    <n v="626.53803272018581"/>
    <x v="0"/>
  </r>
  <r>
    <s v="Regular"/>
    <x v="0"/>
    <x v="2"/>
    <x v="0"/>
    <x v="0"/>
    <x v="0"/>
    <x v="0"/>
    <x v="0"/>
    <x v="4"/>
    <n v="0"/>
    <n v="0"/>
    <n v="46.517000000000003"/>
    <n v="43.72598"/>
    <n v="46.517000000000003"/>
    <n v="43.72598"/>
    <n v="0"/>
    <s v="CATIVO"/>
    <n v="0"/>
    <n v="0"/>
    <n v="23"/>
    <n v="51"/>
    <n v="0"/>
    <n v="66.22"/>
    <n v="141.32"/>
    <m/>
    <n v="99.847749713611876"/>
    <n v="135.80626150990429"/>
    <n v="0"/>
    <n v="579.24829080000063"/>
    <n v="0"/>
    <n v="657.71505840505881"/>
    <x v="0"/>
  </r>
  <r>
    <s v="Regular"/>
    <x v="0"/>
    <x v="2"/>
    <x v="0"/>
    <x v="0"/>
    <x v="0"/>
    <x v="0"/>
    <x v="0"/>
    <x v="5"/>
    <n v="0"/>
    <n v="0"/>
    <n v="38.237000000000002"/>
    <n v="35.942779999999999"/>
    <n v="38.237000000000002"/>
    <n v="35.942779999999999"/>
    <n v="0"/>
    <s v="CATIVO"/>
    <n v="0"/>
    <n v="0"/>
    <n v="23"/>
    <n v="51"/>
    <n v="0"/>
    <n v="66.22"/>
    <n v="141.32"/>
    <m/>
    <n v="99.847749713611876"/>
    <n v="135.80626150990429"/>
    <n v="0"/>
    <n v="476.14241880000054"/>
    <n v="0"/>
    <n v="540.64214562921586"/>
    <x v="0"/>
  </r>
  <r>
    <s v="Regular"/>
    <x v="0"/>
    <x v="2"/>
    <x v="0"/>
    <x v="0"/>
    <x v="0"/>
    <x v="0"/>
    <x v="0"/>
    <x v="6"/>
    <n v="0"/>
    <n v="0"/>
    <n v="41.484000000000002"/>
    <n v="38.994959999999999"/>
    <n v="41.484000000000002"/>
    <n v="38.994959999999999"/>
    <n v="0"/>
    <s v="CATIVO"/>
    <n v="0"/>
    <n v="0"/>
    <n v="23"/>
    <n v="51"/>
    <n v="0"/>
    <n v="66.22"/>
    <n v="141.32"/>
    <m/>
    <n v="99.847749713611876"/>
    <n v="135.80626150990429"/>
    <n v="0"/>
    <n v="516.57536160000063"/>
    <n v="0"/>
    <n v="586.55226009578132"/>
    <x v="0"/>
  </r>
  <r>
    <s v="Regular"/>
    <x v="0"/>
    <x v="2"/>
    <x v="0"/>
    <x v="0"/>
    <x v="0"/>
    <x v="0"/>
    <x v="0"/>
    <x v="7"/>
    <n v="0"/>
    <n v="0"/>
    <n v="34.99"/>
    <n v="32.890599999999999"/>
    <n v="34.99"/>
    <n v="32.890599999999999"/>
    <n v="0"/>
    <s v="CATIVO"/>
    <n v="0"/>
    <n v="0"/>
    <n v="23"/>
    <n v="51"/>
    <n v="0"/>
    <n v="66.22"/>
    <n v="141.32"/>
    <m/>
    <n v="99.847749713611876"/>
    <n v="135.80626150990429"/>
    <n v="0"/>
    <n v="435.70947600000056"/>
    <n v="0"/>
    <n v="494.73203116265051"/>
    <x v="0"/>
  </r>
  <r>
    <s v="Regular"/>
    <x v="0"/>
    <x v="2"/>
    <x v="0"/>
    <x v="0"/>
    <x v="0"/>
    <x v="0"/>
    <x v="0"/>
    <x v="8"/>
    <n v="0"/>
    <n v="0"/>
    <n v="6.7729999999999997"/>
    <n v="6.3666200000000002"/>
    <n v="6.7729999999999997"/>
    <n v="6.3666200000000002"/>
    <n v="0"/>
    <s v="CATIVO"/>
    <n v="0"/>
    <n v="0"/>
    <n v="23"/>
    <n v="51"/>
    <n v="0"/>
    <n v="66.22"/>
    <n v="141.32"/>
    <m/>
    <n v="99.847749713611876"/>
    <n v="135.80626150990429"/>
    <n v="0"/>
    <n v="84.340105199999897"/>
    <n v="0"/>
    <n v="95.765077081012379"/>
    <x v="0"/>
  </r>
  <r>
    <s v="Regular"/>
    <x v="0"/>
    <x v="2"/>
    <x v="0"/>
    <x v="0"/>
    <x v="0"/>
    <x v="0"/>
    <x v="0"/>
    <x v="10"/>
    <n v="0"/>
    <n v="0"/>
    <n v="7.66"/>
    <n v="7.2004000000000001"/>
    <n v="7.66"/>
    <n v="7.2004000000000001"/>
    <n v="0"/>
    <s v="CATIVO"/>
    <n v="0"/>
    <n v="0"/>
    <n v="23"/>
    <n v="51"/>
    <n v="0"/>
    <n v="66.22"/>
    <n v="141.32"/>
    <m/>
    <n v="99.847749713611876"/>
    <n v="135.80626150990429"/>
    <n v="0"/>
    <n v="95.385384000000002"/>
    <n v="0"/>
    <n v="108.30658355832803"/>
    <x v="0"/>
  </r>
  <r>
    <s v="Regular"/>
    <x v="0"/>
    <x v="2"/>
    <x v="0"/>
    <x v="0"/>
    <x v="0"/>
    <x v="0"/>
    <x v="0"/>
    <x v="11"/>
    <n v="0"/>
    <n v="0"/>
    <n v="26.152999999999999"/>
    <n v="24.583819999999999"/>
    <n v="26.152999999999999"/>
    <n v="24.583819999999999"/>
    <n v="0"/>
    <s v="CATIVO"/>
    <n v="0"/>
    <n v="0"/>
    <n v="23"/>
    <n v="51"/>
    <n v="0"/>
    <n v="66.22"/>
    <n v="141.32"/>
    <m/>
    <n v="99.847749713611876"/>
    <n v="135.80626150990429"/>
    <n v="0"/>
    <n v="325.66761719999988"/>
    <n v="0"/>
    <n v="369.7835613317169"/>
    <x v="0"/>
  </r>
  <r>
    <s v="Regular"/>
    <x v="0"/>
    <x v="2"/>
    <x v="0"/>
    <x v="0"/>
    <x v="0"/>
    <x v="0"/>
    <x v="2"/>
    <x v="0"/>
    <n v="80"/>
    <n v="68"/>
    <n v="0"/>
    <n v="0"/>
    <n v="0"/>
    <n v="0"/>
    <n v="1"/>
    <s v="CATIVO"/>
    <n v="0"/>
    <n v="16"/>
    <n v="0"/>
    <n v="0"/>
    <n v="25.66"/>
    <n v="0"/>
    <n v="0"/>
    <n v="25.189608465764316"/>
    <m/>
    <m/>
    <n v="307.92"/>
    <n v="0"/>
    <n v="302.27530158917182"/>
    <n v="0"/>
    <x v="0"/>
  </r>
  <r>
    <s v="Regular"/>
    <x v="0"/>
    <x v="2"/>
    <x v="0"/>
    <x v="0"/>
    <x v="0"/>
    <x v="0"/>
    <x v="2"/>
    <x v="1"/>
    <n v="87"/>
    <n v="73.95"/>
    <n v="0"/>
    <n v="0"/>
    <n v="0"/>
    <n v="0"/>
    <n v="1"/>
    <s v="CATIVO"/>
    <n v="0"/>
    <n v="16"/>
    <n v="0"/>
    <n v="0"/>
    <n v="25.66"/>
    <n v="0"/>
    <n v="0"/>
    <n v="25.189608465764316"/>
    <m/>
    <m/>
    <n v="334.86299999999994"/>
    <n v="0"/>
    <n v="328.72439047822422"/>
    <n v="0"/>
    <x v="0"/>
  </r>
  <r>
    <s v="Regular"/>
    <x v="0"/>
    <x v="2"/>
    <x v="0"/>
    <x v="0"/>
    <x v="0"/>
    <x v="0"/>
    <x v="2"/>
    <x v="2"/>
    <n v="89"/>
    <n v="75.649999999999991"/>
    <n v="0"/>
    <n v="0"/>
    <n v="0"/>
    <n v="0"/>
    <n v="1"/>
    <s v="CATIVO"/>
    <n v="0"/>
    <n v="16"/>
    <n v="0"/>
    <n v="0"/>
    <n v="25.66"/>
    <n v="0"/>
    <n v="0"/>
    <n v="25.189608465764316"/>
    <m/>
    <m/>
    <n v="342.56100000000021"/>
    <n v="0"/>
    <n v="336.28127301795382"/>
    <n v="0"/>
    <x v="0"/>
  </r>
  <r>
    <s v="Regular"/>
    <x v="0"/>
    <x v="2"/>
    <x v="0"/>
    <x v="0"/>
    <x v="0"/>
    <x v="0"/>
    <x v="2"/>
    <x v="3"/>
    <n v="85"/>
    <n v="72.25"/>
    <n v="0"/>
    <n v="0"/>
    <n v="0"/>
    <n v="0"/>
    <n v="1"/>
    <s v="CATIVO"/>
    <n v="0"/>
    <n v="16"/>
    <n v="0"/>
    <n v="0"/>
    <n v="25.66"/>
    <n v="0"/>
    <n v="0"/>
    <n v="25.189608465764316"/>
    <m/>
    <m/>
    <n v="327.16500000000002"/>
    <n v="0"/>
    <n v="321.16750793849502"/>
    <n v="0"/>
    <x v="0"/>
  </r>
  <r>
    <s v="Regular"/>
    <x v="0"/>
    <x v="2"/>
    <x v="0"/>
    <x v="0"/>
    <x v="0"/>
    <x v="0"/>
    <x v="2"/>
    <x v="4"/>
    <n v="84"/>
    <n v="71.399999999999991"/>
    <n v="0"/>
    <n v="0"/>
    <n v="0"/>
    <n v="0"/>
    <n v="1"/>
    <s v="CATIVO"/>
    <n v="0"/>
    <n v="16"/>
    <n v="0"/>
    <n v="0"/>
    <n v="25.66"/>
    <n v="0"/>
    <n v="0"/>
    <n v="25.189608465764316"/>
    <m/>
    <m/>
    <n v="323.3160000000002"/>
    <n v="0"/>
    <n v="317.38906666863062"/>
    <n v="0"/>
    <x v="0"/>
  </r>
  <r>
    <s v="Regular"/>
    <x v="0"/>
    <x v="2"/>
    <x v="0"/>
    <x v="0"/>
    <x v="0"/>
    <x v="0"/>
    <x v="2"/>
    <x v="5"/>
    <n v="84"/>
    <n v="71.399999999999991"/>
    <n v="0"/>
    <n v="0"/>
    <n v="0"/>
    <n v="0"/>
    <n v="1"/>
    <s v="CATIVO"/>
    <n v="0"/>
    <n v="16"/>
    <n v="0"/>
    <n v="0"/>
    <n v="25.66"/>
    <n v="0"/>
    <n v="0"/>
    <n v="25.189608465764316"/>
    <m/>
    <m/>
    <n v="323.3160000000002"/>
    <n v="0"/>
    <n v="317.38906666863062"/>
    <n v="0"/>
    <x v="0"/>
  </r>
  <r>
    <s v="Regular"/>
    <x v="0"/>
    <x v="2"/>
    <x v="0"/>
    <x v="0"/>
    <x v="0"/>
    <x v="0"/>
    <x v="2"/>
    <x v="6"/>
    <n v="85"/>
    <n v="72.25"/>
    <n v="0"/>
    <n v="0"/>
    <n v="0"/>
    <n v="0"/>
    <n v="1"/>
    <s v="CATIVO"/>
    <n v="0"/>
    <n v="16"/>
    <n v="0"/>
    <n v="0"/>
    <n v="25.66"/>
    <n v="0"/>
    <n v="0"/>
    <n v="25.189608465764316"/>
    <m/>
    <m/>
    <n v="327.16500000000002"/>
    <n v="0"/>
    <n v="321.16750793849502"/>
    <n v="0"/>
    <x v="0"/>
  </r>
  <r>
    <s v="Regular"/>
    <x v="0"/>
    <x v="2"/>
    <x v="0"/>
    <x v="0"/>
    <x v="0"/>
    <x v="0"/>
    <x v="2"/>
    <x v="7"/>
    <n v="87"/>
    <n v="73.95"/>
    <n v="0"/>
    <n v="0"/>
    <n v="0"/>
    <n v="0"/>
    <n v="1"/>
    <s v="CATIVO"/>
    <n v="0"/>
    <n v="16"/>
    <n v="0"/>
    <n v="0"/>
    <n v="25.66"/>
    <n v="0"/>
    <n v="0"/>
    <n v="25.189608465764316"/>
    <m/>
    <m/>
    <n v="334.86299999999994"/>
    <n v="0"/>
    <n v="328.72439047822422"/>
    <n v="0"/>
    <x v="0"/>
  </r>
  <r>
    <s v="Regular"/>
    <x v="0"/>
    <x v="2"/>
    <x v="0"/>
    <x v="0"/>
    <x v="0"/>
    <x v="0"/>
    <x v="2"/>
    <x v="8"/>
    <n v="88"/>
    <n v="74.8"/>
    <n v="0"/>
    <n v="0"/>
    <n v="0"/>
    <n v="0"/>
    <n v="1"/>
    <s v="CATIVO"/>
    <n v="0"/>
    <n v="16"/>
    <n v="0"/>
    <n v="0"/>
    <n v="25.66"/>
    <n v="0"/>
    <n v="0"/>
    <n v="25.189608465764316"/>
    <m/>
    <m/>
    <n v="338.7120000000001"/>
    <n v="0"/>
    <n v="332.50283174808902"/>
    <n v="0"/>
    <x v="0"/>
  </r>
  <r>
    <s v="Regular"/>
    <x v="0"/>
    <x v="2"/>
    <x v="0"/>
    <x v="0"/>
    <x v="0"/>
    <x v="0"/>
    <x v="2"/>
    <x v="9"/>
    <n v="88"/>
    <n v="74.8"/>
    <n v="0"/>
    <n v="0"/>
    <n v="0"/>
    <n v="0"/>
    <n v="1"/>
    <s v="CATIVO"/>
    <n v="0"/>
    <n v="16"/>
    <n v="0"/>
    <n v="0"/>
    <n v="25.66"/>
    <n v="0"/>
    <n v="0"/>
    <n v="25.189608465764316"/>
    <m/>
    <m/>
    <n v="338.7120000000001"/>
    <n v="0"/>
    <n v="332.50283174808902"/>
    <n v="0"/>
    <x v="0"/>
  </r>
  <r>
    <s v="Regular"/>
    <x v="0"/>
    <x v="2"/>
    <x v="0"/>
    <x v="0"/>
    <x v="0"/>
    <x v="0"/>
    <x v="2"/>
    <x v="10"/>
    <n v="88"/>
    <n v="74.8"/>
    <n v="0"/>
    <n v="0"/>
    <n v="0"/>
    <n v="0"/>
    <n v="1"/>
    <s v="CATIVO"/>
    <n v="0"/>
    <n v="16"/>
    <n v="0"/>
    <n v="0"/>
    <n v="25.66"/>
    <n v="0"/>
    <n v="0"/>
    <n v="25.189608465764316"/>
    <m/>
    <m/>
    <n v="338.7120000000001"/>
    <n v="0"/>
    <n v="332.50283174808902"/>
    <n v="0"/>
    <x v="0"/>
  </r>
  <r>
    <s v="Regular"/>
    <x v="0"/>
    <x v="2"/>
    <x v="0"/>
    <x v="0"/>
    <x v="0"/>
    <x v="0"/>
    <x v="2"/>
    <x v="11"/>
    <n v="88"/>
    <n v="74.8"/>
    <n v="0"/>
    <n v="0"/>
    <n v="0"/>
    <n v="0"/>
    <n v="1"/>
    <s v="CATIVO"/>
    <n v="0"/>
    <n v="16"/>
    <n v="0"/>
    <n v="0"/>
    <n v="25.66"/>
    <n v="0"/>
    <n v="0"/>
    <n v="25.189608465764316"/>
    <m/>
    <m/>
    <n v="338.7120000000001"/>
    <n v="0"/>
    <n v="332.50283174808902"/>
    <n v="0"/>
    <x v="0"/>
  </r>
  <r>
    <s v="Regular"/>
    <x v="0"/>
    <x v="2"/>
    <x v="0"/>
    <x v="0"/>
    <x v="0"/>
    <x v="0"/>
    <x v="1"/>
    <x v="0"/>
    <n v="0"/>
    <n v="0"/>
    <n v="1.157"/>
    <n v="1.08758"/>
    <n v="1.157"/>
    <n v="1.08758"/>
    <n v="0"/>
    <s v="CATIVO"/>
    <n v="0"/>
    <n v="0"/>
    <n v="25"/>
    <n v="44"/>
    <n v="0"/>
    <n v="1922.56"/>
    <n v="141.32"/>
    <m/>
    <n v="1931.7033804673958"/>
    <n v="135.80626150990429"/>
    <n v="0"/>
    <n v="143.27454960000006"/>
    <n v="0"/>
    <n v="143.52651934606425"/>
    <x v="0"/>
  </r>
  <r>
    <s v="Regular"/>
    <x v="0"/>
    <x v="2"/>
    <x v="0"/>
    <x v="0"/>
    <x v="0"/>
    <x v="0"/>
    <x v="1"/>
    <x v="1"/>
    <n v="0"/>
    <n v="0"/>
    <n v="2.4889999999999999"/>
    <n v="2.3396599999999999"/>
    <n v="2.4889999999999999"/>
    <n v="2.3396599999999999"/>
    <n v="0"/>
    <s v="CATIVO"/>
    <n v="0"/>
    <n v="0"/>
    <n v="25"/>
    <n v="44"/>
    <n v="0"/>
    <n v="1922.56"/>
    <n v="141.32"/>
    <m/>
    <n v="1931.7033804673958"/>
    <n v="135.80626150990429"/>
    <n v="0"/>
    <n v="308.21983920000002"/>
    <n v="0"/>
    <n v="308.76188993289003"/>
    <x v="0"/>
  </r>
  <r>
    <s v="Regular"/>
    <x v="0"/>
    <x v="2"/>
    <x v="0"/>
    <x v="0"/>
    <x v="0"/>
    <x v="0"/>
    <x v="1"/>
    <x v="2"/>
    <n v="0"/>
    <n v="0"/>
    <n v="4.4770000000000003"/>
    <n v="4.20838"/>
    <n v="4.4770000000000003"/>
    <n v="4.20838"/>
    <n v="0"/>
    <s v="CATIVO"/>
    <n v="0"/>
    <n v="0"/>
    <n v="25"/>
    <n v="44"/>
    <n v="0"/>
    <n v="1922.56"/>
    <n v="141.32"/>
    <m/>
    <n v="1931.7033804673958"/>
    <n v="135.80626150990429"/>
    <n v="0"/>
    <n v="554.3994456000006"/>
    <n v="0"/>
    <n v="555.37444002794291"/>
    <x v="0"/>
  </r>
  <r>
    <s v="Regular"/>
    <x v="0"/>
    <x v="2"/>
    <x v="0"/>
    <x v="0"/>
    <x v="0"/>
    <x v="0"/>
    <x v="1"/>
    <x v="3"/>
    <n v="0"/>
    <n v="0"/>
    <n v="5.694"/>
    <n v="5.35236"/>
    <n v="5.694"/>
    <n v="5.35236"/>
    <n v="0"/>
    <s v="CATIVO"/>
    <n v="0"/>
    <n v="0"/>
    <n v="25"/>
    <n v="44"/>
    <n v="0"/>
    <n v="1922.56"/>
    <n v="141.32"/>
    <m/>
    <n v="1931.7033804673958"/>
    <n v="135.80626150990429"/>
    <n v="0"/>
    <n v="705.10396319999984"/>
    <n v="0"/>
    <n v="706.34399408512468"/>
    <x v="0"/>
  </r>
  <r>
    <s v="Regular"/>
    <x v="0"/>
    <x v="2"/>
    <x v="0"/>
    <x v="0"/>
    <x v="0"/>
    <x v="0"/>
    <x v="1"/>
    <x v="4"/>
    <n v="0"/>
    <n v="0"/>
    <n v="4.8470000000000004"/>
    <n v="4.5561800000000003"/>
    <n v="4.8470000000000004"/>
    <n v="4.5561800000000003"/>
    <n v="0"/>
    <s v="CATIVO"/>
    <n v="0"/>
    <n v="0"/>
    <n v="25"/>
    <n v="44"/>
    <n v="0"/>
    <n v="1922.56"/>
    <n v="141.32"/>
    <m/>
    <n v="1931.7033804673958"/>
    <n v="135.80626150990429"/>
    <n v="0"/>
    <n v="600.21758160000013"/>
    <n v="0"/>
    <n v="601.27315407983849"/>
    <x v="0"/>
  </r>
  <r>
    <s v="Regular"/>
    <x v="0"/>
    <x v="2"/>
    <x v="0"/>
    <x v="0"/>
    <x v="0"/>
    <x v="0"/>
    <x v="1"/>
    <x v="5"/>
    <n v="0"/>
    <n v="0"/>
    <n v="4.827"/>
    <n v="4.5373799999999997"/>
    <n v="4.827"/>
    <n v="4.5373799999999997"/>
    <n v="0"/>
    <s v="CATIVO"/>
    <n v="0"/>
    <n v="0"/>
    <n v="25"/>
    <n v="44"/>
    <n v="0"/>
    <n v="1922.56"/>
    <n v="141.32"/>
    <m/>
    <n v="1931.7033804673958"/>
    <n v="135.80626150990429"/>
    <n v="0"/>
    <n v="597.74092560000042"/>
    <n v="0"/>
    <n v="598.79214250946609"/>
    <x v="0"/>
  </r>
  <r>
    <s v="Regular"/>
    <x v="0"/>
    <x v="2"/>
    <x v="0"/>
    <x v="0"/>
    <x v="0"/>
    <x v="0"/>
    <x v="1"/>
    <x v="6"/>
    <n v="0"/>
    <n v="0"/>
    <n v="5.0430000000000001"/>
    <n v="4.7404200000000003"/>
    <n v="5.0430000000000001"/>
    <n v="4.7404200000000003"/>
    <n v="0"/>
    <s v="CATIVO"/>
    <n v="0"/>
    <n v="0"/>
    <n v="25"/>
    <n v="44"/>
    <n v="0"/>
    <n v="1922.56"/>
    <n v="141.32"/>
    <m/>
    <n v="1931.7033804673958"/>
    <n v="135.80626150990429"/>
    <n v="0"/>
    <n v="624.48881039999969"/>
    <n v="0"/>
    <n v="625.58706746949122"/>
    <x v="0"/>
  </r>
  <r>
    <s v="Regular"/>
    <x v="0"/>
    <x v="2"/>
    <x v="0"/>
    <x v="0"/>
    <x v="0"/>
    <x v="0"/>
    <x v="1"/>
    <x v="7"/>
    <n v="0"/>
    <n v="0"/>
    <n v="3.74"/>
    <n v="3.5156000000000001"/>
    <n v="3.74"/>
    <n v="3.5156000000000001"/>
    <n v="0"/>
    <s v="CATIVO"/>
    <n v="0"/>
    <n v="0"/>
    <n v="25"/>
    <n v="44"/>
    <n v="0"/>
    <n v="1922.56"/>
    <n v="141.32"/>
    <m/>
    <n v="1931.7033804673958"/>
    <n v="135.80626150990429"/>
    <n v="0"/>
    <n v="463.13467200000031"/>
    <n v="0"/>
    <n v="463.94916365970647"/>
    <x v="0"/>
  </r>
  <r>
    <s v="Regular"/>
    <x v="0"/>
    <x v="2"/>
    <x v="0"/>
    <x v="0"/>
    <x v="0"/>
    <x v="0"/>
    <x v="1"/>
    <x v="8"/>
    <n v="0"/>
    <n v="0"/>
    <n v="0.52400000000000002"/>
    <n v="0.49256"/>
    <n v="0.52400000000000002"/>
    <n v="0.49256"/>
    <n v="0"/>
    <s v="CATIVO"/>
    <n v="0"/>
    <n v="0"/>
    <n v="25"/>
    <n v="44"/>
    <n v="0"/>
    <n v="1922.56"/>
    <n v="141.32"/>
    <m/>
    <n v="1931.7033804673958"/>
    <n v="135.80626150990429"/>
    <n v="0"/>
    <n v="64.888387200000039"/>
    <n v="0"/>
    <n v="65.002503143766361"/>
    <x v="0"/>
  </r>
  <r>
    <s v="Regular"/>
    <x v="0"/>
    <x v="2"/>
    <x v="0"/>
    <x v="0"/>
    <x v="0"/>
    <x v="0"/>
    <x v="1"/>
    <x v="10"/>
    <n v="0"/>
    <n v="0"/>
    <n v="0.77600000000000002"/>
    <n v="0.72943999999999998"/>
    <n v="0.77600000000000002"/>
    <n v="0.72943999999999998"/>
    <n v="0"/>
    <s v="CATIVO"/>
    <n v="0"/>
    <n v="0"/>
    <n v="25"/>
    <n v="44"/>
    <n v="0"/>
    <n v="1922.56"/>
    <n v="141.32"/>
    <m/>
    <n v="1931.7033804673958"/>
    <n v="135.80626150990429"/>
    <n v="0"/>
    <n v="96.094252800000092"/>
    <n v="0"/>
    <n v="96.263248930463192"/>
    <x v="0"/>
  </r>
  <r>
    <s v="Regular"/>
    <x v="0"/>
    <x v="2"/>
    <x v="0"/>
    <x v="0"/>
    <x v="0"/>
    <x v="0"/>
    <x v="1"/>
    <x v="11"/>
    <n v="0"/>
    <n v="0"/>
    <n v="2.86"/>
    <n v="2.6884000000000001"/>
    <n v="2.86"/>
    <n v="2.6884000000000001"/>
    <n v="0"/>
    <s v="CATIVO"/>
    <n v="0"/>
    <n v="0"/>
    <n v="25"/>
    <n v="44"/>
    <n v="0"/>
    <n v="1922.56"/>
    <n v="141.32"/>
    <m/>
    <n v="1931.7033804673958"/>
    <n v="135.80626150990429"/>
    <n v="0"/>
    <n v="354.1618079999995"/>
    <n v="0"/>
    <n v="354.78465456330423"/>
    <x v="0"/>
  </r>
  <r>
    <s v="Regular"/>
    <x v="1"/>
    <x v="3"/>
    <x v="3"/>
    <x v="2"/>
    <x v="0"/>
    <x v="0"/>
    <x v="2"/>
    <x v="0"/>
    <n v="0"/>
    <n v="0"/>
    <n v="753.95"/>
    <n v="753.95"/>
    <n v="753.95"/>
    <n v="753.95"/>
    <n v="4009"/>
    <s v="CATIVO"/>
    <n v="0"/>
    <n v="0"/>
    <n v="2"/>
    <n v="32"/>
    <n v="0"/>
    <n v="377.01"/>
    <n v="141.32"/>
    <m/>
    <n v="415.67450254064073"/>
    <n v="135.80626150990429"/>
    <n v="0"/>
    <n v="0"/>
    <n v="0"/>
    <n v="0"/>
    <x v="3"/>
  </r>
  <r>
    <s v="Regular"/>
    <x v="1"/>
    <x v="3"/>
    <x v="3"/>
    <x v="3"/>
    <x v="0"/>
    <x v="0"/>
    <x v="2"/>
    <x v="0"/>
    <n v="0"/>
    <n v="0"/>
    <n v="1.0249999999999999"/>
    <n v="1.0249999999999999"/>
    <n v="1.0249999999999999"/>
    <n v="1.0249999999999999"/>
    <n v="3"/>
    <s v="CATIVO"/>
    <n v="0"/>
    <n v="0"/>
    <n v="21"/>
    <n v="39"/>
    <n v="0"/>
    <n v="108.8"/>
    <n v="49.46"/>
    <m/>
    <n v="108.24753272667745"/>
    <n v="47.532191528466498"/>
    <n v="0"/>
    <n v="301.24749999999995"/>
    <n v="0"/>
    <n v="296.53783224282756"/>
    <x v="4"/>
  </r>
  <r>
    <s v="Regular"/>
    <x v="1"/>
    <x v="3"/>
    <x v="3"/>
    <x v="3"/>
    <x v="0"/>
    <x v="0"/>
    <x v="2"/>
    <x v="1"/>
    <n v="0"/>
    <n v="0"/>
    <n v="1.05"/>
    <n v="1.05"/>
    <n v="1.05"/>
    <n v="1.05"/>
    <n v="0"/>
    <s v="CATIVO"/>
    <n v="0"/>
    <n v="0"/>
    <n v="21"/>
    <n v="39"/>
    <n v="0"/>
    <n v="108.8"/>
    <n v="49.46"/>
    <m/>
    <n v="108.24753272667745"/>
    <n v="47.532191528466498"/>
    <n v="0"/>
    <n v="308.59499999999997"/>
    <n v="0"/>
    <n v="303.77046229753074"/>
    <x v="4"/>
  </r>
  <r>
    <s v="Regular"/>
    <x v="1"/>
    <x v="3"/>
    <x v="3"/>
    <x v="3"/>
    <x v="0"/>
    <x v="0"/>
    <x v="2"/>
    <x v="2"/>
    <n v="0"/>
    <n v="0"/>
    <n v="1.1399999999999999"/>
    <n v="1.1399999999999999"/>
    <n v="1.1399999999999999"/>
    <n v="1.1399999999999999"/>
    <n v="1"/>
    <s v="CATIVO"/>
    <n v="0"/>
    <n v="0"/>
    <n v="21"/>
    <n v="39"/>
    <n v="0"/>
    <n v="108.8"/>
    <n v="49.46"/>
    <m/>
    <n v="108.24753272667745"/>
    <n v="47.532191528466498"/>
    <n v="0"/>
    <n v="335.04599999999994"/>
    <n v="0"/>
    <n v="329.80793049446191"/>
    <x v="4"/>
  </r>
  <r>
    <s v="Regular"/>
    <x v="1"/>
    <x v="3"/>
    <x v="3"/>
    <x v="3"/>
    <x v="0"/>
    <x v="0"/>
    <x v="2"/>
    <x v="3"/>
    <n v="0"/>
    <n v="0"/>
    <n v="1.1399999999999999"/>
    <n v="1.1399999999999999"/>
    <n v="1.1399999999999999"/>
    <n v="1.1399999999999999"/>
    <n v="1"/>
    <s v="CATIVO"/>
    <n v="0"/>
    <n v="0"/>
    <n v="21"/>
    <n v="39"/>
    <n v="0"/>
    <n v="108.8"/>
    <n v="49.46"/>
    <m/>
    <n v="108.24753272667745"/>
    <n v="47.532191528466498"/>
    <n v="0"/>
    <n v="335.04599999999994"/>
    <n v="0"/>
    <n v="329.80793049446191"/>
    <x v="4"/>
  </r>
  <r>
    <s v="Regular"/>
    <x v="1"/>
    <x v="3"/>
    <x v="3"/>
    <x v="3"/>
    <x v="0"/>
    <x v="0"/>
    <x v="2"/>
    <x v="4"/>
    <n v="0"/>
    <n v="0"/>
    <n v="1.17"/>
    <n v="1.17"/>
    <n v="1.17"/>
    <n v="1.17"/>
    <n v="1"/>
    <s v="CATIVO"/>
    <n v="0"/>
    <n v="0"/>
    <n v="21"/>
    <n v="39"/>
    <n v="0"/>
    <n v="108.8"/>
    <n v="49.46"/>
    <m/>
    <n v="108.24753272667745"/>
    <n v="47.532191528466498"/>
    <n v="0"/>
    <n v="343.86299999999994"/>
    <n v="0"/>
    <n v="338.48708656010564"/>
    <x v="4"/>
  </r>
  <r>
    <s v="Regular"/>
    <x v="1"/>
    <x v="3"/>
    <x v="3"/>
    <x v="3"/>
    <x v="0"/>
    <x v="0"/>
    <x v="2"/>
    <x v="5"/>
    <n v="0"/>
    <n v="0"/>
    <n v="2.25"/>
    <n v="2.25"/>
    <n v="2.25"/>
    <n v="2.25"/>
    <n v="0"/>
    <s v="CATIVO"/>
    <n v="0"/>
    <n v="0"/>
    <n v="21"/>
    <n v="39"/>
    <n v="0"/>
    <n v="108.8"/>
    <n v="49.46"/>
    <m/>
    <n v="108.24753272667745"/>
    <n v="47.532191528466498"/>
    <n v="0"/>
    <n v="661.27499999999998"/>
    <n v="0"/>
    <n v="650.9367049232801"/>
    <x v="4"/>
  </r>
  <r>
    <s v="Sistema de Compensação"/>
    <x v="1"/>
    <x v="3"/>
    <x v="3"/>
    <x v="3"/>
    <x v="0"/>
    <x v="0"/>
    <x v="2"/>
    <x v="5"/>
    <n v="0"/>
    <n v="0"/>
    <n v="0.01"/>
    <n v="3.5000000000000001E-3"/>
    <n v="0.01"/>
    <n v="3.5000000000000001E-3"/>
    <n v="0"/>
    <s v="CATIVO"/>
    <n v="0"/>
    <n v="0"/>
    <n v="21"/>
    <n v="39"/>
    <n v="0"/>
    <n v="108.8"/>
    <n v="49.46"/>
    <m/>
    <n v="108.24753272667745"/>
    <n v="47.532191528466498"/>
    <n v="0"/>
    <n v="3.9676899999999997"/>
    <n v="0"/>
    <n v="3.9056202295396809"/>
    <x v="4"/>
  </r>
  <r>
    <s v="Regular"/>
    <x v="1"/>
    <x v="3"/>
    <x v="3"/>
    <x v="3"/>
    <x v="0"/>
    <x v="0"/>
    <x v="2"/>
    <x v="6"/>
    <n v="0"/>
    <n v="0"/>
    <n v="2.34"/>
    <n v="2.34"/>
    <n v="2.34"/>
    <n v="2.34"/>
    <n v="0"/>
    <s v="CATIVO"/>
    <n v="0"/>
    <n v="0"/>
    <n v="21"/>
    <n v="39"/>
    <n v="0"/>
    <n v="108.8"/>
    <n v="49.46"/>
    <m/>
    <n v="108.24753272667745"/>
    <n v="47.532191528466498"/>
    <n v="0"/>
    <n v="687.72599999999989"/>
    <n v="0"/>
    <n v="676.97417312021128"/>
    <x v="4"/>
  </r>
  <r>
    <s v="Regular"/>
    <x v="1"/>
    <x v="3"/>
    <x v="3"/>
    <x v="3"/>
    <x v="0"/>
    <x v="0"/>
    <x v="2"/>
    <x v="7"/>
    <n v="0"/>
    <n v="0"/>
    <n v="4.08"/>
    <n v="4.08"/>
    <n v="4.08"/>
    <n v="4.08"/>
    <n v="3"/>
    <s v="CATIVO"/>
    <n v="0"/>
    <n v="0"/>
    <n v="21"/>
    <n v="39"/>
    <n v="0"/>
    <n v="108.8"/>
    <n v="49.46"/>
    <m/>
    <n v="108.24753272667745"/>
    <n v="47.532191528466498"/>
    <n v="0"/>
    <n v="1199.1119999999999"/>
    <n v="0"/>
    <n v="1180.3652249275481"/>
    <x v="4"/>
  </r>
  <r>
    <s v="Regular"/>
    <x v="1"/>
    <x v="3"/>
    <x v="3"/>
    <x v="3"/>
    <x v="0"/>
    <x v="0"/>
    <x v="2"/>
    <x v="8"/>
    <n v="0"/>
    <n v="0"/>
    <n v="4.1399999999999997"/>
    <n v="4.1399999999999997"/>
    <n v="4.1399999999999997"/>
    <n v="4.1399999999999997"/>
    <n v="1"/>
    <s v="CATIVO"/>
    <n v="0"/>
    <n v="0"/>
    <n v="21"/>
    <n v="39"/>
    <n v="0"/>
    <n v="108.8"/>
    <n v="49.46"/>
    <m/>
    <n v="108.24753272667745"/>
    <n v="47.532191528466498"/>
    <n v="0"/>
    <n v="1216.7459999999999"/>
    <n v="0"/>
    <n v="1197.7235370588353"/>
    <x v="4"/>
  </r>
  <r>
    <s v="Sistema de Compensação"/>
    <x v="1"/>
    <x v="3"/>
    <x v="3"/>
    <x v="3"/>
    <x v="0"/>
    <x v="0"/>
    <x v="2"/>
    <x v="8"/>
    <n v="0"/>
    <n v="0"/>
    <n v="1.0999999999999999E-2"/>
    <n v="3.8500000000000001E-3"/>
    <n v="1.0999999999999999E-2"/>
    <n v="3.8500000000000001E-3"/>
    <n v="0"/>
    <s v="CATIVO"/>
    <n v="0"/>
    <n v="0"/>
    <n v="21"/>
    <n v="39"/>
    <n v="0"/>
    <n v="108.8"/>
    <n v="49.46"/>
    <m/>
    <n v="108.24753272667745"/>
    <n v="47.532191528466498"/>
    <n v="0"/>
    <n v="4.3644589999999992"/>
    <n v="0"/>
    <n v="4.2961822524936482"/>
    <x v="4"/>
  </r>
  <r>
    <s v="Regular"/>
    <x v="1"/>
    <x v="3"/>
    <x v="3"/>
    <x v="3"/>
    <x v="0"/>
    <x v="0"/>
    <x v="2"/>
    <x v="9"/>
    <n v="0"/>
    <n v="0"/>
    <n v="4.2"/>
    <n v="4.2"/>
    <n v="4.2"/>
    <n v="4.2"/>
    <n v="4"/>
    <s v="CATIVO"/>
    <n v="0"/>
    <n v="0"/>
    <n v="21"/>
    <n v="39"/>
    <n v="0"/>
    <n v="108.8"/>
    <n v="49.46"/>
    <m/>
    <n v="108.24753272667745"/>
    <n v="47.532191528466498"/>
    <n v="0"/>
    <n v="1234.3799999999999"/>
    <n v="0"/>
    <n v="1215.081849190123"/>
    <x v="4"/>
  </r>
  <r>
    <s v="Sistema de Compensação"/>
    <x v="1"/>
    <x v="3"/>
    <x v="3"/>
    <x v="3"/>
    <x v="0"/>
    <x v="0"/>
    <x v="2"/>
    <x v="9"/>
    <n v="0"/>
    <n v="0"/>
    <n v="0.03"/>
    <n v="1.0500000000000001E-2"/>
    <n v="0.03"/>
    <n v="1.0500000000000001E-2"/>
    <n v="0"/>
    <s v="CATIVO"/>
    <n v="0"/>
    <n v="0"/>
    <n v="21"/>
    <n v="39"/>
    <n v="0"/>
    <n v="108.8"/>
    <n v="49.46"/>
    <m/>
    <n v="108.24753272667745"/>
    <n v="47.532191528466498"/>
    <n v="0"/>
    <n v="11.903069999999998"/>
    <n v="0"/>
    <n v="11.716860688619041"/>
    <x v="4"/>
  </r>
  <r>
    <s v="Regular"/>
    <x v="1"/>
    <x v="3"/>
    <x v="3"/>
    <x v="3"/>
    <x v="0"/>
    <x v="0"/>
    <x v="2"/>
    <x v="10"/>
    <n v="0"/>
    <n v="0"/>
    <n v="3.87"/>
    <n v="3.87"/>
    <n v="3.87"/>
    <n v="3.87"/>
    <n v="4"/>
    <s v="CATIVO"/>
    <n v="0"/>
    <n v="0"/>
    <n v="21"/>
    <n v="39"/>
    <n v="0"/>
    <n v="108.8"/>
    <n v="49.46"/>
    <m/>
    <n v="108.24753272667745"/>
    <n v="47.532191528466498"/>
    <n v="0"/>
    <n v="1137.393"/>
    <n v="0"/>
    <n v="1119.6111324680419"/>
    <x v="4"/>
  </r>
  <r>
    <s v="Sistema de Compensação"/>
    <x v="1"/>
    <x v="3"/>
    <x v="3"/>
    <x v="3"/>
    <x v="0"/>
    <x v="0"/>
    <x v="2"/>
    <x v="10"/>
    <n v="0"/>
    <n v="0"/>
    <n v="0.03"/>
    <n v="0.03"/>
    <n v="0.03"/>
    <n v="0.03"/>
    <n v="1"/>
    <s v="CATIVO"/>
    <n v="0"/>
    <n v="0"/>
    <n v="21"/>
    <n v="39"/>
    <n v="0"/>
    <n v="108.8"/>
    <n v="49.46"/>
    <m/>
    <n v="108.24753272667745"/>
    <n v="47.532191528466498"/>
    <n v="0"/>
    <n v="8.8169999999999984"/>
    <n v="0"/>
    <n v="8.6791560656437348"/>
    <x v="4"/>
  </r>
  <r>
    <s v="Regular"/>
    <x v="1"/>
    <x v="3"/>
    <x v="3"/>
    <x v="3"/>
    <x v="0"/>
    <x v="0"/>
    <x v="2"/>
    <x v="11"/>
    <n v="0"/>
    <n v="0"/>
    <n v="3.93"/>
    <n v="3.93"/>
    <n v="3.93"/>
    <n v="3.93"/>
    <n v="7"/>
    <s v="CATIVO"/>
    <n v="0"/>
    <n v="0"/>
    <n v="21"/>
    <n v="39"/>
    <n v="0"/>
    <n v="108.8"/>
    <n v="49.46"/>
    <m/>
    <n v="108.24753272667745"/>
    <n v="47.532191528466498"/>
    <n v="0"/>
    <n v="1155.027"/>
    <n v="0"/>
    <n v="1136.9694445993293"/>
    <x v="4"/>
  </r>
  <r>
    <s v="Regular"/>
    <x v="1"/>
    <x v="3"/>
    <x v="3"/>
    <x v="4"/>
    <x v="0"/>
    <x v="0"/>
    <x v="2"/>
    <x v="0"/>
    <n v="0"/>
    <n v="0"/>
    <n v="2.0699999999999998"/>
    <n v="2.0699999999999998"/>
    <n v="2.0699999999999998"/>
    <n v="2.0699999999999998"/>
    <n v="5"/>
    <s v="CATIVO"/>
    <n v="0"/>
    <n v="0"/>
    <n v="9"/>
    <n v="52"/>
    <n v="0"/>
    <n v="186.51"/>
    <n v="84.79"/>
    <m/>
    <n v="185.56719896001849"/>
    <n v="81.48375690594257"/>
    <n v="0"/>
    <n v="374.38019999999989"/>
    <n v="0"/>
    <n v="368.53031909502619"/>
    <x v="4"/>
  </r>
  <r>
    <s v="Regular"/>
    <x v="1"/>
    <x v="3"/>
    <x v="3"/>
    <x v="4"/>
    <x v="0"/>
    <x v="0"/>
    <x v="2"/>
    <x v="1"/>
    <n v="0"/>
    <n v="0"/>
    <n v="2.2440000000000002"/>
    <n v="2.2440000000000002"/>
    <n v="2.2440000000000002"/>
    <n v="2.2440000000000002"/>
    <n v="9"/>
    <s v="CATIVO"/>
    <n v="0"/>
    <n v="0"/>
    <n v="9"/>
    <n v="52"/>
    <n v="0"/>
    <n v="186.51"/>
    <n v="84.79"/>
    <m/>
    <n v="185.56719896001849"/>
    <n v="81.48375690594257"/>
    <n v="0"/>
    <n v="405.84983999999992"/>
    <n v="0"/>
    <n v="399.50822997547772"/>
    <x v="4"/>
  </r>
  <r>
    <s v="Regular"/>
    <x v="1"/>
    <x v="3"/>
    <x v="3"/>
    <x v="4"/>
    <x v="0"/>
    <x v="0"/>
    <x v="2"/>
    <x v="2"/>
    <n v="0"/>
    <n v="0"/>
    <n v="2.5049999999999999"/>
    <n v="2.5049999999999999"/>
    <n v="2.5049999999999999"/>
    <n v="2.5049999999999999"/>
    <n v="5"/>
    <s v="CATIVO"/>
    <n v="0"/>
    <n v="0"/>
    <n v="9"/>
    <n v="52"/>
    <n v="0"/>
    <n v="186.51"/>
    <n v="84.79"/>
    <m/>
    <n v="185.56719896001849"/>
    <n v="81.48375690594257"/>
    <n v="0"/>
    <n v="453.0542999999999"/>
    <n v="0"/>
    <n v="445.9750962961549"/>
    <x v="4"/>
  </r>
  <r>
    <s v="Regular"/>
    <x v="1"/>
    <x v="3"/>
    <x v="3"/>
    <x v="4"/>
    <x v="0"/>
    <x v="0"/>
    <x v="2"/>
    <x v="3"/>
    <n v="0"/>
    <n v="0"/>
    <n v="2.444"/>
    <n v="2.444"/>
    <n v="2.444"/>
    <n v="2.444"/>
    <n v="3"/>
    <s v="CATIVO"/>
    <n v="0"/>
    <n v="0"/>
    <n v="9"/>
    <n v="52"/>
    <n v="0"/>
    <n v="186.51"/>
    <n v="84.79"/>
    <m/>
    <n v="185.56719896001849"/>
    <n v="81.48375690594257"/>
    <n v="0"/>
    <n v="442.02183999999988"/>
    <n v="0"/>
    <n v="435.11502409093913"/>
    <x v="4"/>
  </r>
  <r>
    <s v="Regular"/>
    <x v="1"/>
    <x v="3"/>
    <x v="3"/>
    <x v="4"/>
    <x v="0"/>
    <x v="0"/>
    <x v="2"/>
    <x v="4"/>
    <n v="0"/>
    <n v="0"/>
    <n v="2.5230000000000001"/>
    <n v="2.5230000000000001"/>
    <n v="2.5230000000000001"/>
    <n v="2.5230000000000001"/>
    <n v="5"/>
    <s v="CATIVO"/>
    <n v="0"/>
    <n v="0"/>
    <n v="9"/>
    <n v="52"/>
    <n v="0"/>
    <n v="186.51"/>
    <n v="84.79"/>
    <m/>
    <n v="185.56719896001849"/>
    <n v="81.48375690594257"/>
    <n v="0"/>
    <n v="456.30977999999993"/>
    <n v="0"/>
    <n v="449.17970776654647"/>
    <x v="4"/>
  </r>
  <r>
    <s v="Regular"/>
    <x v="1"/>
    <x v="3"/>
    <x v="3"/>
    <x v="4"/>
    <x v="0"/>
    <x v="0"/>
    <x v="2"/>
    <x v="5"/>
    <n v="0"/>
    <n v="0"/>
    <n v="4.7779999999999996"/>
    <n v="4.7779999999999996"/>
    <n v="4.7779999999999996"/>
    <n v="4.7779999999999996"/>
    <n v="17"/>
    <s v="CATIVO"/>
    <n v="0"/>
    <n v="0"/>
    <n v="9"/>
    <n v="52"/>
    <n v="0"/>
    <n v="186.51"/>
    <n v="84.79"/>
    <m/>
    <n v="185.56719896001849"/>
    <n v="81.48375690594257"/>
    <n v="0"/>
    <n v="864.14907999999969"/>
    <n v="0"/>
    <n v="850.64631141837447"/>
    <x v="4"/>
  </r>
  <r>
    <s v="Regular"/>
    <x v="1"/>
    <x v="3"/>
    <x v="3"/>
    <x v="4"/>
    <x v="0"/>
    <x v="0"/>
    <x v="2"/>
    <x v="6"/>
    <n v="0"/>
    <n v="0"/>
    <n v="4.8440000000000003"/>
    <n v="4.8440000000000003"/>
    <n v="4.8440000000000003"/>
    <n v="4.8440000000000003"/>
    <n v="22"/>
    <s v="CATIVO"/>
    <n v="0"/>
    <n v="0"/>
    <n v="9"/>
    <n v="52"/>
    <n v="0"/>
    <n v="186.51"/>
    <n v="84.79"/>
    <m/>
    <n v="185.56719896001849"/>
    <n v="81.48375690594257"/>
    <n v="0"/>
    <n v="876.08583999999985"/>
    <n v="0"/>
    <n v="862.39655347647681"/>
    <x v="4"/>
  </r>
  <r>
    <s v="Regular"/>
    <x v="1"/>
    <x v="3"/>
    <x v="3"/>
    <x v="4"/>
    <x v="0"/>
    <x v="0"/>
    <x v="2"/>
    <x v="7"/>
    <n v="0"/>
    <n v="0"/>
    <n v="8.1080000000000005"/>
    <n v="8.1080000000000005"/>
    <n v="8.1080000000000005"/>
    <n v="8.1080000000000005"/>
    <n v="34"/>
    <s v="CATIVO"/>
    <n v="0"/>
    <n v="0"/>
    <n v="9"/>
    <n v="52"/>
    <n v="0"/>
    <n v="186.51"/>
    <n v="84.79"/>
    <m/>
    <n v="185.56719896001849"/>
    <n v="81.48375690594257"/>
    <n v="0"/>
    <n v="1466.4128799999999"/>
    <n v="0"/>
    <n v="1443.4994334408079"/>
    <x v="4"/>
  </r>
  <r>
    <s v="Regular"/>
    <x v="1"/>
    <x v="3"/>
    <x v="3"/>
    <x v="4"/>
    <x v="0"/>
    <x v="0"/>
    <x v="2"/>
    <x v="8"/>
    <n v="0"/>
    <n v="0"/>
    <n v="8.173"/>
    <n v="8.173"/>
    <n v="8.173"/>
    <n v="8.173"/>
    <n v="38"/>
    <s v="CATIVO"/>
    <n v="0"/>
    <n v="0"/>
    <n v="9"/>
    <n v="52"/>
    <n v="0"/>
    <n v="186.51"/>
    <n v="84.79"/>
    <m/>
    <n v="185.56719896001849"/>
    <n v="81.48375690594257"/>
    <n v="0"/>
    <n v="1478.1687799999997"/>
    <n v="0"/>
    <n v="1455.071641528333"/>
    <x v="4"/>
  </r>
  <r>
    <s v="Regular"/>
    <x v="1"/>
    <x v="3"/>
    <x v="3"/>
    <x v="4"/>
    <x v="0"/>
    <x v="0"/>
    <x v="2"/>
    <x v="9"/>
    <n v="0"/>
    <n v="0"/>
    <n v="8.3079999999999998"/>
    <n v="8.3079999999999998"/>
    <n v="8.3079999999999998"/>
    <n v="8.3079999999999998"/>
    <n v="38"/>
    <s v="CATIVO"/>
    <n v="0"/>
    <n v="0"/>
    <n v="9"/>
    <n v="52"/>
    <n v="0"/>
    <n v="186.51"/>
    <n v="84.79"/>
    <m/>
    <n v="185.56719896001849"/>
    <n v="81.48375690594257"/>
    <n v="0"/>
    <n v="1502.5848799999997"/>
    <n v="0"/>
    <n v="1479.1062275562695"/>
    <x v="4"/>
  </r>
  <r>
    <s v="Regular"/>
    <x v="1"/>
    <x v="3"/>
    <x v="3"/>
    <x v="4"/>
    <x v="0"/>
    <x v="0"/>
    <x v="2"/>
    <x v="10"/>
    <n v="0"/>
    <n v="0"/>
    <n v="7.3650000000000002"/>
    <n v="7.3650000000000002"/>
    <n v="7.3650000000000002"/>
    <n v="7.3650000000000002"/>
    <n v="35"/>
    <s v="CATIVO"/>
    <n v="0"/>
    <n v="0"/>
    <n v="9"/>
    <n v="52"/>
    <n v="0"/>
    <n v="186.51"/>
    <n v="84.79"/>
    <m/>
    <n v="185.56719896001849"/>
    <n v="81.48375690594257"/>
    <n v="0"/>
    <n v="1332.0338999999997"/>
    <n v="0"/>
    <n v="1311.2201933018687"/>
    <x v="4"/>
  </r>
  <r>
    <s v="Regular"/>
    <x v="1"/>
    <x v="3"/>
    <x v="3"/>
    <x v="4"/>
    <x v="0"/>
    <x v="0"/>
    <x v="2"/>
    <x v="11"/>
    <n v="0"/>
    <n v="0"/>
    <n v="7.5730000000000004"/>
    <n v="7.5730000000000004"/>
    <n v="7.5730000000000004"/>
    <n v="7.5730000000000004"/>
    <n v="32"/>
    <s v="CATIVO"/>
    <n v="0"/>
    <n v="0"/>
    <n v="9"/>
    <n v="52"/>
    <n v="0"/>
    <n v="186.51"/>
    <n v="84.79"/>
    <m/>
    <n v="185.56719896001849"/>
    <n v="81.48375690594257"/>
    <n v="0"/>
    <n v="1369.6527799999997"/>
    <n v="0"/>
    <n v="1348.2512591819486"/>
    <x v="4"/>
  </r>
  <r>
    <s v="Regular"/>
    <x v="1"/>
    <x v="3"/>
    <x v="3"/>
    <x v="5"/>
    <x v="0"/>
    <x v="0"/>
    <x v="2"/>
    <x v="0"/>
    <n v="0"/>
    <n v="0"/>
    <n v="2.093"/>
    <n v="2.093"/>
    <n v="2.093"/>
    <n v="2.093"/>
    <n v="19"/>
    <s v="CATIVO"/>
    <n v="0"/>
    <n v="0"/>
    <n v="8"/>
    <n v="61"/>
    <n v="0"/>
    <n v="279.76"/>
    <n v="127.19"/>
    <m/>
    <n v="278.35079844002775"/>
    <n v="122.22563535891386"/>
    <n v="0"/>
    <n v="94.62452999999995"/>
    <n v="0"/>
    <n v="93.156275104576068"/>
    <x v="4"/>
  </r>
  <r>
    <s v="Regular"/>
    <x v="1"/>
    <x v="3"/>
    <x v="3"/>
    <x v="5"/>
    <x v="0"/>
    <x v="0"/>
    <x v="2"/>
    <x v="1"/>
    <n v="0"/>
    <n v="0"/>
    <n v="2.202"/>
    <n v="2.202"/>
    <n v="2.202"/>
    <n v="2.202"/>
    <n v="18"/>
    <s v="CATIVO"/>
    <n v="0"/>
    <n v="0"/>
    <n v="8"/>
    <n v="61"/>
    <n v="0"/>
    <n v="279.76"/>
    <n v="127.19"/>
    <m/>
    <n v="278.35079844002775"/>
    <n v="122.22563535891386"/>
    <n v="0"/>
    <n v="99.552419999999955"/>
    <n v="0"/>
    <n v="98.00770080280769"/>
    <x v="4"/>
  </r>
  <r>
    <s v="Regular"/>
    <x v="1"/>
    <x v="3"/>
    <x v="3"/>
    <x v="5"/>
    <x v="0"/>
    <x v="0"/>
    <x v="2"/>
    <x v="2"/>
    <n v="0"/>
    <n v="0"/>
    <n v="2.254"/>
    <n v="2.254"/>
    <n v="2.254"/>
    <n v="2.254"/>
    <n v="23"/>
    <s v="CATIVO"/>
    <n v="0"/>
    <n v="0"/>
    <n v="8"/>
    <n v="61"/>
    <n v="0"/>
    <n v="279.76"/>
    <n v="127.19"/>
    <m/>
    <n v="278.35079844002775"/>
    <n v="122.22563535891386"/>
    <n v="0"/>
    <n v="101.90333999999996"/>
    <n v="0"/>
    <n v="100.32214242031269"/>
    <x v="4"/>
  </r>
  <r>
    <s v="Regular"/>
    <x v="1"/>
    <x v="3"/>
    <x v="3"/>
    <x v="5"/>
    <x v="0"/>
    <x v="0"/>
    <x v="2"/>
    <x v="3"/>
    <n v="0"/>
    <n v="0"/>
    <n v="2.601"/>
    <n v="2.601"/>
    <n v="2.601"/>
    <n v="2.601"/>
    <n v="23"/>
    <s v="CATIVO"/>
    <n v="0"/>
    <n v="0"/>
    <n v="8"/>
    <n v="61"/>
    <n v="0"/>
    <n v="279.76"/>
    <n v="127.19"/>
    <m/>
    <n v="278.35079844002775"/>
    <n v="122.22563535891386"/>
    <n v="0"/>
    <n v="117.59120999999995"/>
    <n v="0"/>
    <n v="115.7665893678941"/>
    <x v="4"/>
  </r>
  <r>
    <s v="Regular"/>
    <x v="1"/>
    <x v="3"/>
    <x v="3"/>
    <x v="5"/>
    <x v="0"/>
    <x v="0"/>
    <x v="2"/>
    <x v="4"/>
    <n v="0"/>
    <n v="0"/>
    <n v="2.4950000000000001"/>
    <n v="2.4950000000000001"/>
    <n v="2.4950000000000001"/>
    <n v="2.4950000000000001"/>
    <n v="23"/>
    <s v="CATIVO"/>
    <n v="0"/>
    <n v="0"/>
    <n v="8"/>
    <n v="61"/>
    <n v="0"/>
    <n v="279.76"/>
    <n v="127.19"/>
    <m/>
    <n v="278.35079844002775"/>
    <n v="122.22563535891386"/>
    <n v="0"/>
    <n v="112.79894999999995"/>
    <n v="0"/>
    <n v="111.04868914759545"/>
    <x v="4"/>
  </r>
  <r>
    <s v="Regular"/>
    <x v="1"/>
    <x v="3"/>
    <x v="3"/>
    <x v="5"/>
    <x v="0"/>
    <x v="0"/>
    <x v="2"/>
    <x v="5"/>
    <n v="0"/>
    <n v="0"/>
    <n v="4.25"/>
    <n v="4.25"/>
    <n v="4.25"/>
    <n v="4.25"/>
    <n v="40"/>
    <s v="CATIVO"/>
    <n v="0"/>
    <n v="0"/>
    <n v="8"/>
    <n v="61"/>
    <n v="0"/>
    <n v="279.76"/>
    <n v="127.19"/>
    <m/>
    <n v="278.35079844002775"/>
    <n v="122.22563535891386"/>
    <n v="0"/>
    <n v="192.14249999999993"/>
    <n v="0"/>
    <n v="189.16109373838904"/>
    <x v="4"/>
  </r>
  <r>
    <s v="Regular"/>
    <x v="1"/>
    <x v="3"/>
    <x v="3"/>
    <x v="5"/>
    <x v="0"/>
    <x v="0"/>
    <x v="2"/>
    <x v="6"/>
    <n v="0"/>
    <n v="0"/>
    <n v="4.2169999999999996"/>
    <n v="4.2169999999999996"/>
    <n v="4.2169999999999996"/>
    <n v="4.2169999999999996"/>
    <n v="39"/>
    <s v="CATIVO"/>
    <n v="0"/>
    <n v="0"/>
    <n v="8"/>
    <n v="61"/>
    <n v="0"/>
    <n v="279.76"/>
    <n v="127.19"/>
    <m/>
    <n v="278.35079844002775"/>
    <n v="122.22563535891386"/>
    <n v="0"/>
    <n v="190.6505699999999"/>
    <n v="0"/>
    <n v="187.69231348112626"/>
    <x v="4"/>
  </r>
  <r>
    <s v="Regular"/>
    <x v="1"/>
    <x v="3"/>
    <x v="3"/>
    <x v="5"/>
    <x v="0"/>
    <x v="0"/>
    <x v="2"/>
    <x v="7"/>
    <n v="0"/>
    <n v="0"/>
    <n v="7.976"/>
    <n v="7.976"/>
    <n v="7.976"/>
    <n v="7.976"/>
    <n v="61"/>
    <s v="CATIVO"/>
    <n v="0"/>
    <n v="0"/>
    <n v="8"/>
    <n v="61"/>
    <n v="0"/>
    <n v="279.76"/>
    <n v="127.19"/>
    <m/>
    <n v="278.35079844002775"/>
    <n v="122.22563535891386"/>
    <n v="0"/>
    <n v="360.59495999999984"/>
    <n v="0"/>
    <n v="354.99973733115087"/>
    <x v="4"/>
  </r>
  <r>
    <s v="Regular"/>
    <x v="1"/>
    <x v="3"/>
    <x v="3"/>
    <x v="5"/>
    <x v="0"/>
    <x v="0"/>
    <x v="2"/>
    <x v="8"/>
    <n v="0"/>
    <n v="0"/>
    <n v="7.9139999999999997"/>
    <n v="7.9139999999999997"/>
    <n v="7.9139999999999997"/>
    <n v="7.9139999999999997"/>
    <n v="57"/>
    <s v="CATIVO"/>
    <n v="0"/>
    <n v="0"/>
    <n v="8"/>
    <n v="61"/>
    <n v="0"/>
    <n v="279.76"/>
    <n v="127.19"/>
    <m/>
    <n v="278.35079844002775"/>
    <n v="122.22563535891386"/>
    <n v="0"/>
    <n v="357.79193999999984"/>
    <n v="0"/>
    <n v="352.24021078720256"/>
    <x v="4"/>
  </r>
  <r>
    <s v="Regular"/>
    <x v="1"/>
    <x v="3"/>
    <x v="3"/>
    <x v="5"/>
    <x v="0"/>
    <x v="0"/>
    <x v="2"/>
    <x v="9"/>
    <n v="0"/>
    <n v="0"/>
    <n v="7.9269999999999996"/>
    <n v="7.9269999999999996"/>
    <n v="7.9269999999999996"/>
    <n v="7.9269999999999996"/>
    <n v="60"/>
    <s v="CATIVO"/>
    <n v="0"/>
    <n v="0"/>
    <n v="8"/>
    <n v="61"/>
    <n v="0"/>
    <n v="279.76"/>
    <n v="127.19"/>
    <m/>
    <n v="278.35079844002775"/>
    <n v="122.22563535891386"/>
    <n v="0"/>
    <n v="358.37966999999981"/>
    <n v="0"/>
    <n v="352.81882119157882"/>
    <x v="4"/>
  </r>
  <r>
    <s v="Regular"/>
    <x v="1"/>
    <x v="3"/>
    <x v="3"/>
    <x v="5"/>
    <x v="0"/>
    <x v="0"/>
    <x v="2"/>
    <x v="10"/>
    <n v="0"/>
    <n v="0"/>
    <n v="7.6959999999999997"/>
    <n v="7.6959999999999997"/>
    <n v="7.6959999999999997"/>
    <n v="7.6959999999999997"/>
    <n v="51"/>
    <s v="CATIVO"/>
    <n v="0"/>
    <n v="0"/>
    <n v="8"/>
    <n v="61"/>
    <n v="0"/>
    <n v="279.76"/>
    <n v="127.19"/>
    <m/>
    <n v="278.35079844002775"/>
    <n v="122.22563535891386"/>
    <n v="0"/>
    <n v="347.9361599999998"/>
    <n v="0"/>
    <n v="342.53735939073931"/>
    <x v="4"/>
  </r>
  <r>
    <s v="Regular"/>
    <x v="1"/>
    <x v="3"/>
    <x v="3"/>
    <x v="5"/>
    <x v="0"/>
    <x v="0"/>
    <x v="2"/>
    <x v="11"/>
    <n v="0"/>
    <n v="0"/>
    <n v="7.2489999999999997"/>
    <n v="7.2489999999999997"/>
    <n v="7.2489999999999997"/>
    <n v="7.2489999999999997"/>
    <n v="59"/>
    <s v="CATIVO"/>
    <n v="0"/>
    <n v="0"/>
    <n v="8"/>
    <n v="61"/>
    <n v="0"/>
    <n v="279.76"/>
    <n v="127.19"/>
    <m/>
    <n v="278.35079844002775"/>
    <n v="122.22563535891386"/>
    <n v="0"/>
    <n v="327.72728999999981"/>
    <n v="0"/>
    <n v="322.64206317872521"/>
    <x v="4"/>
  </r>
  <r>
    <s v="Regular"/>
    <x v="1"/>
    <x v="3"/>
    <x v="3"/>
    <x v="6"/>
    <x v="0"/>
    <x v="0"/>
    <x v="2"/>
    <x v="0"/>
    <n v="0"/>
    <n v="0"/>
    <n v="0.58399999999999996"/>
    <n v="0.58399999999999996"/>
    <n v="0.58399999999999996"/>
    <n v="0.58399999999999996"/>
    <n v="8"/>
    <s v="CATIVO"/>
    <n v="0"/>
    <n v="0"/>
    <n v="26"/>
    <n v="79"/>
    <n v="0"/>
    <n v="310.83999999999997"/>
    <n v="141.32"/>
    <m/>
    <n v="309.27866493336415"/>
    <n v="135.80626150990429"/>
    <n v="0"/>
    <n v="0"/>
    <n v="0"/>
    <n v="0"/>
    <x v="4"/>
  </r>
  <r>
    <s v="Regular"/>
    <x v="1"/>
    <x v="3"/>
    <x v="3"/>
    <x v="6"/>
    <x v="0"/>
    <x v="0"/>
    <x v="2"/>
    <x v="1"/>
    <n v="0"/>
    <n v="0"/>
    <n v="0.60099999999999998"/>
    <n v="0.60099999999999998"/>
    <n v="0.60099999999999998"/>
    <n v="0.60099999999999998"/>
    <n v="8"/>
    <s v="CATIVO"/>
    <n v="0"/>
    <n v="0"/>
    <n v="26"/>
    <n v="79"/>
    <n v="0"/>
    <n v="310.83999999999997"/>
    <n v="141.32"/>
    <m/>
    <n v="309.27866493336415"/>
    <n v="135.80626150990429"/>
    <n v="0"/>
    <n v="0"/>
    <n v="0"/>
    <n v="0"/>
    <x v="4"/>
  </r>
  <r>
    <s v="Regular"/>
    <x v="1"/>
    <x v="3"/>
    <x v="3"/>
    <x v="6"/>
    <x v="0"/>
    <x v="0"/>
    <x v="2"/>
    <x v="2"/>
    <n v="0"/>
    <n v="0"/>
    <n v="0.67100000000000004"/>
    <n v="0.67100000000000004"/>
    <n v="0.67100000000000004"/>
    <n v="0.67100000000000004"/>
    <n v="9"/>
    <s v="CATIVO"/>
    <n v="0"/>
    <n v="0"/>
    <n v="26"/>
    <n v="79"/>
    <n v="0"/>
    <n v="310.83999999999997"/>
    <n v="141.32"/>
    <m/>
    <n v="309.27866493336415"/>
    <n v="135.80626150990429"/>
    <n v="0"/>
    <n v="0"/>
    <n v="0"/>
    <n v="0"/>
    <x v="4"/>
  </r>
  <r>
    <s v="Regular"/>
    <x v="1"/>
    <x v="3"/>
    <x v="3"/>
    <x v="6"/>
    <x v="0"/>
    <x v="0"/>
    <x v="2"/>
    <x v="3"/>
    <n v="0"/>
    <n v="0"/>
    <n v="1.2829999999999999"/>
    <n v="1.2829999999999999"/>
    <n v="1.2829999999999999"/>
    <n v="1.2829999999999999"/>
    <n v="11"/>
    <s v="CATIVO"/>
    <n v="0"/>
    <n v="0"/>
    <n v="26"/>
    <n v="79"/>
    <n v="0"/>
    <n v="310.83999999999997"/>
    <n v="141.32"/>
    <m/>
    <n v="309.27866493336415"/>
    <n v="135.80626150990429"/>
    <n v="0"/>
    <n v="0"/>
    <n v="0"/>
    <n v="0"/>
    <x v="4"/>
  </r>
  <r>
    <s v="Regular"/>
    <x v="1"/>
    <x v="3"/>
    <x v="3"/>
    <x v="6"/>
    <x v="0"/>
    <x v="0"/>
    <x v="2"/>
    <x v="4"/>
    <n v="0"/>
    <n v="0"/>
    <n v="1.1020000000000001"/>
    <n v="1.1020000000000001"/>
    <n v="1.1020000000000001"/>
    <n v="1.1020000000000001"/>
    <n v="10"/>
    <s v="CATIVO"/>
    <n v="0"/>
    <n v="0"/>
    <n v="26"/>
    <n v="79"/>
    <n v="0"/>
    <n v="310.83999999999997"/>
    <n v="141.32"/>
    <m/>
    <n v="309.27866493336415"/>
    <n v="135.80626150990429"/>
    <n v="0"/>
    <n v="0"/>
    <n v="0"/>
    <n v="0"/>
    <x v="4"/>
  </r>
  <r>
    <s v="Regular"/>
    <x v="1"/>
    <x v="3"/>
    <x v="3"/>
    <x v="6"/>
    <x v="0"/>
    <x v="0"/>
    <x v="2"/>
    <x v="5"/>
    <n v="0"/>
    <n v="0"/>
    <n v="1.478"/>
    <n v="1.478"/>
    <n v="1.478"/>
    <n v="1.478"/>
    <n v="18"/>
    <s v="CATIVO"/>
    <n v="0"/>
    <n v="0"/>
    <n v="26"/>
    <n v="79"/>
    <n v="0"/>
    <n v="310.83999999999997"/>
    <n v="141.32"/>
    <m/>
    <n v="309.27866493336415"/>
    <n v="135.80626150990429"/>
    <n v="0"/>
    <n v="0"/>
    <n v="0"/>
    <n v="0"/>
    <x v="4"/>
  </r>
  <r>
    <s v="Regular"/>
    <x v="1"/>
    <x v="3"/>
    <x v="3"/>
    <x v="6"/>
    <x v="0"/>
    <x v="0"/>
    <x v="2"/>
    <x v="6"/>
    <n v="0"/>
    <n v="0"/>
    <n v="2.129"/>
    <n v="2.129"/>
    <n v="2.129"/>
    <n v="2.129"/>
    <n v="17"/>
    <s v="CATIVO"/>
    <n v="0"/>
    <n v="0"/>
    <n v="26"/>
    <n v="79"/>
    <n v="0"/>
    <n v="310.83999999999997"/>
    <n v="141.32"/>
    <m/>
    <n v="309.27866493336415"/>
    <n v="135.80626150990429"/>
    <n v="0"/>
    <n v="0"/>
    <n v="0"/>
    <n v="0"/>
    <x v="4"/>
  </r>
  <r>
    <s v="Regular"/>
    <x v="1"/>
    <x v="3"/>
    <x v="3"/>
    <x v="6"/>
    <x v="0"/>
    <x v="0"/>
    <x v="2"/>
    <x v="7"/>
    <n v="0"/>
    <n v="0"/>
    <n v="3.052"/>
    <n v="3.052"/>
    <n v="3.052"/>
    <n v="3.052"/>
    <n v="36"/>
    <s v="CATIVO"/>
    <n v="0"/>
    <n v="0"/>
    <n v="26"/>
    <n v="79"/>
    <n v="0"/>
    <n v="310.83999999999997"/>
    <n v="141.32"/>
    <m/>
    <n v="309.27866493336415"/>
    <n v="135.80626150990429"/>
    <n v="0"/>
    <n v="0"/>
    <n v="0"/>
    <n v="0"/>
    <x v="4"/>
  </r>
  <r>
    <s v="Regular"/>
    <x v="1"/>
    <x v="3"/>
    <x v="3"/>
    <x v="6"/>
    <x v="0"/>
    <x v="0"/>
    <x v="2"/>
    <x v="8"/>
    <n v="0"/>
    <n v="0"/>
    <n v="2.6309999999999998"/>
    <n v="2.6309999999999998"/>
    <n v="2.6309999999999998"/>
    <n v="2.6309999999999998"/>
    <n v="40"/>
    <s v="CATIVO"/>
    <n v="0"/>
    <n v="0"/>
    <n v="26"/>
    <n v="79"/>
    <n v="0"/>
    <n v="310.83999999999997"/>
    <n v="141.32"/>
    <m/>
    <n v="309.27866493336415"/>
    <n v="135.80626150990429"/>
    <n v="0"/>
    <n v="0"/>
    <n v="0"/>
    <n v="0"/>
    <x v="4"/>
  </r>
  <r>
    <s v="Regular"/>
    <x v="1"/>
    <x v="3"/>
    <x v="3"/>
    <x v="6"/>
    <x v="0"/>
    <x v="0"/>
    <x v="2"/>
    <x v="9"/>
    <n v="0"/>
    <n v="0"/>
    <n v="3.8069999999999999"/>
    <n v="3.8069999999999999"/>
    <n v="3.8069999999999999"/>
    <n v="3.8069999999999999"/>
    <n v="36"/>
    <s v="CATIVO"/>
    <n v="0"/>
    <n v="0"/>
    <n v="26"/>
    <n v="79"/>
    <n v="0"/>
    <n v="310.83999999999997"/>
    <n v="141.32"/>
    <m/>
    <n v="309.27866493336415"/>
    <n v="135.80626150990429"/>
    <n v="0"/>
    <n v="0"/>
    <n v="0"/>
    <n v="0"/>
    <x v="4"/>
  </r>
  <r>
    <s v="Regular"/>
    <x v="1"/>
    <x v="3"/>
    <x v="3"/>
    <x v="6"/>
    <x v="0"/>
    <x v="0"/>
    <x v="2"/>
    <x v="10"/>
    <n v="0"/>
    <n v="0"/>
    <n v="2.3279999999999998"/>
    <n v="2.3279999999999998"/>
    <n v="2.3279999999999998"/>
    <n v="2.3279999999999998"/>
    <n v="37"/>
    <s v="CATIVO"/>
    <n v="0"/>
    <n v="0"/>
    <n v="26"/>
    <n v="79"/>
    <n v="0"/>
    <n v="310.83999999999997"/>
    <n v="141.32"/>
    <m/>
    <n v="309.27866493336415"/>
    <n v="135.80626150990429"/>
    <n v="0"/>
    <n v="0"/>
    <n v="0"/>
    <n v="0"/>
    <x v="4"/>
  </r>
  <r>
    <s v="Refaturamento - Regular"/>
    <x v="1"/>
    <x v="3"/>
    <x v="3"/>
    <x v="6"/>
    <x v="0"/>
    <x v="0"/>
    <x v="2"/>
    <x v="10"/>
    <n v="0"/>
    <n v="0"/>
    <n v="8.5999999999999993E-2"/>
    <n v="8.5999999999999993E-2"/>
    <n v="8.5999999999999993E-2"/>
    <n v="8.5999999999999993E-2"/>
    <n v="0"/>
    <s v="CATIVO"/>
    <n v="0"/>
    <n v="0"/>
    <n v="26"/>
    <n v="79"/>
    <n v="0"/>
    <n v="310.83999999999997"/>
    <n v="141.32"/>
    <m/>
    <n v="309.27866493336415"/>
    <n v="135.80626150990429"/>
    <n v="0"/>
    <n v="0"/>
    <n v="0"/>
    <n v="0"/>
    <x v="4"/>
  </r>
  <r>
    <s v="Regular"/>
    <x v="1"/>
    <x v="3"/>
    <x v="3"/>
    <x v="6"/>
    <x v="0"/>
    <x v="0"/>
    <x v="2"/>
    <x v="11"/>
    <n v="0"/>
    <n v="0"/>
    <n v="2.6739999999999999"/>
    <n v="2.6739999999999999"/>
    <n v="2.6739999999999999"/>
    <n v="2.6739999999999999"/>
    <n v="31"/>
    <s v="CATIVO"/>
    <n v="0"/>
    <n v="0"/>
    <n v="26"/>
    <n v="79"/>
    <n v="0"/>
    <n v="310.83999999999997"/>
    <n v="141.32"/>
    <m/>
    <n v="309.27866493336415"/>
    <n v="135.80626150990429"/>
    <n v="0"/>
    <n v="0"/>
    <n v="0"/>
    <n v="0"/>
    <x v="4"/>
  </r>
  <r>
    <s v="Regular"/>
    <x v="2"/>
    <x v="3"/>
    <x v="2"/>
    <x v="7"/>
    <x v="1"/>
    <x v="0"/>
    <x v="2"/>
    <x v="0"/>
    <n v="0"/>
    <n v="0"/>
    <n v="4.1989999999999998"/>
    <n v="4.1989999999999998"/>
    <n v="4.1989999999999998"/>
    <n v="4.1989999999999998"/>
    <n v="0"/>
    <s v="CATIVO"/>
    <n v="0"/>
    <n v="0"/>
    <n v="30"/>
    <n v="55"/>
    <n v="0"/>
    <n v="331.77"/>
    <n v="124.36"/>
    <m/>
    <n v="390.73403238820225"/>
    <n v="127.65788581931002"/>
    <n v="0"/>
    <n v="261.17779999999976"/>
    <n v="0"/>
    <n v="138.94006369489472"/>
    <x v="2"/>
  </r>
  <r>
    <s v="Sistema de Compensação"/>
    <x v="2"/>
    <x v="3"/>
    <x v="2"/>
    <x v="7"/>
    <x v="1"/>
    <x v="0"/>
    <x v="2"/>
    <x v="0"/>
    <n v="0"/>
    <n v="0"/>
    <n v="0.22900000000000001"/>
    <n v="0.22900000000000001"/>
    <n v="0.22900000000000001"/>
    <n v="0.22900000000000001"/>
    <n v="0"/>
    <s v="CATIVO"/>
    <n v="0"/>
    <n v="0"/>
    <n v="30"/>
    <n v="55"/>
    <n v="0"/>
    <n v="331.77"/>
    <n v="124.36"/>
    <m/>
    <n v="390.73403238820225"/>
    <n v="127.65788581931002"/>
    <n v="0"/>
    <n v="14.243799999999988"/>
    <n v="0"/>
    <n v="7.5773456980545113"/>
    <x v="2"/>
  </r>
  <r>
    <s v="Regular"/>
    <x v="2"/>
    <x v="3"/>
    <x v="2"/>
    <x v="7"/>
    <x v="1"/>
    <x v="0"/>
    <x v="2"/>
    <x v="1"/>
    <n v="0"/>
    <n v="0"/>
    <n v="2.9990000000000001"/>
    <n v="2.9990000000000001"/>
    <n v="2.9990000000000001"/>
    <n v="2.9990000000000001"/>
    <n v="0"/>
    <s v="CATIVO"/>
    <n v="0"/>
    <n v="0"/>
    <n v="30"/>
    <n v="55"/>
    <n v="0"/>
    <n v="331.77"/>
    <n v="124.36"/>
    <m/>
    <n v="390.73403238820225"/>
    <n v="127.65788581931002"/>
    <n v="0"/>
    <n v="186.53779999999983"/>
    <n v="0"/>
    <n v="99.233448683255375"/>
    <x v="2"/>
  </r>
  <r>
    <s v="Sistema de Compensação"/>
    <x v="2"/>
    <x v="3"/>
    <x v="2"/>
    <x v="7"/>
    <x v="1"/>
    <x v="0"/>
    <x v="2"/>
    <x v="1"/>
    <n v="0"/>
    <n v="0"/>
    <n v="0.20899999999999999"/>
    <n v="0.20899999999999999"/>
    <n v="0.20899999999999999"/>
    <n v="0.20899999999999999"/>
    <n v="0"/>
    <s v="CATIVO"/>
    <n v="0"/>
    <n v="0"/>
    <n v="30"/>
    <n v="55"/>
    <n v="0"/>
    <n v="331.77"/>
    <n v="124.36"/>
    <m/>
    <n v="390.73403238820225"/>
    <n v="127.65788581931002"/>
    <n v="0"/>
    <n v="12.999799999999988"/>
    <n v="0"/>
    <n v="6.9155687811938549"/>
    <x v="2"/>
  </r>
  <r>
    <s v="Regular"/>
    <x v="2"/>
    <x v="3"/>
    <x v="2"/>
    <x v="7"/>
    <x v="1"/>
    <x v="0"/>
    <x v="2"/>
    <x v="2"/>
    <n v="0"/>
    <n v="0"/>
    <n v="3.339"/>
    <n v="3.339"/>
    <n v="3.339"/>
    <n v="3.339"/>
    <n v="0"/>
    <s v="CATIVO"/>
    <n v="0"/>
    <n v="0"/>
    <n v="30"/>
    <n v="55"/>
    <n v="0"/>
    <n v="331.77"/>
    <n v="124.36"/>
    <m/>
    <n v="390.73403238820225"/>
    <n v="127.65788581931002"/>
    <n v="0"/>
    <n v="207.68579999999983"/>
    <n v="0"/>
    <n v="110.48365626988652"/>
    <x v="2"/>
  </r>
  <r>
    <s v="Sistema de Compensação"/>
    <x v="2"/>
    <x v="3"/>
    <x v="2"/>
    <x v="7"/>
    <x v="1"/>
    <x v="0"/>
    <x v="2"/>
    <x v="2"/>
    <n v="0"/>
    <n v="0"/>
    <n v="0.19600000000000001"/>
    <n v="0.19600000000000001"/>
    <n v="0.19600000000000001"/>
    <n v="0.19600000000000001"/>
    <n v="0"/>
    <s v="CATIVO"/>
    <n v="0"/>
    <n v="0"/>
    <n v="30"/>
    <n v="55"/>
    <n v="0"/>
    <n v="331.77"/>
    <n v="124.36"/>
    <m/>
    <n v="390.73403238820225"/>
    <n v="127.65788581931002"/>
    <n v="0"/>
    <n v="12.19119999999999"/>
    <n v="0"/>
    <n v="6.4854137852344289"/>
    <x v="2"/>
  </r>
  <r>
    <s v="Regular"/>
    <x v="2"/>
    <x v="3"/>
    <x v="2"/>
    <x v="7"/>
    <x v="1"/>
    <x v="0"/>
    <x v="2"/>
    <x v="3"/>
    <n v="0"/>
    <n v="0"/>
    <n v="2.8740000000000001"/>
    <n v="2.8740000000000001"/>
    <n v="2.8740000000000001"/>
    <n v="2.8740000000000001"/>
    <n v="0"/>
    <s v="CATIVO"/>
    <n v="0"/>
    <n v="0"/>
    <n v="30"/>
    <n v="55"/>
    <n v="0"/>
    <n v="331.77"/>
    <n v="124.36"/>
    <m/>
    <n v="390.73403238820225"/>
    <n v="127.65788581931002"/>
    <n v="0"/>
    <n v="178.76279999999986"/>
    <n v="0"/>
    <n v="95.097342952876275"/>
    <x v="2"/>
  </r>
  <r>
    <s v="Sistema de Compensação"/>
    <x v="2"/>
    <x v="3"/>
    <x v="2"/>
    <x v="7"/>
    <x v="1"/>
    <x v="0"/>
    <x v="2"/>
    <x v="3"/>
    <n v="0"/>
    <n v="0"/>
    <n v="0.86199999999999999"/>
    <n v="0.86199999999999999"/>
    <n v="0.86199999999999999"/>
    <n v="0.86199999999999999"/>
    <n v="0"/>
    <s v="CATIVO"/>
    <n v="0"/>
    <n v="0"/>
    <n v="30"/>
    <n v="55"/>
    <n v="0"/>
    <n v="331.77"/>
    <n v="124.36"/>
    <m/>
    <n v="390.73403238820225"/>
    <n v="127.65788581931002"/>
    <n v="0"/>
    <n v="53.616399999999956"/>
    <n v="0"/>
    <n v="28.522585116694273"/>
    <x v="2"/>
  </r>
  <r>
    <s v="Regular"/>
    <x v="2"/>
    <x v="3"/>
    <x v="2"/>
    <x v="7"/>
    <x v="1"/>
    <x v="0"/>
    <x v="2"/>
    <x v="4"/>
    <n v="0"/>
    <n v="0"/>
    <n v="4.2919999999999998"/>
    <n v="4.2919999999999998"/>
    <n v="4.2919999999999998"/>
    <n v="4.2919999999999998"/>
    <n v="0"/>
    <s v="CATIVO"/>
    <n v="0"/>
    <n v="0"/>
    <n v="30"/>
    <n v="55"/>
    <n v="0"/>
    <n v="331.77"/>
    <n v="124.36"/>
    <m/>
    <n v="390.73403238820225"/>
    <n v="127.65788581931002"/>
    <n v="0"/>
    <n v="266.96239999999977"/>
    <n v="0"/>
    <n v="142.01732635829677"/>
    <x v="2"/>
  </r>
  <r>
    <s v="Sistema de Compensação"/>
    <x v="2"/>
    <x v="3"/>
    <x v="2"/>
    <x v="7"/>
    <x v="1"/>
    <x v="0"/>
    <x v="2"/>
    <x v="4"/>
    <n v="0"/>
    <n v="0"/>
    <n v="0.44400000000000001"/>
    <n v="0.44400000000000001"/>
    <n v="0.44400000000000001"/>
    <n v="0.44400000000000001"/>
    <n v="0"/>
    <s v="CATIVO"/>
    <n v="0"/>
    <n v="0"/>
    <n v="30"/>
    <n v="55"/>
    <n v="0"/>
    <n v="331.77"/>
    <n v="124.36"/>
    <m/>
    <n v="390.73403238820225"/>
    <n v="127.65788581931002"/>
    <n v="0"/>
    <n v="27.616799999999976"/>
    <n v="0"/>
    <n v="14.691447554306563"/>
    <x v="2"/>
  </r>
  <r>
    <s v="Regular"/>
    <x v="2"/>
    <x v="3"/>
    <x v="2"/>
    <x v="7"/>
    <x v="1"/>
    <x v="0"/>
    <x v="2"/>
    <x v="5"/>
    <n v="0"/>
    <n v="0"/>
    <n v="4.452"/>
    <n v="4.452"/>
    <n v="4.452"/>
    <n v="4.452"/>
    <n v="0"/>
    <s v="CATIVO"/>
    <n v="0"/>
    <n v="0"/>
    <n v="30"/>
    <n v="55"/>
    <n v="0"/>
    <n v="331.77"/>
    <n v="124.36"/>
    <m/>
    <n v="390.73403238820225"/>
    <n v="127.65788581931002"/>
    <n v="0"/>
    <n v="276.91439999999977"/>
    <n v="0"/>
    <n v="147.31154169318202"/>
    <x v="2"/>
  </r>
  <r>
    <s v="Sistema de Compensação"/>
    <x v="2"/>
    <x v="3"/>
    <x v="2"/>
    <x v="7"/>
    <x v="1"/>
    <x v="0"/>
    <x v="2"/>
    <x v="5"/>
    <n v="0"/>
    <n v="0"/>
    <n v="0.33800000000000002"/>
    <n v="0.33800000000000002"/>
    <n v="0.33800000000000002"/>
    <n v="0.33800000000000002"/>
    <n v="0"/>
    <s v="CATIVO"/>
    <n v="0"/>
    <n v="0"/>
    <n v="30"/>
    <n v="55"/>
    <n v="0"/>
    <n v="331.77"/>
    <n v="124.36"/>
    <m/>
    <n v="390.73403238820225"/>
    <n v="127.65788581931002"/>
    <n v="0"/>
    <n v="21.023599999999984"/>
    <n v="0"/>
    <n v="11.184029894945088"/>
    <x v="2"/>
  </r>
  <r>
    <s v="Regular"/>
    <x v="2"/>
    <x v="3"/>
    <x v="2"/>
    <x v="7"/>
    <x v="1"/>
    <x v="0"/>
    <x v="2"/>
    <x v="6"/>
    <n v="0"/>
    <n v="0"/>
    <n v="3.6970000000000001"/>
    <n v="3.6970000000000001"/>
    <n v="3.6970000000000001"/>
    <n v="3.6970000000000001"/>
    <n v="0"/>
    <s v="CATIVO"/>
    <n v="0"/>
    <n v="0"/>
    <n v="30"/>
    <n v="55"/>
    <n v="0"/>
    <n v="331.77"/>
    <n v="124.36"/>
    <m/>
    <n v="390.73403238820225"/>
    <n v="127.65788581931002"/>
    <n v="0"/>
    <n v="229.95339999999982"/>
    <n v="0"/>
    <n v="122.32946308169227"/>
    <x v="2"/>
  </r>
  <r>
    <s v="Sistema de Compensação"/>
    <x v="2"/>
    <x v="3"/>
    <x v="2"/>
    <x v="7"/>
    <x v="1"/>
    <x v="0"/>
    <x v="2"/>
    <x v="6"/>
    <n v="0"/>
    <n v="0"/>
    <n v="0.374"/>
    <n v="0.374"/>
    <n v="0.374"/>
    <n v="0.374"/>
    <n v="0"/>
    <s v="CATIVO"/>
    <n v="0"/>
    <n v="0"/>
    <n v="30"/>
    <n v="55"/>
    <n v="0"/>
    <n v="331.77"/>
    <n v="124.36"/>
    <m/>
    <n v="390.73403238820225"/>
    <n v="127.65788581931002"/>
    <n v="0"/>
    <n v="23.262799999999981"/>
    <n v="0"/>
    <n v="12.375228345294268"/>
    <x v="2"/>
  </r>
  <r>
    <s v="Regular"/>
    <x v="2"/>
    <x v="3"/>
    <x v="2"/>
    <x v="7"/>
    <x v="1"/>
    <x v="0"/>
    <x v="2"/>
    <x v="7"/>
    <n v="0"/>
    <n v="0"/>
    <n v="3.0859999999999999"/>
    <n v="3.0859999999999999"/>
    <n v="3.0859999999999999"/>
    <n v="3.0859999999999999"/>
    <n v="0"/>
    <s v="CATIVO"/>
    <n v="0"/>
    <n v="0"/>
    <n v="30"/>
    <n v="55"/>
    <n v="0"/>
    <n v="331.77"/>
    <n v="124.36"/>
    <m/>
    <n v="390.73403238820225"/>
    <n v="127.65788581931002"/>
    <n v="0"/>
    <n v="191.94919999999982"/>
    <n v="0"/>
    <n v="102.11217827159922"/>
    <x v="2"/>
  </r>
  <r>
    <s v="Sistema de Compensação"/>
    <x v="2"/>
    <x v="3"/>
    <x v="2"/>
    <x v="7"/>
    <x v="1"/>
    <x v="0"/>
    <x v="2"/>
    <x v="7"/>
    <n v="0"/>
    <n v="0"/>
    <n v="0.23699999999999999"/>
    <n v="0.23699999999999999"/>
    <n v="0.23699999999999999"/>
    <n v="0.23699999999999999"/>
    <n v="0"/>
    <s v="CATIVO"/>
    <n v="0"/>
    <n v="0"/>
    <n v="30"/>
    <n v="55"/>
    <n v="0"/>
    <n v="331.77"/>
    <n v="124.36"/>
    <m/>
    <n v="390.73403238820225"/>
    <n v="127.65788581931002"/>
    <n v="0"/>
    <n v="14.741399999999986"/>
    <n v="0"/>
    <n v="7.8420564647987732"/>
    <x v="2"/>
  </r>
  <r>
    <s v="Regular"/>
    <x v="2"/>
    <x v="3"/>
    <x v="2"/>
    <x v="7"/>
    <x v="1"/>
    <x v="0"/>
    <x v="2"/>
    <x v="8"/>
    <n v="0"/>
    <n v="0"/>
    <n v="2.173"/>
    <n v="2.173"/>
    <n v="2.173"/>
    <n v="2.173"/>
    <n v="0"/>
    <s v="CATIVO"/>
    <n v="0"/>
    <n v="0"/>
    <n v="30"/>
    <n v="55"/>
    <n v="0"/>
    <n v="331.77"/>
    <n v="124.36"/>
    <m/>
    <n v="390.73403238820225"/>
    <n v="127.65788581931002"/>
    <n v="0"/>
    <n v="135.16059999999987"/>
    <n v="0"/>
    <n v="71.902062016910278"/>
    <x v="2"/>
  </r>
  <r>
    <s v="Sistema de Compensação"/>
    <x v="2"/>
    <x v="3"/>
    <x v="2"/>
    <x v="7"/>
    <x v="1"/>
    <x v="0"/>
    <x v="2"/>
    <x v="8"/>
    <n v="0"/>
    <n v="0"/>
    <n v="0.34200000000000003"/>
    <n v="0.34200000000000003"/>
    <n v="0.34200000000000003"/>
    <n v="0.34200000000000003"/>
    <n v="0"/>
    <s v="CATIVO"/>
    <n v="0"/>
    <n v="0"/>
    <n v="30"/>
    <n v="55"/>
    <n v="0"/>
    <n v="331.77"/>
    <n v="124.36"/>
    <m/>
    <n v="390.73403238820225"/>
    <n v="127.65788581931002"/>
    <n v="0"/>
    <n v="21.272399999999983"/>
    <n v="0"/>
    <n v="11.316385278317219"/>
    <x v="2"/>
  </r>
  <r>
    <s v="Regular"/>
    <x v="2"/>
    <x v="3"/>
    <x v="2"/>
    <x v="7"/>
    <x v="1"/>
    <x v="0"/>
    <x v="2"/>
    <x v="9"/>
    <n v="0"/>
    <n v="0"/>
    <n v="3.0910000000000002"/>
    <n v="3.0910000000000002"/>
    <n v="3.0910000000000002"/>
    <n v="3.0910000000000002"/>
    <n v="0"/>
    <s v="CATIVO"/>
    <n v="0"/>
    <n v="0"/>
    <n v="30"/>
    <n v="55"/>
    <n v="0"/>
    <n v="331.77"/>
    <n v="124.36"/>
    <m/>
    <n v="390.73403238820225"/>
    <n v="127.65788581931002"/>
    <n v="0"/>
    <n v="192.26019999999986"/>
    <n v="0"/>
    <n v="102.27762250081439"/>
    <x v="2"/>
  </r>
  <r>
    <s v="Regular"/>
    <x v="2"/>
    <x v="3"/>
    <x v="2"/>
    <x v="7"/>
    <x v="1"/>
    <x v="0"/>
    <x v="2"/>
    <x v="10"/>
    <n v="0"/>
    <n v="0"/>
    <n v="2.78"/>
    <n v="2.78"/>
    <n v="2.78"/>
    <n v="2.78"/>
    <n v="0"/>
    <s v="CATIVO"/>
    <n v="0"/>
    <n v="0"/>
    <n v="30"/>
    <n v="55"/>
    <n v="0"/>
    <n v="331.77"/>
    <n v="124.36"/>
    <m/>
    <n v="390.73403238820225"/>
    <n v="127.65788581931002"/>
    <n v="0"/>
    <n v="172.91599999999983"/>
    <n v="0"/>
    <n v="91.986991443631183"/>
    <x v="2"/>
  </r>
  <r>
    <s v="Refaturamento - Regular"/>
    <x v="2"/>
    <x v="3"/>
    <x v="2"/>
    <x v="7"/>
    <x v="1"/>
    <x v="0"/>
    <x v="2"/>
    <x v="10"/>
    <n v="0"/>
    <n v="0"/>
    <n v="-0.26"/>
    <n v="-0.26"/>
    <n v="-0.26"/>
    <n v="-0.26"/>
    <n v="0"/>
    <s v="CATIVO"/>
    <n v="0"/>
    <n v="0"/>
    <n v="30"/>
    <n v="55"/>
    <n v="0"/>
    <n v="331.77"/>
    <n v="124.36"/>
    <m/>
    <n v="390.73403238820225"/>
    <n v="127.65788581931002"/>
    <n v="0"/>
    <n v="-16.171999999999986"/>
    <n v="0"/>
    <n v="-8.6030999191885282"/>
    <x v="2"/>
  </r>
  <r>
    <s v="Sistema de Compensação"/>
    <x v="2"/>
    <x v="3"/>
    <x v="2"/>
    <x v="7"/>
    <x v="1"/>
    <x v="0"/>
    <x v="2"/>
    <x v="10"/>
    <n v="0"/>
    <n v="0"/>
    <n v="0.1"/>
    <n v="0.1"/>
    <n v="0.1"/>
    <n v="0.1"/>
    <n v="0"/>
    <s v="CATIVO"/>
    <n v="0"/>
    <n v="0"/>
    <n v="30"/>
    <n v="55"/>
    <n v="0"/>
    <n v="331.77"/>
    <n v="124.36"/>
    <m/>
    <n v="390.73403238820225"/>
    <n v="127.65788581931002"/>
    <n v="0"/>
    <n v="6.2199999999999953"/>
    <n v="0"/>
    <n v="3.3088845843032804"/>
    <x v="2"/>
  </r>
  <r>
    <s v="Regular"/>
    <x v="2"/>
    <x v="3"/>
    <x v="2"/>
    <x v="7"/>
    <x v="1"/>
    <x v="0"/>
    <x v="2"/>
    <x v="11"/>
    <n v="0"/>
    <n v="0"/>
    <n v="2.8079999999999998"/>
    <n v="2.8079999999999998"/>
    <n v="2.8079999999999998"/>
    <n v="2.8079999999999998"/>
    <n v="0"/>
    <s v="CATIVO"/>
    <n v="0"/>
    <n v="0"/>
    <n v="30"/>
    <n v="55"/>
    <n v="0"/>
    <n v="331.77"/>
    <n v="124.36"/>
    <m/>
    <n v="390.73403238820225"/>
    <n v="127.65788581931002"/>
    <n v="0"/>
    <n v="174.65759999999983"/>
    <n v="0"/>
    <n v="92.913479127236101"/>
    <x v="2"/>
  </r>
  <r>
    <s v="Sistema de Compensação"/>
    <x v="2"/>
    <x v="3"/>
    <x v="2"/>
    <x v="7"/>
    <x v="1"/>
    <x v="0"/>
    <x v="2"/>
    <x v="11"/>
    <n v="0"/>
    <n v="0"/>
    <n v="0.1"/>
    <n v="0.1"/>
    <n v="0.1"/>
    <n v="0.1"/>
    <n v="0"/>
    <s v="CATIVO"/>
    <n v="0"/>
    <n v="0"/>
    <n v="30"/>
    <n v="55"/>
    <n v="0"/>
    <n v="331.77"/>
    <n v="124.36"/>
    <m/>
    <n v="390.73403238820225"/>
    <n v="127.65788581931002"/>
    <n v="0"/>
    <n v="6.2199999999999953"/>
    <n v="0"/>
    <n v="3.3088845843032804"/>
    <x v="2"/>
  </r>
  <r>
    <s v="Regular"/>
    <x v="2"/>
    <x v="3"/>
    <x v="2"/>
    <x v="7"/>
    <x v="2"/>
    <x v="0"/>
    <x v="2"/>
    <x v="0"/>
    <n v="0"/>
    <n v="0"/>
    <n v="4.4800000000000004"/>
    <n v="1.792"/>
    <n v="4.4800000000000004"/>
    <n v="1.792"/>
    <n v="0"/>
    <s v="CATIVO"/>
    <n v="0"/>
    <n v="0"/>
    <n v="30"/>
    <n v="55"/>
    <n v="0"/>
    <n v="331.77"/>
    <n v="124.36"/>
    <m/>
    <n v="390.73403238820225"/>
    <n v="127.65788581931002"/>
    <n v="0"/>
    <n v="1504.73344"/>
    <n v="0"/>
    <n v="1541.6755055185802"/>
    <x v="5"/>
  </r>
  <r>
    <s v="Sistema de Compensação"/>
    <x v="2"/>
    <x v="3"/>
    <x v="2"/>
    <x v="7"/>
    <x v="2"/>
    <x v="0"/>
    <x v="2"/>
    <x v="0"/>
    <n v="0"/>
    <n v="0"/>
    <n v="6.0000000000000001E-3"/>
    <n v="2.3999999999999998E-3"/>
    <n v="6.0000000000000001E-3"/>
    <n v="2.3999999999999998E-3"/>
    <n v="0"/>
    <s v="CATIVO"/>
    <n v="0"/>
    <n v="0"/>
    <n v="30"/>
    <n v="55"/>
    <n v="0"/>
    <n v="331.77"/>
    <n v="124.36"/>
    <m/>
    <n v="390.73403238820225"/>
    <n v="127.65788581931002"/>
    <n v="0"/>
    <n v="2.0152679999999998"/>
    <n v="0"/>
    <n v="2.064743980605241"/>
    <x v="5"/>
  </r>
  <r>
    <s v="Regular"/>
    <x v="2"/>
    <x v="3"/>
    <x v="2"/>
    <x v="7"/>
    <x v="2"/>
    <x v="0"/>
    <x v="2"/>
    <x v="1"/>
    <n v="0"/>
    <n v="0"/>
    <n v="1.861"/>
    <n v="0.74439999999999995"/>
    <n v="1.861"/>
    <n v="0.74439999999999995"/>
    <n v="0"/>
    <s v="CATIVO"/>
    <n v="0"/>
    <n v="0"/>
    <n v="30"/>
    <n v="55"/>
    <n v="0"/>
    <n v="331.77"/>
    <n v="124.36"/>
    <m/>
    <n v="390.73403238820225"/>
    <n v="127.65788581931002"/>
    <n v="0"/>
    <n v="625.06895799999984"/>
    <n v="0"/>
    <n v="640.41475798439217"/>
    <x v="5"/>
  </r>
  <r>
    <s v="Sistema de Compensação"/>
    <x v="2"/>
    <x v="3"/>
    <x v="2"/>
    <x v="7"/>
    <x v="2"/>
    <x v="0"/>
    <x v="2"/>
    <x v="1"/>
    <n v="0"/>
    <n v="0"/>
    <n v="5.0000000000000001E-3"/>
    <n v="2E-3"/>
    <n v="5.0000000000000001E-3"/>
    <n v="2E-3"/>
    <n v="0"/>
    <s v="CATIVO"/>
    <n v="0"/>
    <n v="0"/>
    <n v="30"/>
    <n v="55"/>
    <n v="0"/>
    <n v="331.77"/>
    <n v="124.36"/>
    <m/>
    <n v="390.73403238820225"/>
    <n v="127.65788581931002"/>
    <n v="0"/>
    <n v="1.6793899999999997"/>
    <n v="0"/>
    <n v="1.7206199838377008"/>
    <x v="5"/>
  </r>
  <r>
    <s v="Regular"/>
    <x v="2"/>
    <x v="3"/>
    <x v="2"/>
    <x v="7"/>
    <x v="2"/>
    <x v="0"/>
    <x v="2"/>
    <x v="2"/>
    <n v="0"/>
    <n v="0"/>
    <n v="2.6339999999999999"/>
    <n v="1.0536000000000001"/>
    <n v="2.6339999999999999"/>
    <n v="1.0536000000000001"/>
    <n v="0"/>
    <s v="CATIVO"/>
    <n v="0"/>
    <n v="0"/>
    <n v="30"/>
    <n v="55"/>
    <n v="0"/>
    <n v="331.77"/>
    <n v="124.36"/>
    <m/>
    <n v="390.73403238820225"/>
    <n v="127.65788581931002"/>
    <n v="0"/>
    <n v="884.70265199999972"/>
    <n v="0"/>
    <n v="906.42260748570072"/>
    <x v="5"/>
  </r>
  <r>
    <s v="Sistema de Compensação"/>
    <x v="2"/>
    <x v="3"/>
    <x v="2"/>
    <x v="7"/>
    <x v="2"/>
    <x v="0"/>
    <x v="2"/>
    <x v="2"/>
    <n v="0"/>
    <n v="0"/>
    <n v="4.0000000000000001E-3"/>
    <n v="1.6000000000000001E-3"/>
    <n v="4.0000000000000001E-3"/>
    <n v="1.6000000000000001E-3"/>
    <n v="0"/>
    <s v="CATIVO"/>
    <n v="0"/>
    <n v="0"/>
    <n v="30"/>
    <n v="55"/>
    <n v="0"/>
    <n v="331.77"/>
    <n v="124.36"/>
    <m/>
    <n v="390.73403238820225"/>
    <n v="127.65788581931002"/>
    <n v="0"/>
    <n v="1.343512"/>
    <n v="0"/>
    <n v="1.3764959870701607"/>
    <x v="5"/>
  </r>
  <r>
    <s v="Regular"/>
    <x v="2"/>
    <x v="3"/>
    <x v="2"/>
    <x v="7"/>
    <x v="2"/>
    <x v="0"/>
    <x v="2"/>
    <x v="3"/>
    <n v="0"/>
    <n v="0"/>
    <n v="4.6260000000000003"/>
    <n v="1.8504"/>
    <n v="4.6260000000000003"/>
    <n v="1.8504"/>
    <n v="0"/>
    <s v="CATIVO"/>
    <n v="0"/>
    <n v="0"/>
    <n v="30"/>
    <n v="55"/>
    <n v="0"/>
    <n v="331.77"/>
    <n v="124.36"/>
    <m/>
    <n v="390.73403238820225"/>
    <n v="127.65788581931002"/>
    <n v="0"/>
    <n v="1553.771628"/>
    <n v="0"/>
    <n v="1591.917609046641"/>
    <x v="5"/>
  </r>
  <r>
    <s v="Sistema de Compensação"/>
    <x v="2"/>
    <x v="3"/>
    <x v="2"/>
    <x v="7"/>
    <x v="2"/>
    <x v="0"/>
    <x v="2"/>
    <x v="3"/>
    <n v="0"/>
    <n v="0"/>
    <n v="0.39100000000000001"/>
    <n v="0.15640000000000001"/>
    <n v="0.39100000000000001"/>
    <n v="0.15640000000000001"/>
    <n v="0"/>
    <s v="CATIVO"/>
    <n v="0"/>
    <n v="0"/>
    <n v="30"/>
    <n v="55"/>
    <n v="0"/>
    <n v="331.77"/>
    <n v="124.36"/>
    <m/>
    <n v="390.73403238820225"/>
    <n v="127.65788581931002"/>
    <n v="0"/>
    <n v="131.32829799999999"/>
    <n v="0"/>
    <n v="134.5524827361082"/>
    <x v="5"/>
  </r>
  <r>
    <s v="Regular"/>
    <x v="2"/>
    <x v="3"/>
    <x v="2"/>
    <x v="7"/>
    <x v="2"/>
    <x v="0"/>
    <x v="2"/>
    <x v="4"/>
    <n v="0"/>
    <n v="0"/>
    <n v="7.93"/>
    <n v="3.1720000000000002"/>
    <n v="7.93"/>
    <n v="3.1720000000000002"/>
    <n v="0"/>
    <s v="CATIVO"/>
    <n v="0"/>
    <n v="0"/>
    <n v="30"/>
    <n v="55"/>
    <n v="0"/>
    <n v="331.77"/>
    <n v="124.36"/>
    <m/>
    <n v="390.73403238820225"/>
    <n v="127.65788581931002"/>
    <n v="0"/>
    <n v="2663.5125399999993"/>
    <n v="0"/>
    <n v="2728.9032943665934"/>
    <x v="5"/>
  </r>
  <r>
    <s v="Sistema de Compensação"/>
    <x v="2"/>
    <x v="3"/>
    <x v="2"/>
    <x v="7"/>
    <x v="2"/>
    <x v="0"/>
    <x v="2"/>
    <x v="4"/>
    <n v="0"/>
    <n v="0"/>
    <n v="0.86899999999999999"/>
    <n v="0.34760000000000002"/>
    <n v="0.86899999999999999"/>
    <n v="0.34760000000000002"/>
    <n v="0"/>
    <s v="CATIVO"/>
    <n v="0"/>
    <n v="0"/>
    <n v="30"/>
    <n v="55"/>
    <n v="0"/>
    <n v="331.77"/>
    <n v="124.36"/>
    <m/>
    <n v="390.73403238820225"/>
    <n v="127.65788581931002"/>
    <n v="0"/>
    <n v="291.87798199999992"/>
    <n v="0"/>
    <n v="299.04375319099239"/>
    <x v="5"/>
  </r>
  <r>
    <s v="Regular"/>
    <x v="2"/>
    <x v="3"/>
    <x v="2"/>
    <x v="7"/>
    <x v="2"/>
    <x v="0"/>
    <x v="2"/>
    <x v="5"/>
    <n v="0"/>
    <n v="0"/>
    <n v="4.54"/>
    <n v="1.8160000000000001"/>
    <n v="4.54"/>
    <n v="1.8160000000000001"/>
    <n v="0"/>
    <s v="CATIVO"/>
    <n v="0"/>
    <n v="0"/>
    <n v="30"/>
    <n v="55"/>
    <n v="0"/>
    <n v="331.77"/>
    <n v="124.36"/>
    <m/>
    <n v="390.73403238820225"/>
    <n v="127.65788581931002"/>
    <n v="0"/>
    <n v="1524.8861199999997"/>
    <n v="0"/>
    <n v="1562.3229453246327"/>
    <x v="5"/>
  </r>
  <r>
    <s v="Sistema de Compensação"/>
    <x v="2"/>
    <x v="3"/>
    <x v="2"/>
    <x v="7"/>
    <x v="2"/>
    <x v="0"/>
    <x v="2"/>
    <x v="5"/>
    <n v="0"/>
    <n v="0"/>
    <n v="0.13700000000000001"/>
    <n v="5.4800000000000001E-2"/>
    <n v="0.13700000000000001"/>
    <n v="5.4800000000000001E-2"/>
    <n v="0"/>
    <s v="CATIVO"/>
    <n v="0"/>
    <n v="0"/>
    <n v="30"/>
    <n v="55"/>
    <n v="0"/>
    <n v="331.77"/>
    <n v="124.36"/>
    <m/>
    <n v="390.73403238820225"/>
    <n v="127.65788581931002"/>
    <n v="0"/>
    <n v="46.015285999999996"/>
    <n v="0"/>
    <n v="47.144987557153009"/>
    <x v="5"/>
  </r>
  <r>
    <s v="Regular"/>
    <x v="2"/>
    <x v="3"/>
    <x v="2"/>
    <x v="7"/>
    <x v="2"/>
    <x v="0"/>
    <x v="2"/>
    <x v="6"/>
    <n v="0"/>
    <n v="0"/>
    <n v="3.331"/>
    <n v="1.3324"/>
    <n v="3.331"/>
    <n v="1.3324"/>
    <n v="0"/>
    <s v="CATIVO"/>
    <n v="0"/>
    <n v="0"/>
    <n v="30"/>
    <n v="55"/>
    <n v="0"/>
    <n v="331.77"/>
    <n v="124.36"/>
    <m/>
    <n v="390.73403238820225"/>
    <n v="127.65788581931002"/>
    <n v="0"/>
    <n v="1118.8096179999998"/>
    <n v="0"/>
    <n v="1146.2770332326763"/>
    <x v="5"/>
  </r>
  <r>
    <s v="Sistema de Compensação"/>
    <x v="2"/>
    <x v="3"/>
    <x v="2"/>
    <x v="7"/>
    <x v="2"/>
    <x v="0"/>
    <x v="2"/>
    <x v="6"/>
    <n v="0"/>
    <n v="0"/>
    <n v="0.246"/>
    <n v="9.8400000000000001E-2"/>
    <n v="0.246"/>
    <n v="9.8400000000000001E-2"/>
    <n v="0"/>
    <s v="CATIVO"/>
    <n v="0"/>
    <n v="0"/>
    <n v="30"/>
    <n v="55"/>
    <n v="0"/>
    <n v="331.77"/>
    <n v="124.36"/>
    <m/>
    <n v="390.73403238820225"/>
    <n v="127.65788581931002"/>
    <n v="0"/>
    <n v="82.625987999999978"/>
    <n v="0"/>
    <n v="84.654503204814887"/>
    <x v="5"/>
  </r>
  <r>
    <s v="Regular"/>
    <x v="2"/>
    <x v="3"/>
    <x v="2"/>
    <x v="7"/>
    <x v="2"/>
    <x v="0"/>
    <x v="2"/>
    <x v="7"/>
    <n v="0"/>
    <n v="0"/>
    <n v="1.518"/>
    <n v="0.60719999999999996"/>
    <n v="1.518"/>
    <n v="0.60719999999999996"/>
    <n v="0"/>
    <s v="CATIVO"/>
    <n v="0"/>
    <n v="0"/>
    <n v="30"/>
    <n v="55"/>
    <n v="0"/>
    <n v="331.77"/>
    <n v="124.36"/>
    <m/>
    <n v="390.73403238820225"/>
    <n v="127.65788581931002"/>
    <n v="0"/>
    <n v="509.86280399999998"/>
    <n v="0"/>
    <n v="522.380227093126"/>
    <x v="5"/>
  </r>
  <r>
    <s v="Sistema de Compensação"/>
    <x v="2"/>
    <x v="3"/>
    <x v="2"/>
    <x v="7"/>
    <x v="2"/>
    <x v="0"/>
    <x v="2"/>
    <x v="7"/>
    <n v="0"/>
    <n v="0"/>
    <n v="4.7E-2"/>
    <n v="1.8800000000000001E-2"/>
    <n v="4.7E-2"/>
    <n v="1.8800000000000001E-2"/>
    <n v="0"/>
    <s v="CATIVO"/>
    <n v="0"/>
    <n v="0"/>
    <n v="30"/>
    <n v="55"/>
    <n v="0"/>
    <n v="331.77"/>
    <n v="124.36"/>
    <m/>
    <n v="390.73403238820225"/>
    <n v="127.65788581931002"/>
    <n v="0"/>
    <n v="15.786265999999998"/>
    <n v="0"/>
    <n v="16.173827848074389"/>
    <x v="5"/>
  </r>
  <r>
    <s v="Regular"/>
    <x v="2"/>
    <x v="3"/>
    <x v="2"/>
    <x v="7"/>
    <x v="2"/>
    <x v="0"/>
    <x v="2"/>
    <x v="8"/>
    <n v="0"/>
    <n v="0"/>
    <n v="0.59099999999999997"/>
    <n v="0.2364"/>
    <n v="0.59099999999999997"/>
    <n v="0.2364"/>
    <n v="0"/>
    <s v="CATIVO"/>
    <n v="0"/>
    <n v="0"/>
    <n v="30"/>
    <n v="55"/>
    <n v="0"/>
    <n v="331.77"/>
    <n v="124.36"/>
    <m/>
    <n v="390.73403238820225"/>
    <n v="127.65788581931002"/>
    <n v="0"/>
    <n v="198.50389799999996"/>
    <n v="0"/>
    <n v="203.37728208961622"/>
    <x v="5"/>
  </r>
  <r>
    <s v="Sistema de Compensação"/>
    <x v="2"/>
    <x v="3"/>
    <x v="2"/>
    <x v="7"/>
    <x v="2"/>
    <x v="0"/>
    <x v="2"/>
    <x v="8"/>
    <n v="0"/>
    <n v="0"/>
    <n v="6.9000000000000006E-2"/>
    <n v="2.76E-2"/>
    <n v="6.9000000000000006E-2"/>
    <n v="2.76E-2"/>
    <n v="0"/>
    <s v="CATIVO"/>
    <n v="0"/>
    <n v="0"/>
    <n v="30"/>
    <n v="55"/>
    <n v="0"/>
    <n v="331.77"/>
    <n v="124.36"/>
    <m/>
    <n v="390.73403238820225"/>
    <n v="127.65788581931002"/>
    <n v="0"/>
    <n v="23.175581999999999"/>
    <n v="0"/>
    <n v="23.744555776960276"/>
    <x v="5"/>
  </r>
  <r>
    <s v="Regular"/>
    <x v="2"/>
    <x v="3"/>
    <x v="2"/>
    <x v="7"/>
    <x v="2"/>
    <x v="0"/>
    <x v="2"/>
    <x v="9"/>
    <n v="0"/>
    <n v="0"/>
    <n v="0.83799999999999997"/>
    <n v="0.3352"/>
    <n v="0.83799999999999997"/>
    <n v="0.3352"/>
    <n v="0"/>
    <s v="CATIVO"/>
    <n v="0"/>
    <n v="0"/>
    <n v="30"/>
    <n v="55"/>
    <n v="0"/>
    <n v="331.77"/>
    <n v="124.36"/>
    <m/>
    <n v="390.73403238820225"/>
    <n v="127.65788581931002"/>
    <n v="0"/>
    <n v="281.46576399999992"/>
    <n v="0"/>
    <n v="288.37590929119858"/>
    <x v="5"/>
  </r>
  <r>
    <s v="Regular"/>
    <x v="2"/>
    <x v="3"/>
    <x v="2"/>
    <x v="7"/>
    <x v="2"/>
    <x v="0"/>
    <x v="2"/>
    <x v="10"/>
    <n v="0"/>
    <n v="0"/>
    <n v="0.85399999999999998"/>
    <n v="0.34160000000000001"/>
    <n v="0.85399999999999998"/>
    <n v="0.34160000000000001"/>
    <n v="0"/>
    <s v="CATIVO"/>
    <n v="0"/>
    <n v="0"/>
    <n v="30"/>
    <n v="55"/>
    <n v="0"/>
    <n v="331.77"/>
    <n v="124.36"/>
    <m/>
    <n v="390.73403238820225"/>
    <n v="127.65788581931002"/>
    <n v="0"/>
    <n v="286.83981199999994"/>
    <n v="0"/>
    <n v="293.88189323947927"/>
    <x v="5"/>
  </r>
  <r>
    <s v="Refaturamento - Regular"/>
    <x v="2"/>
    <x v="3"/>
    <x v="2"/>
    <x v="7"/>
    <x v="2"/>
    <x v="0"/>
    <x v="2"/>
    <x v="10"/>
    <n v="0"/>
    <n v="0"/>
    <n v="-0.187"/>
    <n v="-7.4800000000000005E-2"/>
    <n v="-0.187"/>
    <n v="-7.4800000000000005E-2"/>
    <n v="0"/>
    <s v="CATIVO"/>
    <n v="0"/>
    <n v="0"/>
    <n v="30"/>
    <n v="55"/>
    <n v="0"/>
    <n v="331.77"/>
    <n v="124.36"/>
    <m/>
    <n v="390.73403238820225"/>
    <n v="127.65788581931002"/>
    <n v="0"/>
    <n v="-62.80918599999999"/>
    <n v="0"/>
    <n v="-64.351187395530005"/>
    <x v="5"/>
  </r>
  <r>
    <s v="Regular"/>
    <x v="2"/>
    <x v="3"/>
    <x v="2"/>
    <x v="7"/>
    <x v="2"/>
    <x v="0"/>
    <x v="2"/>
    <x v="11"/>
    <n v="0"/>
    <n v="0"/>
    <n v="0.77700000000000002"/>
    <n v="0.31080000000000002"/>
    <n v="0.77700000000000002"/>
    <n v="0.31080000000000002"/>
    <n v="0"/>
    <s v="CATIVO"/>
    <n v="0"/>
    <n v="0"/>
    <n v="30"/>
    <n v="55"/>
    <n v="0"/>
    <n v="331.77"/>
    <n v="124.36"/>
    <m/>
    <n v="390.73403238820225"/>
    <n v="127.65788581931002"/>
    <n v="0"/>
    <n v="260.97720599999997"/>
    <n v="0"/>
    <n v="267.3843454883787"/>
    <x v="5"/>
  </r>
  <r>
    <s v="Regular"/>
    <x v="2"/>
    <x v="3"/>
    <x v="2"/>
    <x v="8"/>
    <x v="1"/>
    <x v="0"/>
    <x v="2"/>
    <x v="0"/>
    <n v="0"/>
    <n v="0"/>
    <n v="7.766"/>
    <n v="7.766"/>
    <n v="7.766"/>
    <n v="7.766"/>
    <n v="0"/>
    <s v="CATIVO"/>
    <n v="0"/>
    <n v="0"/>
    <n v="30"/>
    <n v="55"/>
    <n v="0"/>
    <n v="331.77"/>
    <n v="124.36"/>
    <m/>
    <n v="390.73403238820225"/>
    <n v="127.65788581931002"/>
    <n v="0"/>
    <n v="483.04519999999957"/>
    <n v="0"/>
    <n v="256.96797681699275"/>
    <x v="2"/>
  </r>
  <r>
    <s v="Sistema de Compensação"/>
    <x v="2"/>
    <x v="3"/>
    <x v="2"/>
    <x v="8"/>
    <x v="1"/>
    <x v="0"/>
    <x v="2"/>
    <x v="0"/>
    <n v="0"/>
    <n v="0"/>
    <n v="0.05"/>
    <n v="0.05"/>
    <n v="0.05"/>
    <n v="0.05"/>
    <n v="0"/>
    <s v="CATIVO"/>
    <n v="0"/>
    <n v="0"/>
    <n v="30"/>
    <n v="55"/>
    <n v="0"/>
    <n v="331.77"/>
    <n v="124.36"/>
    <m/>
    <n v="390.73403238820225"/>
    <n v="127.65788581931002"/>
    <n v="0"/>
    <n v="3.1099999999999977"/>
    <n v="0"/>
    <n v="1.6544422921516402"/>
    <x v="2"/>
  </r>
  <r>
    <s v="Regular"/>
    <x v="2"/>
    <x v="3"/>
    <x v="2"/>
    <x v="8"/>
    <x v="1"/>
    <x v="0"/>
    <x v="2"/>
    <x v="1"/>
    <n v="0"/>
    <n v="0"/>
    <n v="7.407"/>
    <n v="7.407"/>
    <n v="7.407"/>
    <n v="7.407"/>
    <n v="0"/>
    <s v="CATIVO"/>
    <n v="0"/>
    <n v="0"/>
    <n v="30"/>
    <n v="55"/>
    <n v="0"/>
    <n v="331.77"/>
    <n v="124.36"/>
    <m/>
    <n v="390.73403238820225"/>
    <n v="127.65788581931002"/>
    <n v="0"/>
    <n v="460.71539999999959"/>
    <n v="0"/>
    <n v="245.08908115934395"/>
    <x v="2"/>
  </r>
  <r>
    <s v="Sistema de Compensação"/>
    <x v="2"/>
    <x v="3"/>
    <x v="2"/>
    <x v="8"/>
    <x v="1"/>
    <x v="0"/>
    <x v="2"/>
    <x v="1"/>
    <n v="0"/>
    <n v="0"/>
    <n v="0.05"/>
    <n v="0.05"/>
    <n v="0.05"/>
    <n v="0.05"/>
    <n v="0"/>
    <s v="CATIVO"/>
    <n v="0"/>
    <n v="0"/>
    <n v="30"/>
    <n v="55"/>
    <n v="0"/>
    <n v="331.77"/>
    <n v="124.36"/>
    <m/>
    <n v="390.73403238820225"/>
    <n v="127.65788581931002"/>
    <n v="0"/>
    <n v="3.1099999999999977"/>
    <n v="0"/>
    <n v="1.6544422921516402"/>
    <x v="2"/>
  </r>
  <r>
    <s v="Regular"/>
    <x v="2"/>
    <x v="3"/>
    <x v="2"/>
    <x v="8"/>
    <x v="1"/>
    <x v="0"/>
    <x v="2"/>
    <x v="2"/>
    <n v="0"/>
    <n v="0"/>
    <n v="4.6059999999999999"/>
    <n v="4.6059999999999999"/>
    <n v="4.6059999999999999"/>
    <n v="4.6059999999999999"/>
    <n v="0"/>
    <s v="CATIVO"/>
    <n v="0"/>
    <n v="0"/>
    <n v="30"/>
    <n v="55"/>
    <n v="0"/>
    <n v="331.77"/>
    <n v="124.36"/>
    <m/>
    <n v="390.73403238820225"/>
    <n v="127.65788581931002"/>
    <n v="0"/>
    <n v="286.49319999999972"/>
    <n v="0"/>
    <n v="152.40722395300907"/>
    <x v="2"/>
  </r>
  <r>
    <s v="Sistema de Compensação"/>
    <x v="2"/>
    <x v="3"/>
    <x v="2"/>
    <x v="8"/>
    <x v="1"/>
    <x v="0"/>
    <x v="2"/>
    <x v="2"/>
    <n v="0"/>
    <n v="0"/>
    <n v="1.756"/>
    <n v="1.756"/>
    <n v="1.756"/>
    <n v="1.756"/>
    <n v="0"/>
    <s v="CATIVO"/>
    <n v="0"/>
    <n v="0"/>
    <n v="30"/>
    <n v="55"/>
    <n v="0"/>
    <n v="331.77"/>
    <n v="124.36"/>
    <m/>
    <n v="390.73403238820225"/>
    <n v="127.65788581931002"/>
    <n v="0"/>
    <n v="109.22319999999991"/>
    <n v="0"/>
    <n v="58.104013300365594"/>
    <x v="2"/>
  </r>
  <r>
    <s v="Regular"/>
    <x v="2"/>
    <x v="3"/>
    <x v="2"/>
    <x v="8"/>
    <x v="1"/>
    <x v="0"/>
    <x v="2"/>
    <x v="3"/>
    <n v="0"/>
    <n v="0"/>
    <n v="4.41"/>
    <n v="4.41"/>
    <n v="4.41"/>
    <n v="4.41"/>
    <n v="0"/>
    <s v="CATIVO"/>
    <n v="0"/>
    <n v="0"/>
    <n v="30"/>
    <n v="55"/>
    <n v="0"/>
    <n v="331.77"/>
    <n v="124.36"/>
    <m/>
    <n v="390.73403238820225"/>
    <n v="127.65788581931002"/>
    <n v="0"/>
    <n v="274.30199999999979"/>
    <n v="0"/>
    <n v="145.92181016777465"/>
    <x v="2"/>
  </r>
  <r>
    <s v="Sistema de Compensação"/>
    <x v="2"/>
    <x v="3"/>
    <x v="2"/>
    <x v="8"/>
    <x v="1"/>
    <x v="0"/>
    <x v="2"/>
    <x v="3"/>
    <n v="0"/>
    <n v="0"/>
    <n v="1.4179999999999999"/>
    <n v="1.4179999999999999"/>
    <n v="1.4179999999999999"/>
    <n v="1.4179999999999999"/>
    <n v="0"/>
    <s v="CATIVO"/>
    <n v="0"/>
    <n v="0"/>
    <n v="30"/>
    <n v="55"/>
    <n v="0"/>
    <n v="331.77"/>
    <n v="124.36"/>
    <m/>
    <n v="390.73403238820225"/>
    <n v="127.65788581931002"/>
    <n v="0"/>
    <n v="88.199599999999919"/>
    <n v="0"/>
    <n v="46.91998340542051"/>
    <x v="2"/>
  </r>
  <r>
    <s v="Regular"/>
    <x v="2"/>
    <x v="3"/>
    <x v="2"/>
    <x v="8"/>
    <x v="1"/>
    <x v="0"/>
    <x v="2"/>
    <x v="4"/>
    <n v="0"/>
    <n v="0"/>
    <n v="8.9499999999999993"/>
    <n v="8.9499999999999993"/>
    <n v="8.9499999999999993"/>
    <n v="8.9499999999999993"/>
    <n v="0"/>
    <s v="CATIVO"/>
    <n v="0"/>
    <n v="0"/>
    <n v="30"/>
    <n v="55"/>
    <n v="0"/>
    <n v="331.77"/>
    <n v="124.36"/>
    <m/>
    <n v="390.73403238820225"/>
    <n v="127.65788581931002"/>
    <n v="0"/>
    <n v="556.68999999999949"/>
    <n v="0"/>
    <n v="296.14517029514354"/>
    <x v="2"/>
  </r>
  <r>
    <s v="Sistema de Compensação"/>
    <x v="2"/>
    <x v="3"/>
    <x v="2"/>
    <x v="8"/>
    <x v="1"/>
    <x v="0"/>
    <x v="2"/>
    <x v="4"/>
    <n v="0"/>
    <n v="0"/>
    <n v="0.76900000000000002"/>
    <n v="0.76900000000000002"/>
    <n v="0.76900000000000002"/>
    <n v="0.76900000000000002"/>
    <n v="0"/>
    <s v="CATIVO"/>
    <n v="0"/>
    <n v="0"/>
    <n v="30"/>
    <n v="55"/>
    <n v="0"/>
    <n v="331.77"/>
    <n v="124.36"/>
    <m/>
    <n v="390.73403238820225"/>
    <n v="127.65788581931002"/>
    <n v="0"/>
    <n v="47.831799999999959"/>
    <n v="0"/>
    <n v="25.445322453292224"/>
    <x v="2"/>
  </r>
  <r>
    <s v="Regular"/>
    <x v="2"/>
    <x v="3"/>
    <x v="2"/>
    <x v="8"/>
    <x v="1"/>
    <x v="0"/>
    <x v="2"/>
    <x v="5"/>
    <n v="0"/>
    <n v="0"/>
    <n v="11.526999999999999"/>
    <n v="11.526999999999999"/>
    <n v="11.526999999999999"/>
    <n v="11.526999999999999"/>
    <n v="0"/>
    <s v="CATIVO"/>
    <n v="0"/>
    <n v="0"/>
    <n v="30"/>
    <n v="55"/>
    <n v="0"/>
    <n v="331.77"/>
    <n v="124.36"/>
    <m/>
    <n v="390.73403238820225"/>
    <n v="127.65788581931002"/>
    <n v="0"/>
    <n v="716.97939999999937"/>
    <n v="0"/>
    <n v="381.41512603263908"/>
    <x v="2"/>
  </r>
  <r>
    <s v="Sistema de Compensação"/>
    <x v="2"/>
    <x v="3"/>
    <x v="2"/>
    <x v="8"/>
    <x v="1"/>
    <x v="0"/>
    <x v="2"/>
    <x v="5"/>
    <n v="0"/>
    <n v="0"/>
    <n v="1.095"/>
    <n v="1.095"/>
    <n v="1.095"/>
    <n v="1.095"/>
    <n v="0"/>
    <s v="CATIVO"/>
    <n v="0"/>
    <n v="0"/>
    <n v="30"/>
    <n v="55"/>
    <n v="0"/>
    <n v="331.77"/>
    <n v="124.36"/>
    <m/>
    <n v="390.73403238820225"/>
    <n v="127.65788581931002"/>
    <n v="0"/>
    <n v="68.108999999999938"/>
    <n v="0"/>
    <n v="36.232286198120917"/>
    <x v="2"/>
  </r>
  <r>
    <s v="Regular"/>
    <x v="2"/>
    <x v="3"/>
    <x v="2"/>
    <x v="8"/>
    <x v="1"/>
    <x v="0"/>
    <x v="2"/>
    <x v="6"/>
    <n v="0"/>
    <n v="0"/>
    <n v="7.798"/>
    <n v="7.798"/>
    <n v="7.798"/>
    <n v="7.798"/>
    <n v="0"/>
    <s v="CATIVO"/>
    <n v="0"/>
    <n v="0"/>
    <n v="30"/>
    <n v="55"/>
    <n v="0"/>
    <n v="331.77"/>
    <n v="124.36"/>
    <m/>
    <n v="390.73403238820225"/>
    <n v="127.65788581931002"/>
    <n v="0"/>
    <n v="485.03559999999959"/>
    <n v="0"/>
    <n v="258.02681988396978"/>
    <x v="2"/>
  </r>
  <r>
    <s v="Sistema de Compensação"/>
    <x v="2"/>
    <x v="3"/>
    <x v="2"/>
    <x v="8"/>
    <x v="1"/>
    <x v="0"/>
    <x v="2"/>
    <x v="6"/>
    <n v="0"/>
    <n v="0"/>
    <n v="1.1040000000000001"/>
    <n v="1.1040000000000001"/>
    <n v="1.1040000000000001"/>
    <n v="1.1040000000000001"/>
    <n v="0"/>
    <s v="CATIVO"/>
    <n v="0"/>
    <n v="0"/>
    <n v="30"/>
    <n v="55"/>
    <n v="0"/>
    <n v="331.77"/>
    <n v="124.36"/>
    <m/>
    <n v="390.73403238820225"/>
    <n v="127.65788581931002"/>
    <n v="0"/>
    <n v="68.668799999999948"/>
    <n v="0"/>
    <n v="36.530085810708215"/>
    <x v="2"/>
  </r>
  <r>
    <s v="Regular"/>
    <x v="2"/>
    <x v="3"/>
    <x v="2"/>
    <x v="8"/>
    <x v="1"/>
    <x v="0"/>
    <x v="2"/>
    <x v="7"/>
    <n v="0"/>
    <n v="0"/>
    <n v="6.8460000000000001"/>
    <n v="6.8460000000000001"/>
    <n v="6.8460000000000001"/>
    <n v="6.8460000000000001"/>
    <n v="0"/>
    <s v="CATIVO"/>
    <n v="0"/>
    <n v="0"/>
    <n v="30"/>
    <n v="55"/>
    <n v="0"/>
    <n v="331.77"/>
    <n v="124.36"/>
    <m/>
    <n v="390.73403238820225"/>
    <n v="127.65788581931002"/>
    <n v="0"/>
    <n v="425.82119999999964"/>
    <n v="0"/>
    <n v="226.52623864140256"/>
    <x v="2"/>
  </r>
  <r>
    <s v="Sistema de Compensação"/>
    <x v="2"/>
    <x v="3"/>
    <x v="2"/>
    <x v="8"/>
    <x v="1"/>
    <x v="0"/>
    <x v="2"/>
    <x v="7"/>
    <n v="0"/>
    <n v="0"/>
    <n v="1.19"/>
    <n v="1.19"/>
    <n v="1.19"/>
    <n v="1.19"/>
    <n v="0"/>
    <s v="CATIVO"/>
    <n v="0"/>
    <n v="0"/>
    <n v="30"/>
    <n v="55"/>
    <n v="0"/>
    <n v="331.77"/>
    <n v="124.36"/>
    <m/>
    <n v="390.73403238820225"/>
    <n v="127.65788581931002"/>
    <n v="0"/>
    <n v="74.01799999999993"/>
    <n v="0"/>
    <n v="39.375726553209027"/>
    <x v="2"/>
  </r>
  <r>
    <s v="Regular"/>
    <x v="2"/>
    <x v="3"/>
    <x v="2"/>
    <x v="8"/>
    <x v="1"/>
    <x v="0"/>
    <x v="2"/>
    <x v="8"/>
    <n v="0"/>
    <n v="0"/>
    <n v="5.0679999999999996"/>
    <n v="5.0679999999999996"/>
    <n v="5.0679999999999996"/>
    <n v="5.0679999999999996"/>
    <n v="0"/>
    <s v="CATIVO"/>
    <n v="0"/>
    <n v="0"/>
    <n v="30"/>
    <n v="55"/>
    <n v="0"/>
    <n v="331.77"/>
    <n v="124.36"/>
    <m/>
    <n v="390.73403238820225"/>
    <n v="127.65788581931002"/>
    <n v="0"/>
    <n v="315.22959999999972"/>
    <n v="0"/>
    <n v="167.69427073249022"/>
    <x v="2"/>
  </r>
  <r>
    <s v="Sistema de Compensação"/>
    <x v="2"/>
    <x v="3"/>
    <x v="2"/>
    <x v="8"/>
    <x v="1"/>
    <x v="0"/>
    <x v="2"/>
    <x v="8"/>
    <n v="0"/>
    <n v="0"/>
    <n v="0.1"/>
    <n v="0.1"/>
    <n v="0.1"/>
    <n v="0.1"/>
    <n v="0"/>
    <s v="CATIVO"/>
    <n v="0"/>
    <n v="0"/>
    <n v="30"/>
    <n v="55"/>
    <n v="0"/>
    <n v="331.77"/>
    <n v="124.36"/>
    <m/>
    <n v="390.73403238820225"/>
    <n v="127.65788581931002"/>
    <n v="0"/>
    <n v="6.2199999999999953"/>
    <n v="0"/>
    <n v="3.3088845843032804"/>
    <x v="2"/>
  </r>
  <r>
    <s v="Regular"/>
    <x v="2"/>
    <x v="3"/>
    <x v="2"/>
    <x v="8"/>
    <x v="1"/>
    <x v="0"/>
    <x v="2"/>
    <x v="9"/>
    <n v="0"/>
    <n v="0"/>
    <n v="5.0439999999999996"/>
    <n v="5.0439999999999996"/>
    <n v="5.0439999999999996"/>
    <n v="5.0439999999999996"/>
    <n v="0"/>
    <s v="CATIVO"/>
    <n v="0"/>
    <n v="0"/>
    <n v="30"/>
    <n v="55"/>
    <n v="0"/>
    <n v="331.77"/>
    <n v="124.36"/>
    <m/>
    <n v="390.73403238820225"/>
    <n v="127.65788581931002"/>
    <n v="0"/>
    <n v="313.73679999999968"/>
    <n v="0"/>
    <n v="166.90013843225742"/>
    <x v="2"/>
  </r>
  <r>
    <s v="Sistema de Compensação"/>
    <x v="2"/>
    <x v="3"/>
    <x v="2"/>
    <x v="8"/>
    <x v="1"/>
    <x v="0"/>
    <x v="2"/>
    <x v="9"/>
    <n v="0"/>
    <n v="0"/>
    <n v="0.2"/>
    <n v="0.2"/>
    <n v="0.2"/>
    <n v="0.2"/>
    <n v="0"/>
    <s v="CATIVO"/>
    <n v="0"/>
    <n v="0"/>
    <n v="30"/>
    <n v="55"/>
    <n v="0"/>
    <n v="331.77"/>
    <n v="124.36"/>
    <m/>
    <n v="390.73403238820225"/>
    <n v="127.65788581931002"/>
    <n v="0"/>
    <n v="12.439999999999991"/>
    <n v="0"/>
    <n v="6.6177691686065607"/>
    <x v="2"/>
  </r>
  <r>
    <s v="Regular"/>
    <x v="2"/>
    <x v="3"/>
    <x v="2"/>
    <x v="8"/>
    <x v="1"/>
    <x v="0"/>
    <x v="2"/>
    <x v="10"/>
    <n v="0"/>
    <n v="0"/>
    <n v="3.3410000000000002"/>
    <n v="3.3410000000000002"/>
    <n v="3.3410000000000002"/>
    <n v="3.3410000000000002"/>
    <n v="0"/>
    <s v="CATIVO"/>
    <n v="0"/>
    <n v="0"/>
    <n v="30"/>
    <n v="55"/>
    <n v="0"/>
    <n v="331.77"/>
    <n v="124.36"/>
    <m/>
    <n v="390.73403238820225"/>
    <n v="127.65788581931002"/>
    <n v="0"/>
    <n v="207.81019999999984"/>
    <n v="0"/>
    <n v="110.54983396157259"/>
    <x v="2"/>
  </r>
  <r>
    <s v="Sistema de Compensação"/>
    <x v="2"/>
    <x v="3"/>
    <x v="2"/>
    <x v="8"/>
    <x v="1"/>
    <x v="0"/>
    <x v="2"/>
    <x v="10"/>
    <n v="0"/>
    <n v="0"/>
    <n v="0.2"/>
    <n v="0.2"/>
    <n v="0.2"/>
    <n v="0.2"/>
    <n v="0"/>
    <s v="CATIVO"/>
    <n v="0"/>
    <n v="0"/>
    <n v="30"/>
    <n v="55"/>
    <n v="0"/>
    <n v="331.77"/>
    <n v="124.36"/>
    <m/>
    <n v="390.73403238820225"/>
    <n v="127.65788581931002"/>
    <n v="0"/>
    <n v="12.439999999999991"/>
    <n v="0"/>
    <n v="6.6177691686065607"/>
    <x v="2"/>
  </r>
  <r>
    <s v="Regular"/>
    <x v="2"/>
    <x v="3"/>
    <x v="2"/>
    <x v="8"/>
    <x v="1"/>
    <x v="0"/>
    <x v="2"/>
    <x v="11"/>
    <n v="0"/>
    <n v="0"/>
    <n v="3.7090000000000001"/>
    <n v="3.7090000000000001"/>
    <n v="3.7090000000000001"/>
    <n v="3.7090000000000001"/>
    <n v="0"/>
    <s v="CATIVO"/>
    <n v="0"/>
    <n v="0"/>
    <n v="30"/>
    <n v="55"/>
    <n v="0"/>
    <n v="331.77"/>
    <n v="124.36"/>
    <m/>
    <n v="390.73403238820225"/>
    <n v="127.65788581931002"/>
    <n v="0"/>
    <n v="230.69979999999981"/>
    <n v="0"/>
    <n v="122.72652923180866"/>
    <x v="2"/>
  </r>
  <r>
    <s v="Sistema de Compensação"/>
    <x v="2"/>
    <x v="3"/>
    <x v="2"/>
    <x v="8"/>
    <x v="1"/>
    <x v="0"/>
    <x v="2"/>
    <x v="11"/>
    <n v="0"/>
    <n v="0"/>
    <n v="0.2"/>
    <n v="0.2"/>
    <n v="0.2"/>
    <n v="0.2"/>
    <n v="0"/>
    <s v="CATIVO"/>
    <n v="0"/>
    <n v="0"/>
    <n v="30"/>
    <n v="55"/>
    <n v="0"/>
    <n v="331.77"/>
    <n v="124.36"/>
    <m/>
    <n v="390.73403238820225"/>
    <n v="127.65788581931002"/>
    <n v="0"/>
    <n v="12.439999999999991"/>
    <n v="0"/>
    <n v="6.6177691686065607"/>
    <x v="2"/>
  </r>
  <r>
    <s v="Regular"/>
    <x v="2"/>
    <x v="3"/>
    <x v="2"/>
    <x v="8"/>
    <x v="2"/>
    <x v="0"/>
    <x v="2"/>
    <x v="0"/>
    <n v="0"/>
    <n v="0"/>
    <n v="10.45"/>
    <n v="4.18"/>
    <n v="10.45"/>
    <n v="4.18"/>
    <n v="0"/>
    <s v="CATIVO"/>
    <n v="0"/>
    <n v="0"/>
    <n v="30"/>
    <n v="55"/>
    <n v="0"/>
    <n v="331.77"/>
    <n v="124.36"/>
    <m/>
    <n v="390.73403238820225"/>
    <n v="127.65788581931002"/>
    <n v="0"/>
    <n v="3509.925099999999"/>
    <n v="0"/>
    <n v="3596.0957662207943"/>
    <x v="5"/>
  </r>
  <r>
    <s v="Sistema de Compensação"/>
    <x v="2"/>
    <x v="3"/>
    <x v="2"/>
    <x v="8"/>
    <x v="2"/>
    <x v="0"/>
    <x v="2"/>
    <x v="0"/>
    <n v="0"/>
    <n v="0"/>
    <n v="0.05"/>
    <n v="0.02"/>
    <n v="0.05"/>
    <n v="0.02"/>
    <n v="0"/>
    <s v="CATIVO"/>
    <n v="0"/>
    <n v="0"/>
    <n v="30"/>
    <n v="55"/>
    <n v="0"/>
    <n v="331.77"/>
    <n v="124.36"/>
    <m/>
    <n v="390.73403238820225"/>
    <n v="127.65788581931002"/>
    <n v="0"/>
    <n v="16.793900000000001"/>
    <n v="0"/>
    <n v="17.20619983837701"/>
    <x v="5"/>
  </r>
  <r>
    <s v="Regular"/>
    <x v="2"/>
    <x v="3"/>
    <x v="2"/>
    <x v="8"/>
    <x v="2"/>
    <x v="0"/>
    <x v="2"/>
    <x v="1"/>
    <n v="0"/>
    <n v="0"/>
    <n v="9.8000000000000007"/>
    <n v="3.92"/>
    <n v="9.8000000000000007"/>
    <n v="3.92"/>
    <n v="0"/>
    <s v="CATIVO"/>
    <n v="0"/>
    <n v="0"/>
    <n v="30"/>
    <n v="55"/>
    <n v="0"/>
    <n v="331.77"/>
    <n v="124.36"/>
    <m/>
    <n v="390.73403238820225"/>
    <n v="127.65788581931002"/>
    <n v="0"/>
    <n v="3291.6043999999997"/>
    <n v="0"/>
    <n v="3372.4151683218943"/>
    <x v="5"/>
  </r>
  <r>
    <s v="Sistema de Compensação"/>
    <x v="2"/>
    <x v="3"/>
    <x v="2"/>
    <x v="8"/>
    <x v="2"/>
    <x v="0"/>
    <x v="2"/>
    <x v="1"/>
    <n v="0"/>
    <n v="0"/>
    <n v="0.33200000000000002"/>
    <n v="0.1328"/>
    <n v="0.33200000000000002"/>
    <n v="0.1328"/>
    <n v="0"/>
    <s v="CATIVO"/>
    <n v="0"/>
    <n v="0"/>
    <n v="30"/>
    <n v="55"/>
    <n v="0"/>
    <n v="331.77"/>
    <n v="124.36"/>
    <m/>
    <n v="390.73403238820225"/>
    <n v="127.65788581931002"/>
    <n v="0"/>
    <n v="111.51149599999999"/>
    <n v="0"/>
    <n v="114.24916692682335"/>
    <x v="5"/>
  </r>
  <r>
    <s v="Regular"/>
    <x v="2"/>
    <x v="3"/>
    <x v="2"/>
    <x v="8"/>
    <x v="2"/>
    <x v="0"/>
    <x v="2"/>
    <x v="2"/>
    <n v="0"/>
    <n v="0"/>
    <n v="7.8129999999999997"/>
    <n v="3.1252"/>
    <n v="7.8129999999999997"/>
    <n v="3.1252"/>
    <n v="0"/>
    <s v="CATIVO"/>
    <n v="0"/>
    <n v="0"/>
    <n v="30"/>
    <n v="55"/>
    <n v="0"/>
    <n v="331.77"/>
    <n v="124.36"/>
    <m/>
    <n v="390.73403238820225"/>
    <n v="127.65788581931002"/>
    <n v="0"/>
    <n v="2624.2148139999995"/>
    <n v="0"/>
    <n v="2688.6407867447911"/>
    <x v="5"/>
  </r>
  <r>
    <s v="Sistema de Compensação"/>
    <x v="2"/>
    <x v="3"/>
    <x v="2"/>
    <x v="8"/>
    <x v="2"/>
    <x v="0"/>
    <x v="2"/>
    <x v="2"/>
    <n v="0"/>
    <n v="0"/>
    <n v="4.7329999999999997"/>
    <n v="1.8932"/>
    <n v="4.7329999999999997"/>
    <n v="1.8932"/>
    <n v="0"/>
    <s v="CATIVO"/>
    <n v="0"/>
    <n v="0"/>
    <n v="30"/>
    <n v="55"/>
    <n v="0"/>
    <n v="331.77"/>
    <n v="124.36"/>
    <m/>
    <n v="390.73403238820225"/>
    <n v="127.65788581931002"/>
    <n v="0"/>
    <n v="1589.7105739999995"/>
    <n v="0"/>
    <n v="1628.7388767007672"/>
    <x v="5"/>
  </r>
  <r>
    <s v="Regular"/>
    <x v="2"/>
    <x v="3"/>
    <x v="2"/>
    <x v="8"/>
    <x v="2"/>
    <x v="0"/>
    <x v="2"/>
    <x v="3"/>
    <n v="0"/>
    <n v="0"/>
    <n v="7.7880000000000003"/>
    <n v="3.1152000000000002"/>
    <n v="7.7880000000000003"/>
    <n v="3.1152000000000002"/>
    <n v="0"/>
    <s v="CATIVO"/>
    <n v="0"/>
    <n v="0"/>
    <n v="30"/>
    <n v="55"/>
    <n v="0"/>
    <n v="331.77"/>
    <n v="124.36"/>
    <m/>
    <n v="390.73403238820225"/>
    <n v="127.65788581931002"/>
    <n v="0"/>
    <n v="2615.8178639999996"/>
    <n v="0"/>
    <n v="2680.037686825603"/>
    <x v="5"/>
  </r>
  <r>
    <s v="Sistema de Compensação"/>
    <x v="2"/>
    <x v="3"/>
    <x v="2"/>
    <x v="8"/>
    <x v="2"/>
    <x v="0"/>
    <x v="2"/>
    <x v="3"/>
    <n v="0"/>
    <n v="0"/>
    <n v="4.2050000000000001"/>
    <n v="1.6819999999999999"/>
    <n v="4.2050000000000001"/>
    <n v="1.6819999999999999"/>
    <n v="0"/>
    <s v="CATIVO"/>
    <n v="0"/>
    <n v="0"/>
    <n v="30"/>
    <n v="55"/>
    <n v="0"/>
    <n v="331.77"/>
    <n v="124.36"/>
    <m/>
    <n v="390.73403238820225"/>
    <n v="127.65788581931002"/>
    <n v="0"/>
    <n v="1412.3669899999998"/>
    <n v="0"/>
    <n v="1447.0414064075064"/>
    <x v="5"/>
  </r>
  <r>
    <s v="Regular"/>
    <x v="2"/>
    <x v="3"/>
    <x v="2"/>
    <x v="8"/>
    <x v="2"/>
    <x v="0"/>
    <x v="2"/>
    <x v="4"/>
    <n v="0"/>
    <n v="0"/>
    <n v="11.555"/>
    <n v="4.6219999999999999"/>
    <n v="11.555"/>
    <n v="4.6219999999999999"/>
    <n v="0"/>
    <s v="CATIVO"/>
    <n v="0"/>
    <n v="0"/>
    <n v="30"/>
    <n v="55"/>
    <n v="0"/>
    <n v="331.77"/>
    <n v="124.36"/>
    <m/>
    <n v="390.73403238820225"/>
    <n v="127.65788581931002"/>
    <n v="0"/>
    <n v="3881.0702899999997"/>
    <n v="0"/>
    <n v="3976.3527826489267"/>
    <x v="5"/>
  </r>
  <r>
    <s v="Sistema de Compensação"/>
    <x v="2"/>
    <x v="3"/>
    <x v="2"/>
    <x v="8"/>
    <x v="2"/>
    <x v="0"/>
    <x v="2"/>
    <x v="4"/>
    <n v="0"/>
    <n v="0"/>
    <n v="5.0960000000000001"/>
    <n v="2.0384000000000002"/>
    <n v="5.0960000000000001"/>
    <n v="2.0384000000000002"/>
    <n v="0"/>
    <s v="CATIVO"/>
    <n v="0"/>
    <n v="0"/>
    <n v="30"/>
    <n v="55"/>
    <n v="0"/>
    <n v="331.77"/>
    <n v="124.36"/>
    <m/>
    <n v="390.73403238820225"/>
    <n v="127.65788581931002"/>
    <n v="0"/>
    <n v="1711.6342879999997"/>
    <n v="0"/>
    <n v="1753.6558875273847"/>
    <x v="5"/>
  </r>
  <r>
    <s v="Regular"/>
    <x v="2"/>
    <x v="3"/>
    <x v="2"/>
    <x v="8"/>
    <x v="2"/>
    <x v="0"/>
    <x v="2"/>
    <x v="5"/>
    <n v="0"/>
    <n v="0"/>
    <n v="14.553000000000001"/>
    <n v="5.8212000000000002"/>
    <n v="14.553000000000001"/>
    <n v="5.8212000000000002"/>
    <n v="0"/>
    <s v="CATIVO"/>
    <n v="0"/>
    <n v="0"/>
    <n v="30"/>
    <n v="55"/>
    <n v="0"/>
    <n v="331.77"/>
    <n v="124.36"/>
    <m/>
    <n v="390.73403238820225"/>
    <n v="127.65788581931002"/>
    <n v="0"/>
    <n v="4888.032533999999"/>
    <n v="0"/>
    <n v="5008.0365249580118"/>
    <x v="5"/>
  </r>
  <r>
    <s v="Sistema de Compensação"/>
    <x v="2"/>
    <x v="3"/>
    <x v="2"/>
    <x v="8"/>
    <x v="2"/>
    <x v="0"/>
    <x v="2"/>
    <x v="5"/>
    <n v="0"/>
    <n v="0"/>
    <n v="3.141"/>
    <n v="1.2564"/>
    <n v="3.141"/>
    <n v="1.2564"/>
    <n v="0"/>
    <s v="CATIVO"/>
    <n v="0"/>
    <n v="0"/>
    <n v="30"/>
    <n v="55"/>
    <n v="0"/>
    <n v="331.77"/>
    <n v="124.36"/>
    <m/>
    <n v="390.73403238820225"/>
    <n v="127.65788581931002"/>
    <n v="0"/>
    <n v="1054.9927979999998"/>
    <n v="0"/>
    <n v="1080.8934738468438"/>
    <x v="5"/>
  </r>
  <r>
    <s v="Regular"/>
    <x v="2"/>
    <x v="3"/>
    <x v="2"/>
    <x v="8"/>
    <x v="2"/>
    <x v="0"/>
    <x v="2"/>
    <x v="6"/>
    <n v="0"/>
    <n v="0"/>
    <n v="9.7349999999999994"/>
    <n v="3.8940000000000001"/>
    <n v="9.7349999999999994"/>
    <n v="3.8940000000000001"/>
    <n v="0"/>
    <s v="CATIVO"/>
    <n v="0"/>
    <n v="0"/>
    <n v="30"/>
    <n v="55"/>
    <n v="0"/>
    <n v="331.77"/>
    <n v="124.36"/>
    <m/>
    <n v="390.73403238820225"/>
    <n v="127.65788581931002"/>
    <n v="0"/>
    <n v="3269.7723299999989"/>
    <n v="0"/>
    <n v="3350.0471085320028"/>
    <x v="5"/>
  </r>
  <r>
    <s v="Sistema de Compensação"/>
    <x v="2"/>
    <x v="3"/>
    <x v="2"/>
    <x v="8"/>
    <x v="2"/>
    <x v="0"/>
    <x v="2"/>
    <x v="6"/>
    <n v="0"/>
    <n v="0"/>
    <n v="5.3739999999999997"/>
    <n v="2.1496"/>
    <n v="5.3739999999999997"/>
    <n v="2.1496"/>
    <n v="0"/>
    <s v="CATIVO"/>
    <n v="0"/>
    <n v="0"/>
    <n v="30"/>
    <n v="55"/>
    <n v="0"/>
    <n v="331.77"/>
    <n v="124.36"/>
    <m/>
    <n v="390.73403238820225"/>
    <n v="127.65788581931002"/>
    <n v="0"/>
    <n v="1805.0083719999996"/>
    <n v="0"/>
    <n v="1849.3223586287606"/>
    <x v="5"/>
  </r>
  <r>
    <s v="Regular"/>
    <x v="2"/>
    <x v="3"/>
    <x v="2"/>
    <x v="8"/>
    <x v="2"/>
    <x v="0"/>
    <x v="2"/>
    <x v="7"/>
    <n v="0"/>
    <n v="0"/>
    <n v="8.1129999999999995"/>
    <n v="3.2452000000000001"/>
    <n v="8.1129999999999995"/>
    <n v="3.2452000000000001"/>
    <n v="0"/>
    <s v="CATIVO"/>
    <n v="0"/>
    <n v="0"/>
    <n v="30"/>
    <n v="55"/>
    <n v="0"/>
    <n v="331.77"/>
    <n v="124.36"/>
    <m/>
    <n v="390.73403238820225"/>
    <n v="127.65788581931002"/>
    <n v="0"/>
    <n v="2724.9782139999993"/>
    <n v="0"/>
    <n v="2791.8779857750528"/>
    <x v="5"/>
  </r>
  <r>
    <s v="Sistema de Compensação"/>
    <x v="2"/>
    <x v="3"/>
    <x v="2"/>
    <x v="8"/>
    <x v="2"/>
    <x v="0"/>
    <x v="2"/>
    <x v="7"/>
    <n v="0"/>
    <n v="0"/>
    <n v="4.2119999999999997"/>
    <n v="1.6848000000000001"/>
    <n v="4.2119999999999997"/>
    <n v="1.6848000000000001"/>
    <n v="0"/>
    <s v="CATIVO"/>
    <n v="0"/>
    <n v="0"/>
    <n v="30"/>
    <n v="55"/>
    <n v="0"/>
    <n v="331.77"/>
    <n v="124.36"/>
    <m/>
    <n v="390.73403238820225"/>
    <n v="127.65788581931002"/>
    <n v="0"/>
    <n v="1414.7181359999995"/>
    <n v="0"/>
    <n v="1449.4502743848791"/>
    <x v="5"/>
  </r>
  <r>
    <s v="Regular"/>
    <x v="2"/>
    <x v="3"/>
    <x v="2"/>
    <x v="8"/>
    <x v="2"/>
    <x v="0"/>
    <x v="2"/>
    <x v="8"/>
    <n v="0"/>
    <n v="0"/>
    <n v="5.1079999999999997"/>
    <n v="2.0432000000000001"/>
    <n v="5.1079999999999997"/>
    <n v="2.0432000000000001"/>
    <n v="0"/>
    <s v="CATIVO"/>
    <n v="0"/>
    <n v="0"/>
    <n v="30"/>
    <n v="55"/>
    <n v="0"/>
    <n v="331.77"/>
    <n v="124.36"/>
    <m/>
    <n v="390.73403238820225"/>
    <n v="127.65788581931002"/>
    <n v="0"/>
    <n v="1715.6648239999995"/>
    <n v="0"/>
    <n v="1757.785375488595"/>
    <x v="5"/>
  </r>
  <r>
    <s v="Sistema de Compensação"/>
    <x v="2"/>
    <x v="3"/>
    <x v="2"/>
    <x v="8"/>
    <x v="2"/>
    <x v="0"/>
    <x v="2"/>
    <x v="8"/>
    <n v="0"/>
    <n v="0"/>
    <n v="1.173"/>
    <n v="0.46920000000000001"/>
    <n v="1.173"/>
    <n v="0.46920000000000001"/>
    <n v="0"/>
    <s v="CATIVO"/>
    <n v="0"/>
    <n v="0"/>
    <n v="30"/>
    <n v="55"/>
    <n v="0"/>
    <n v="331.77"/>
    <n v="124.36"/>
    <m/>
    <n v="390.73403238820225"/>
    <n v="127.65788581931002"/>
    <n v="0"/>
    <n v="393.98489399999994"/>
    <n v="0"/>
    <n v="403.65744820832464"/>
    <x v="5"/>
  </r>
  <r>
    <s v="Regular"/>
    <x v="2"/>
    <x v="3"/>
    <x v="2"/>
    <x v="8"/>
    <x v="2"/>
    <x v="0"/>
    <x v="2"/>
    <x v="9"/>
    <n v="0"/>
    <n v="0"/>
    <n v="5.6449999999999996"/>
    <n v="2.258"/>
    <n v="5.6449999999999996"/>
    <n v="2.258"/>
    <n v="0"/>
    <s v="CATIVO"/>
    <n v="0"/>
    <n v="0"/>
    <n v="30"/>
    <n v="55"/>
    <n v="0"/>
    <n v="331.77"/>
    <n v="124.36"/>
    <m/>
    <n v="390.73403238820225"/>
    <n v="127.65788581931002"/>
    <n v="0"/>
    <n v="1896.0313099999994"/>
    <n v="0"/>
    <n v="1942.5799617527641"/>
    <x v="5"/>
  </r>
  <r>
    <s v="Regular"/>
    <x v="2"/>
    <x v="3"/>
    <x v="2"/>
    <x v="8"/>
    <x v="2"/>
    <x v="0"/>
    <x v="2"/>
    <x v="10"/>
    <n v="0"/>
    <n v="0"/>
    <n v="4.4489999999999998"/>
    <n v="1.7796000000000001"/>
    <n v="4.4489999999999998"/>
    <n v="1.7796000000000001"/>
    <n v="0"/>
    <s v="CATIVO"/>
    <n v="0"/>
    <n v="0"/>
    <n v="30"/>
    <n v="55"/>
    <n v="0"/>
    <n v="331.77"/>
    <n v="124.36"/>
    <m/>
    <n v="390.73403238820225"/>
    <n v="127.65788581931002"/>
    <n v="0"/>
    <n v="1494.3212219999996"/>
    <n v="0"/>
    <n v="1531.007661618786"/>
    <x v="5"/>
  </r>
  <r>
    <s v="Regular"/>
    <x v="2"/>
    <x v="3"/>
    <x v="2"/>
    <x v="8"/>
    <x v="2"/>
    <x v="0"/>
    <x v="2"/>
    <x v="11"/>
    <n v="0"/>
    <n v="0"/>
    <n v="5.0010000000000003"/>
    <n v="2.0004"/>
    <n v="5.0010000000000003"/>
    <n v="2.0004"/>
    <n v="0"/>
    <s v="CATIVO"/>
    <n v="0"/>
    <n v="0"/>
    <n v="30"/>
    <n v="55"/>
    <n v="0"/>
    <n v="331.77"/>
    <n v="124.36"/>
    <m/>
    <n v="390.73403238820225"/>
    <n v="127.65788581931002"/>
    <n v="0"/>
    <n v="1679.7258779999997"/>
    <n v="0"/>
    <n v="1720.9641078344687"/>
    <x v="5"/>
  </r>
  <r>
    <s v="Regular"/>
    <x v="2"/>
    <x v="3"/>
    <x v="2"/>
    <x v="1"/>
    <x v="0"/>
    <x v="0"/>
    <x v="2"/>
    <x v="0"/>
    <n v="0"/>
    <n v="0"/>
    <n v="3318.7579999999998"/>
    <n v="3318.7579999999998"/>
    <n v="3318.7579999999998"/>
    <n v="3318.7579999999998"/>
    <n v="6547"/>
    <s v="CATIVO"/>
    <n v="0"/>
    <n v="0"/>
    <n v="30"/>
    <n v="55"/>
    <n v="0"/>
    <n v="331.77"/>
    <n v="124.36"/>
    <m/>
    <n v="390.73403238820225"/>
    <n v="127.65788581931002"/>
    <n v="0"/>
    <n v="206426.7475999998"/>
    <n v="0"/>
    <n v="109813.87185233184"/>
    <x v="2"/>
  </r>
  <r>
    <s v="Refaturamento - Regular"/>
    <x v="2"/>
    <x v="3"/>
    <x v="2"/>
    <x v="1"/>
    <x v="0"/>
    <x v="0"/>
    <x v="2"/>
    <x v="0"/>
    <n v="0"/>
    <n v="0"/>
    <n v="-2.5430000000000001"/>
    <n v="-2.5430000000000001"/>
    <n v="-2.5430000000000001"/>
    <n v="-2.5430000000000001"/>
    <n v="0"/>
    <s v="CATIVO"/>
    <n v="0"/>
    <n v="0"/>
    <n v="30"/>
    <n v="55"/>
    <n v="0"/>
    <n v="331.77"/>
    <n v="124.36"/>
    <m/>
    <n v="390.73403238820225"/>
    <n v="127.65788581931002"/>
    <n v="0"/>
    <n v="-158.17459999999988"/>
    <n v="0"/>
    <n v="-84.14493497883241"/>
    <x v="2"/>
  </r>
  <r>
    <s v="Sistema de Compensação"/>
    <x v="2"/>
    <x v="3"/>
    <x v="2"/>
    <x v="1"/>
    <x v="0"/>
    <x v="0"/>
    <x v="2"/>
    <x v="0"/>
    <n v="0"/>
    <n v="0"/>
    <n v="225.55"/>
    <n v="225.55"/>
    <n v="225.55"/>
    <n v="225.55"/>
    <n v="405"/>
    <s v="CATIVO"/>
    <n v="0"/>
    <n v="0"/>
    <n v="30"/>
    <n v="55"/>
    <n v="0"/>
    <n v="331.77"/>
    <n v="124.36"/>
    <m/>
    <n v="390.73403238820225"/>
    <n v="127.65788581931002"/>
    <n v="0"/>
    <n v="14029.209999999988"/>
    <n v="0"/>
    <n v="7463.1891798960487"/>
    <x v="2"/>
  </r>
  <r>
    <s v="Regular"/>
    <x v="2"/>
    <x v="3"/>
    <x v="2"/>
    <x v="1"/>
    <x v="0"/>
    <x v="0"/>
    <x v="2"/>
    <x v="1"/>
    <n v="0"/>
    <n v="0"/>
    <n v="3208.328"/>
    <n v="3208.328"/>
    <n v="3208.328"/>
    <n v="3208.328"/>
    <n v="6542"/>
    <s v="CATIVO"/>
    <n v="0"/>
    <n v="0"/>
    <n v="30"/>
    <n v="55"/>
    <n v="0"/>
    <n v="331.77"/>
    <n v="124.36"/>
    <m/>
    <n v="390.73403238820225"/>
    <n v="127.65788581931002"/>
    <n v="0"/>
    <n v="199558.00159999981"/>
    <n v="0"/>
    <n v="106159.87060588574"/>
    <x v="2"/>
  </r>
  <r>
    <s v="Refaturamento - Regular"/>
    <x v="2"/>
    <x v="3"/>
    <x v="2"/>
    <x v="1"/>
    <x v="0"/>
    <x v="0"/>
    <x v="2"/>
    <x v="1"/>
    <n v="0"/>
    <n v="0"/>
    <n v="-0.76600000000000001"/>
    <n v="-0.76600000000000001"/>
    <n v="-0.76600000000000001"/>
    <n v="-0.76600000000000001"/>
    <n v="0"/>
    <s v="CATIVO"/>
    <n v="0"/>
    <n v="0"/>
    <n v="30"/>
    <n v="55"/>
    <n v="0"/>
    <n v="331.77"/>
    <n v="124.36"/>
    <m/>
    <n v="390.73403238820225"/>
    <n v="127.65788581931002"/>
    <n v="0"/>
    <n v="-47.64519999999996"/>
    <n v="0"/>
    <n v="-25.346055915763124"/>
    <x v="2"/>
  </r>
  <r>
    <s v="Sistema de Compensação"/>
    <x v="2"/>
    <x v="3"/>
    <x v="2"/>
    <x v="1"/>
    <x v="0"/>
    <x v="0"/>
    <x v="2"/>
    <x v="1"/>
    <n v="0"/>
    <n v="0"/>
    <n v="225.51300000000001"/>
    <n v="225.51300000000001"/>
    <n v="225.51300000000001"/>
    <n v="225.51300000000001"/>
    <n v="413"/>
    <s v="CATIVO"/>
    <n v="0"/>
    <n v="0"/>
    <n v="30"/>
    <n v="55"/>
    <n v="0"/>
    <n v="331.77"/>
    <n v="124.36"/>
    <m/>
    <n v="390.73403238820225"/>
    <n v="127.65788581931002"/>
    <n v="0"/>
    <n v="14026.908599999988"/>
    <n v="0"/>
    <n v="7461.9648925998563"/>
    <x v="2"/>
  </r>
  <r>
    <s v="Regular"/>
    <x v="2"/>
    <x v="3"/>
    <x v="2"/>
    <x v="1"/>
    <x v="0"/>
    <x v="0"/>
    <x v="2"/>
    <x v="2"/>
    <n v="0"/>
    <n v="0"/>
    <n v="3277.9079999999999"/>
    <n v="3277.9079999999999"/>
    <n v="3277.9079999999999"/>
    <n v="3277.9079999999999"/>
    <n v="6488"/>
    <s v="CATIVO"/>
    <n v="0"/>
    <n v="0"/>
    <n v="30"/>
    <n v="55"/>
    <n v="0"/>
    <n v="331.77"/>
    <n v="124.36"/>
    <m/>
    <n v="390.73403238820225"/>
    <n v="127.65788581931002"/>
    <n v="0"/>
    <n v="203885.8775999998"/>
    <n v="0"/>
    <n v="108462.19249964396"/>
    <x v="2"/>
  </r>
  <r>
    <s v="Refaturamento - Regular"/>
    <x v="2"/>
    <x v="3"/>
    <x v="2"/>
    <x v="1"/>
    <x v="0"/>
    <x v="0"/>
    <x v="2"/>
    <x v="2"/>
    <n v="0"/>
    <n v="0"/>
    <n v="9.4220000000000006"/>
    <n v="9.4220000000000006"/>
    <n v="9.4220000000000006"/>
    <n v="9.4220000000000006"/>
    <n v="0"/>
    <s v="CATIVO"/>
    <n v="0"/>
    <n v="0"/>
    <n v="30"/>
    <n v="55"/>
    <n v="0"/>
    <n v="331.77"/>
    <n v="124.36"/>
    <m/>
    <n v="390.73403238820225"/>
    <n v="127.65788581931002"/>
    <n v="0"/>
    <n v="586.04839999999956"/>
    <n v="0"/>
    <n v="311.76310553305507"/>
    <x v="2"/>
  </r>
  <r>
    <s v="Sistema de Compensação"/>
    <x v="2"/>
    <x v="3"/>
    <x v="2"/>
    <x v="1"/>
    <x v="0"/>
    <x v="0"/>
    <x v="2"/>
    <x v="2"/>
    <n v="0"/>
    <n v="0"/>
    <n v="182.71199999999999"/>
    <n v="182.71199999999999"/>
    <n v="182.71199999999999"/>
    <n v="182.71199999999999"/>
    <n v="464"/>
    <s v="CATIVO"/>
    <n v="0"/>
    <n v="0"/>
    <n v="30"/>
    <n v="55"/>
    <n v="0"/>
    <n v="331.77"/>
    <n v="124.36"/>
    <m/>
    <n v="390.73403238820225"/>
    <n v="127.65788581931002"/>
    <n v="0"/>
    <n v="11364.68639999999"/>
    <n v="0"/>
    <n v="6045.7292016722085"/>
    <x v="2"/>
  </r>
  <r>
    <s v="Regular"/>
    <x v="2"/>
    <x v="3"/>
    <x v="2"/>
    <x v="1"/>
    <x v="0"/>
    <x v="0"/>
    <x v="2"/>
    <x v="3"/>
    <n v="0"/>
    <n v="0"/>
    <n v="3180.2330000000002"/>
    <n v="3180.2330000000002"/>
    <n v="3180.2330000000002"/>
    <n v="3180.2330000000002"/>
    <n v="5569"/>
    <s v="CATIVO"/>
    <n v="0"/>
    <n v="0"/>
    <n v="30"/>
    <n v="55"/>
    <n v="0"/>
    <n v="331.77"/>
    <n v="124.36"/>
    <m/>
    <n v="390.73403238820225"/>
    <n v="127.65788581931002"/>
    <n v="0"/>
    <n v="197810.49259999985"/>
    <n v="0"/>
    <n v="105230.23948192573"/>
    <x v="2"/>
  </r>
  <r>
    <s v="Refaturamento - Regular"/>
    <x v="2"/>
    <x v="3"/>
    <x v="2"/>
    <x v="1"/>
    <x v="0"/>
    <x v="0"/>
    <x v="2"/>
    <x v="3"/>
    <n v="0"/>
    <n v="0"/>
    <n v="-0.621"/>
    <n v="-0.621"/>
    <n v="-0.621"/>
    <n v="-0.621"/>
    <n v="0"/>
    <s v="CATIVO"/>
    <n v="0"/>
    <n v="0"/>
    <n v="30"/>
    <n v="55"/>
    <n v="0"/>
    <n v="331.77"/>
    <n v="124.36"/>
    <m/>
    <n v="390.73403238820225"/>
    <n v="127.65788581931002"/>
    <n v="0"/>
    <n v="-38.626199999999969"/>
    <n v="0"/>
    <n v="-20.548173268523367"/>
    <x v="2"/>
  </r>
  <r>
    <s v="Sistema de Compensação"/>
    <x v="2"/>
    <x v="3"/>
    <x v="2"/>
    <x v="1"/>
    <x v="0"/>
    <x v="0"/>
    <x v="2"/>
    <x v="3"/>
    <n v="0"/>
    <n v="0"/>
    <n v="181.08600000000001"/>
    <n v="181.08600000000001"/>
    <n v="181.08600000000001"/>
    <n v="181.08600000000001"/>
    <n v="492"/>
    <s v="CATIVO"/>
    <n v="0"/>
    <n v="0"/>
    <n v="30"/>
    <n v="55"/>
    <n v="0"/>
    <n v="331.77"/>
    <n v="124.36"/>
    <m/>
    <n v="390.73403238820225"/>
    <n v="127.65788581931002"/>
    <n v="0"/>
    <n v="11263.54919999999"/>
    <n v="0"/>
    <n v="5991.9267383314382"/>
    <x v="2"/>
  </r>
  <r>
    <s v="Sistema de Compensação"/>
    <x v="2"/>
    <x v="3"/>
    <x v="2"/>
    <x v="1"/>
    <x v="0"/>
    <x v="0"/>
    <x v="2"/>
    <x v="3"/>
    <n v="0"/>
    <n v="0"/>
    <n v="-9.7929999999999993"/>
    <n v="-9.7929999999999993"/>
    <n v="-9.7929999999999993"/>
    <n v="-9.7929999999999993"/>
    <n v="6"/>
    <s v="CATIVO"/>
    <n v="0"/>
    <n v="0"/>
    <n v="30"/>
    <n v="55"/>
    <n v="0"/>
    <n v="331.77"/>
    <n v="124.36"/>
    <m/>
    <n v="390.73403238820225"/>
    <n v="127.65788581931002"/>
    <n v="0"/>
    <n v="-609.12459999999942"/>
    <n v="0"/>
    <n v="-324.03906734082017"/>
    <x v="2"/>
  </r>
  <r>
    <s v="Regular"/>
    <x v="2"/>
    <x v="3"/>
    <x v="2"/>
    <x v="1"/>
    <x v="0"/>
    <x v="0"/>
    <x v="2"/>
    <x v="4"/>
    <n v="0"/>
    <n v="0"/>
    <n v="3726.4209999999998"/>
    <n v="3726.4209999999998"/>
    <n v="3726.4209999999998"/>
    <n v="3726.4209999999998"/>
    <n v="5588"/>
    <s v="CATIVO"/>
    <n v="0"/>
    <n v="0"/>
    <n v="30"/>
    <n v="55"/>
    <n v="0"/>
    <n v="331.77"/>
    <n v="124.36"/>
    <m/>
    <n v="390.73403238820225"/>
    <n v="127.65788581931002"/>
    <n v="0"/>
    <n v="231783.38619999978"/>
    <n v="0"/>
    <n v="123302.97001524012"/>
    <x v="2"/>
  </r>
  <r>
    <s v="Refaturamento - Regular"/>
    <x v="2"/>
    <x v="3"/>
    <x v="2"/>
    <x v="1"/>
    <x v="0"/>
    <x v="0"/>
    <x v="2"/>
    <x v="4"/>
    <n v="0"/>
    <n v="0"/>
    <n v="-1.607"/>
    <n v="-1.607"/>
    <n v="-1.607"/>
    <n v="-1.607"/>
    <n v="0"/>
    <s v="CATIVO"/>
    <n v="0"/>
    <n v="0"/>
    <n v="30"/>
    <n v="55"/>
    <n v="0"/>
    <n v="331.77"/>
    <n v="124.36"/>
    <m/>
    <n v="390.73403238820225"/>
    <n v="127.65788581931002"/>
    <n v="0"/>
    <n v="-99.955399999999912"/>
    <n v="0"/>
    <n v="-53.173775269753712"/>
    <x v="2"/>
  </r>
  <r>
    <s v="Sistema de Compensação"/>
    <x v="2"/>
    <x v="3"/>
    <x v="2"/>
    <x v="1"/>
    <x v="0"/>
    <x v="0"/>
    <x v="2"/>
    <x v="4"/>
    <n v="0"/>
    <n v="0"/>
    <n v="362.125"/>
    <n v="362.125"/>
    <n v="362.125"/>
    <n v="362.125"/>
    <n v="525"/>
    <s v="CATIVO"/>
    <n v="0"/>
    <n v="0"/>
    <n v="30"/>
    <n v="55"/>
    <n v="0"/>
    <n v="331.77"/>
    <n v="124.36"/>
    <m/>
    <n v="390.73403238820225"/>
    <n v="127.65788581931002"/>
    <n v="0"/>
    <n v="22524.174999999981"/>
    <n v="0"/>
    <n v="11982.298300908253"/>
    <x v="2"/>
  </r>
  <r>
    <s v="Regular"/>
    <x v="2"/>
    <x v="3"/>
    <x v="2"/>
    <x v="1"/>
    <x v="0"/>
    <x v="0"/>
    <x v="2"/>
    <x v="5"/>
    <n v="0"/>
    <n v="0"/>
    <n v="3680.212"/>
    <n v="3680.212"/>
    <n v="3680.212"/>
    <n v="3680.212"/>
    <n v="5613"/>
    <s v="CATIVO"/>
    <n v="0"/>
    <n v="0"/>
    <n v="30"/>
    <n v="55"/>
    <n v="0"/>
    <n v="331.77"/>
    <n v="124.36"/>
    <m/>
    <n v="390.73403238820225"/>
    <n v="127.65788581931002"/>
    <n v="0"/>
    <n v="228909.1863999998"/>
    <n v="0"/>
    <n v="121773.96753767943"/>
    <x v="2"/>
  </r>
  <r>
    <s v="Refaturamento - Regular"/>
    <x v="2"/>
    <x v="3"/>
    <x v="2"/>
    <x v="1"/>
    <x v="0"/>
    <x v="0"/>
    <x v="2"/>
    <x v="5"/>
    <n v="0"/>
    <n v="0"/>
    <n v="0.75800000000000001"/>
    <n v="0.75800000000000001"/>
    <n v="0.75800000000000001"/>
    <n v="0.75800000000000001"/>
    <n v="0"/>
    <s v="CATIVO"/>
    <n v="0"/>
    <n v="0"/>
    <n v="30"/>
    <n v="55"/>
    <n v="0"/>
    <n v="331.77"/>
    <n v="124.36"/>
    <m/>
    <n v="390.73403238820225"/>
    <n v="127.65788581931002"/>
    <n v="0"/>
    <n v="47.147599999999962"/>
    <n v="0"/>
    <n v="25.081345149018862"/>
    <x v="2"/>
  </r>
  <r>
    <s v="Sistema de Compensação"/>
    <x v="2"/>
    <x v="3"/>
    <x v="2"/>
    <x v="1"/>
    <x v="0"/>
    <x v="0"/>
    <x v="2"/>
    <x v="5"/>
    <n v="0"/>
    <n v="0"/>
    <n v="311.85500000000002"/>
    <n v="311.85500000000002"/>
    <n v="311.85500000000002"/>
    <n v="311.85500000000002"/>
    <n v="542"/>
    <s v="CATIVO"/>
    <n v="0"/>
    <n v="0"/>
    <n v="30"/>
    <n v="55"/>
    <n v="0"/>
    <n v="331.77"/>
    <n v="124.36"/>
    <m/>
    <n v="390.73403238820225"/>
    <n v="127.65788581931002"/>
    <n v="0"/>
    <n v="19397.380999999983"/>
    <n v="0"/>
    <n v="10318.922020378994"/>
    <x v="2"/>
  </r>
  <r>
    <s v="Sistema de Compensação"/>
    <x v="2"/>
    <x v="3"/>
    <x v="2"/>
    <x v="1"/>
    <x v="0"/>
    <x v="0"/>
    <x v="2"/>
    <x v="5"/>
    <n v="0"/>
    <n v="0"/>
    <n v="-7.0259999999999998"/>
    <n v="-7.0259999999999998"/>
    <n v="-7.0259999999999998"/>
    <n v="-7.0259999999999998"/>
    <n v="5"/>
    <s v="CATIVO"/>
    <n v="0"/>
    <n v="0"/>
    <n v="30"/>
    <n v="55"/>
    <n v="0"/>
    <n v="331.77"/>
    <n v="124.36"/>
    <m/>
    <n v="390.73403238820225"/>
    <n v="127.65788581931002"/>
    <n v="0"/>
    <n v="-437.0171999999996"/>
    <n v="0"/>
    <n v="-232.48223089314845"/>
    <x v="2"/>
  </r>
  <r>
    <s v="Regular"/>
    <x v="2"/>
    <x v="3"/>
    <x v="2"/>
    <x v="1"/>
    <x v="0"/>
    <x v="0"/>
    <x v="2"/>
    <x v="6"/>
    <n v="0"/>
    <n v="0"/>
    <n v="3204.8240000000001"/>
    <n v="3204.8240000000001"/>
    <n v="3204.8240000000001"/>
    <n v="3204.8240000000001"/>
    <n v="5590"/>
    <s v="CATIVO"/>
    <n v="0"/>
    <n v="0"/>
    <n v="30"/>
    <n v="55"/>
    <n v="0"/>
    <n v="331.77"/>
    <n v="124.36"/>
    <m/>
    <n v="390.73403238820225"/>
    <n v="127.65788581931002"/>
    <n v="0"/>
    <n v="199340.05279999983"/>
    <n v="0"/>
    <n v="106043.92729005175"/>
    <x v="2"/>
  </r>
  <r>
    <s v="Refaturamento - Regular"/>
    <x v="2"/>
    <x v="3"/>
    <x v="2"/>
    <x v="1"/>
    <x v="0"/>
    <x v="0"/>
    <x v="2"/>
    <x v="6"/>
    <n v="0"/>
    <n v="0"/>
    <n v="-7.67"/>
    <n v="-7.67"/>
    <n v="-7.67"/>
    <n v="-7.67"/>
    <n v="0"/>
    <s v="CATIVO"/>
    <n v="0"/>
    <n v="0"/>
    <n v="30"/>
    <n v="55"/>
    <n v="0"/>
    <n v="331.77"/>
    <n v="124.36"/>
    <m/>
    <n v="390.73403238820225"/>
    <n v="127.65788581931002"/>
    <n v="0"/>
    <n v="-477.07399999999956"/>
    <n v="0"/>
    <n v="-253.79144761606156"/>
    <x v="2"/>
  </r>
  <r>
    <s v="Sistema de Compensação"/>
    <x v="2"/>
    <x v="3"/>
    <x v="2"/>
    <x v="1"/>
    <x v="0"/>
    <x v="0"/>
    <x v="2"/>
    <x v="6"/>
    <n v="0"/>
    <n v="0"/>
    <n v="316.67200000000003"/>
    <n v="316.67200000000003"/>
    <n v="316.67200000000003"/>
    <n v="316.67200000000003"/>
    <n v="583"/>
    <s v="CATIVO"/>
    <n v="0"/>
    <n v="0"/>
    <n v="30"/>
    <n v="55"/>
    <n v="0"/>
    <n v="331.77"/>
    <n v="124.36"/>
    <m/>
    <n v="390.73403238820225"/>
    <n v="127.65788581931002"/>
    <n v="0"/>
    <n v="19696.998399999986"/>
    <n v="0"/>
    <n v="10478.310990804885"/>
    <x v="2"/>
  </r>
  <r>
    <s v="Regular"/>
    <x v="2"/>
    <x v="3"/>
    <x v="2"/>
    <x v="1"/>
    <x v="0"/>
    <x v="0"/>
    <x v="2"/>
    <x v="7"/>
    <n v="0"/>
    <n v="0"/>
    <n v="2843.1210000000001"/>
    <n v="2843.1210000000001"/>
    <n v="2843.1210000000001"/>
    <n v="2843.1210000000001"/>
    <n v="5557"/>
    <s v="CATIVO"/>
    <n v="0"/>
    <n v="0"/>
    <n v="30"/>
    <n v="55"/>
    <n v="0"/>
    <n v="331.77"/>
    <n v="124.36"/>
    <m/>
    <n v="390.73403238820225"/>
    <n v="127.65788581931002"/>
    <n v="0"/>
    <n v="176842.12619999985"/>
    <n v="0"/>
    <n v="94075.592482089254"/>
    <x v="2"/>
  </r>
  <r>
    <s v="Refaturamento - Regular"/>
    <x v="2"/>
    <x v="3"/>
    <x v="2"/>
    <x v="1"/>
    <x v="0"/>
    <x v="0"/>
    <x v="2"/>
    <x v="7"/>
    <n v="0"/>
    <n v="0"/>
    <n v="-0.64100000000000001"/>
    <n v="-0.64100000000000001"/>
    <n v="-0.64100000000000001"/>
    <n v="-0.64100000000000001"/>
    <n v="0"/>
    <s v="CATIVO"/>
    <n v="0"/>
    <n v="0"/>
    <n v="30"/>
    <n v="55"/>
    <n v="0"/>
    <n v="331.77"/>
    <n v="124.36"/>
    <m/>
    <n v="390.73403238820225"/>
    <n v="127.65788581931002"/>
    <n v="0"/>
    <n v="-39.870199999999969"/>
    <n v="0"/>
    <n v="-21.209950185384024"/>
    <x v="2"/>
  </r>
  <r>
    <s v="Sistema de Compensação"/>
    <x v="2"/>
    <x v="3"/>
    <x v="2"/>
    <x v="1"/>
    <x v="0"/>
    <x v="0"/>
    <x v="2"/>
    <x v="7"/>
    <n v="0"/>
    <n v="0"/>
    <n v="291.96100000000001"/>
    <n v="291.96100000000001"/>
    <n v="291.96100000000001"/>
    <n v="291.96100000000001"/>
    <n v="607"/>
    <s v="CATIVO"/>
    <n v="0"/>
    <n v="0"/>
    <n v="30"/>
    <n v="55"/>
    <n v="0"/>
    <n v="331.77"/>
    <n v="124.36"/>
    <m/>
    <n v="390.73403238820225"/>
    <n v="127.65788581931002"/>
    <n v="0"/>
    <n v="18159.974199999986"/>
    <n v="0"/>
    <n v="9660.6525211776989"/>
    <x v="2"/>
  </r>
  <r>
    <s v="Sistema de Compensação"/>
    <x v="2"/>
    <x v="3"/>
    <x v="2"/>
    <x v="1"/>
    <x v="0"/>
    <x v="0"/>
    <x v="2"/>
    <x v="7"/>
    <n v="0"/>
    <n v="0"/>
    <n v="-4.2"/>
    <n v="-4.2"/>
    <n v="-4.2"/>
    <n v="-4.2"/>
    <n v="2"/>
    <s v="CATIVO"/>
    <n v="0"/>
    <n v="0"/>
    <n v="30"/>
    <n v="55"/>
    <n v="0"/>
    <n v="331.77"/>
    <n v="124.36"/>
    <m/>
    <n v="390.73403238820225"/>
    <n v="127.65788581931002"/>
    <n v="0"/>
    <n v="-261.23999999999978"/>
    <n v="0"/>
    <n v="-138.97315254073777"/>
    <x v="2"/>
  </r>
  <r>
    <s v="Regular"/>
    <x v="2"/>
    <x v="3"/>
    <x v="2"/>
    <x v="1"/>
    <x v="0"/>
    <x v="0"/>
    <x v="2"/>
    <x v="8"/>
    <n v="0"/>
    <n v="0"/>
    <n v="2531.2399999999998"/>
    <n v="2531.2399999999998"/>
    <n v="2531.2399999999998"/>
    <n v="2531.2399999999998"/>
    <n v="5523"/>
    <s v="CATIVO"/>
    <n v="0"/>
    <n v="0"/>
    <n v="30"/>
    <n v="55"/>
    <n v="0"/>
    <n v="331.77"/>
    <n v="124.36"/>
    <m/>
    <n v="390.73403238820225"/>
    <n v="127.65788581931002"/>
    <n v="0"/>
    <n v="157443.12799999985"/>
    <n v="0"/>
    <n v="83755.810151718339"/>
    <x v="2"/>
  </r>
  <r>
    <s v="Refaturamento - Regular"/>
    <x v="2"/>
    <x v="3"/>
    <x v="2"/>
    <x v="1"/>
    <x v="0"/>
    <x v="0"/>
    <x v="2"/>
    <x v="8"/>
    <n v="0"/>
    <n v="0"/>
    <n v="-4.556"/>
    <n v="-4.556"/>
    <n v="-4.556"/>
    <n v="-4.556"/>
    <n v="0"/>
    <s v="CATIVO"/>
    <n v="0"/>
    <n v="0"/>
    <n v="30"/>
    <n v="55"/>
    <n v="0"/>
    <n v="331.77"/>
    <n v="124.36"/>
    <m/>
    <n v="390.73403238820225"/>
    <n v="127.65788581931002"/>
    <n v="0"/>
    <n v="-283.38319999999976"/>
    <n v="0"/>
    <n v="-150.75278166085744"/>
    <x v="2"/>
  </r>
  <r>
    <s v="Sistema de Compensação"/>
    <x v="2"/>
    <x v="3"/>
    <x v="2"/>
    <x v="1"/>
    <x v="0"/>
    <x v="0"/>
    <x v="2"/>
    <x v="8"/>
    <n v="0"/>
    <n v="0"/>
    <n v="275.31900000000002"/>
    <n v="275.31900000000002"/>
    <n v="275.31900000000002"/>
    <n v="275.31900000000002"/>
    <n v="638"/>
    <s v="CATIVO"/>
    <n v="0"/>
    <n v="0"/>
    <n v="30"/>
    <n v="55"/>
    <n v="0"/>
    <n v="331.77"/>
    <n v="124.36"/>
    <m/>
    <n v="390.73403238820225"/>
    <n v="127.65788581931002"/>
    <n v="0"/>
    <n v="17124.841799999987"/>
    <n v="0"/>
    <n v="9109.9879486579484"/>
    <x v="2"/>
  </r>
  <r>
    <s v="Sistema de Compensação"/>
    <x v="2"/>
    <x v="3"/>
    <x v="2"/>
    <x v="1"/>
    <x v="0"/>
    <x v="0"/>
    <x v="2"/>
    <x v="8"/>
    <n v="0"/>
    <n v="0"/>
    <n v="-0.96399999999999997"/>
    <n v="-0.96399999999999997"/>
    <n v="-0.96399999999999997"/>
    <n v="-0.96399999999999997"/>
    <n v="2"/>
    <s v="CATIVO"/>
    <n v="0"/>
    <n v="0"/>
    <n v="30"/>
    <n v="55"/>
    <n v="0"/>
    <n v="331.77"/>
    <n v="124.36"/>
    <m/>
    <n v="390.73403238820225"/>
    <n v="127.65788581931002"/>
    <n v="0"/>
    <n v="-59.960799999999949"/>
    <n v="0"/>
    <n v="-31.89764739268362"/>
    <x v="2"/>
  </r>
  <r>
    <s v="Regular"/>
    <x v="2"/>
    <x v="3"/>
    <x v="2"/>
    <x v="1"/>
    <x v="0"/>
    <x v="0"/>
    <x v="2"/>
    <x v="9"/>
    <n v="0"/>
    <n v="0"/>
    <n v="2534.9430000000002"/>
    <n v="2534.9430000000002"/>
    <n v="2534.9430000000002"/>
    <n v="2534.9430000000002"/>
    <n v="5536"/>
    <s v="CATIVO"/>
    <n v="0"/>
    <n v="0"/>
    <n v="30"/>
    <n v="55"/>
    <n v="0"/>
    <n v="331.77"/>
    <n v="124.36"/>
    <m/>
    <n v="390.73403238820225"/>
    <n v="127.65788581931002"/>
    <n v="0"/>
    <n v="157673.45459999988"/>
    <n v="0"/>
    <n v="83878.338147875096"/>
    <x v="2"/>
  </r>
  <r>
    <s v="Refaturamento - Regular"/>
    <x v="2"/>
    <x v="3"/>
    <x v="2"/>
    <x v="1"/>
    <x v="0"/>
    <x v="0"/>
    <x v="2"/>
    <x v="9"/>
    <n v="0"/>
    <n v="0"/>
    <n v="-2.081"/>
    <n v="-2.081"/>
    <n v="-2.081"/>
    <n v="-2.081"/>
    <n v="0"/>
    <s v="CATIVO"/>
    <n v="0"/>
    <n v="0"/>
    <n v="30"/>
    <n v="55"/>
    <n v="0"/>
    <n v="331.77"/>
    <n v="124.36"/>
    <m/>
    <n v="390.73403238820225"/>
    <n v="127.65788581931002"/>
    <n v="0"/>
    <n v="-129.43819999999988"/>
    <n v="0"/>
    <n v="-68.857888199351251"/>
    <x v="2"/>
  </r>
  <r>
    <s v="Sistema de Compensação"/>
    <x v="2"/>
    <x v="3"/>
    <x v="2"/>
    <x v="1"/>
    <x v="0"/>
    <x v="0"/>
    <x v="2"/>
    <x v="9"/>
    <n v="0"/>
    <n v="0"/>
    <n v="334.767"/>
    <n v="334.767"/>
    <n v="334.767"/>
    <n v="334.767"/>
    <n v="616"/>
    <s v="CATIVO"/>
    <n v="0"/>
    <n v="0"/>
    <n v="30"/>
    <n v="55"/>
    <n v="0"/>
    <n v="331.77"/>
    <n v="124.36"/>
    <m/>
    <n v="390.73403238820225"/>
    <n v="127.65788581931002"/>
    <n v="0"/>
    <n v="20822.50739999998"/>
    <n v="0"/>
    <n v="11077.053656334561"/>
    <x v="2"/>
  </r>
  <r>
    <s v="Regular"/>
    <x v="2"/>
    <x v="3"/>
    <x v="2"/>
    <x v="1"/>
    <x v="0"/>
    <x v="0"/>
    <x v="2"/>
    <x v="10"/>
    <n v="0"/>
    <n v="0"/>
    <n v="2482.971"/>
    <n v="2482.971"/>
    <n v="2482.971"/>
    <n v="2482.971"/>
    <n v="5517"/>
    <s v="CATIVO"/>
    <n v="0"/>
    <n v="0"/>
    <n v="30"/>
    <n v="55"/>
    <n v="0"/>
    <n v="331.77"/>
    <n v="124.36"/>
    <m/>
    <n v="390.73403238820225"/>
    <n v="127.65788581931002"/>
    <n v="0"/>
    <n v="154440.79619999987"/>
    <n v="0"/>
    <n v="82158.644651720999"/>
    <x v="2"/>
  </r>
  <r>
    <s v="Refaturamento - Regular"/>
    <x v="2"/>
    <x v="3"/>
    <x v="2"/>
    <x v="1"/>
    <x v="0"/>
    <x v="0"/>
    <x v="2"/>
    <x v="10"/>
    <n v="0"/>
    <n v="0"/>
    <n v="-0.66100000000000003"/>
    <n v="-0.66100000000000003"/>
    <n v="-0.66100000000000003"/>
    <n v="-0.66100000000000003"/>
    <n v="0"/>
    <s v="CATIVO"/>
    <n v="0"/>
    <n v="0"/>
    <n v="30"/>
    <n v="55"/>
    <n v="0"/>
    <n v="331.77"/>
    <n v="124.36"/>
    <m/>
    <n v="390.73403238820225"/>
    <n v="127.65788581931002"/>
    <n v="0"/>
    <n v="-41.114199999999968"/>
    <n v="0"/>
    <n v="-21.87172710224468"/>
    <x v="2"/>
  </r>
  <r>
    <s v="Sistema de Compensação"/>
    <x v="2"/>
    <x v="3"/>
    <x v="2"/>
    <x v="1"/>
    <x v="0"/>
    <x v="0"/>
    <x v="2"/>
    <x v="10"/>
    <n v="0"/>
    <n v="0"/>
    <n v="319.28100000000001"/>
    <n v="319.28100000000001"/>
    <n v="319.28100000000001"/>
    <n v="319.28100000000001"/>
    <n v="640"/>
    <s v="CATIVO"/>
    <n v="0"/>
    <n v="0"/>
    <n v="30"/>
    <n v="55"/>
    <n v="0"/>
    <n v="331.77"/>
    <n v="124.36"/>
    <m/>
    <n v="390.73403238820225"/>
    <n v="127.65788581931002"/>
    <n v="0"/>
    <n v="19859.278199999982"/>
    <n v="0"/>
    <n v="10564.639789609355"/>
    <x v="2"/>
  </r>
  <r>
    <s v="Regular"/>
    <x v="2"/>
    <x v="3"/>
    <x v="2"/>
    <x v="1"/>
    <x v="0"/>
    <x v="0"/>
    <x v="2"/>
    <x v="11"/>
    <n v="0"/>
    <n v="0"/>
    <n v="2513.9899999999998"/>
    <n v="2513.9899999999998"/>
    <n v="2513.9899999999998"/>
    <n v="2513.9899999999998"/>
    <n v="5470"/>
    <s v="CATIVO"/>
    <n v="0"/>
    <n v="0"/>
    <n v="30"/>
    <n v="55"/>
    <n v="0"/>
    <n v="331.77"/>
    <n v="124.36"/>
    <m/>
    <n v="390.73403238820225"/>
    <n v="127.65788581931002"/>
    <n v="0"/>
    <n v="156370.17799999984"/>
    <n v="0"/>
    <n v="83185.027560926028"/>
    <x v="2"/>
  </r>
  <r>
    <s v="Refaturamento - Regular"/>
    <x v="2"/>
    <x v="3"/>
    <x v="2"/>
    <x v="1"/>
    <x v="0"/>
    <x v="0"/>
    <x v="2"/>
    <x v="11"/>
    <n v="0"/>
    <n v="0"/>
    <n v="-7.1959999999999997"/>
    <n v="-7.1959999999999997"/>
    <n v="-7.1959999999999997"/>
    <n v="-7.1959999999999997"/>
    <n v="0"/>
    <s v="CATIVO"/>
    <n v="0"/>
    <n v="0"/>
    <n v="30"/>
    <n v="55"/>
    <n v="0"/>
    <n v="331.77"/>
    <n v="124.36"/>
    <m/>
    <n v="390.73403238820225"/>
    <n v="127.65788581931002"/>
    <n v="0"/>
    <n v="-447.59119999999962"/>
    <n v="0"/>
    <n v="-238.10733468646401"/>
    <x v="2"/>
  </r>
  <r>
    <s v="Sistema de Compensação"/>
    <x v="2"/>
    <x v="3"/>
    <x v="2"/>
    <x v="1"/>
    <x v="0"/>
    <x v="0"/>
    <x v="2"/>
    <x v="11"/>
    <n v="0"/>
    <n v="0"/>
    <n v="276.565"/>
    <n v="276.565"/>
    <n v="276.565"/>
    <n v="276.565"/>
    <n v="684"/>
    <s v="CATIVO"/>
    <n v="0"/>
    <n v="0"/>
    <n v="30"/>
    <n v="55"/>
    <n v="0"/>
    <n v="331.77"/>
    <n v="124.36"/>
    <m/>
    <n v="390.73403238820225"/>
    <n v="127.65788581931002"/>
    <n v="0"/>
    <n v="17202.342999999986"/>
    <n v="0"/>
    <n v="9151.2166505783662"/>
    <x v="2"/>
  </r>
  <r>
    <s v="Regular"/>
    <x v="3"/>
    <x v="3"/>
    <x v="0"/>
    <x v="0"/>
    <x v="0"/>
    <x v="0"/>
    <x v="2"/>
    <x v="0"/>
    <n v="0"/>
    <n v="0"/>
    <n v="47.116"/>
    <n v="44.28904"/>
    <n v="47.116"/>
    <n v="44.28904"/>
    <n v="19"/>
    <s v="CATIVO"/>
    <n v="0"/>
    <n v="0"/>
    <n v="72"/>
    <n v="83"/>
    <n v="0"/>
    <n v="377.01"/>
    <n v="141.32"/>
    <m/>
    <n v="415.67450254064073"/>
    <n v="135.80626150990429"/>
    <n v="0"/>
    <n v="1465.2981767999997"/>
    <n v="0"/>
    <n v="1559.0140607403287"/>
    <x v="0"/>
  </r>
  <r>
    <s v="Regular"/>
    <x v="3"/>
    <x v="3"/>
    <x v="0"/>
    <x v="0"/>
    <x v="0"/>
    <x v="0"/>
    <x v="2"/>
    <x v="1"/>
    <n v="0"/>
    <n v="0"/>
    <n v="44.110999999999997"/>
    <n v="41.46434"/>
    <n v="44.110999999999997"/>
    <n v="41.46434"/>
    <n v="19"/>
    <s v="CATIVO"/>
    <n v="0"/>
    <n v="0"/>
    <n v="72"/>
    <n v="83"/>
    <n v="0"/>
    <n v="377.01"/>
    <n v="141.32"/>
    <m/>
    <n v="415.67450254064073"/>
    <n v="135.80626150990429"/>
    <n v="0"/>
    <n v="1371.8432777999983"/>
    <n v="0"/>
    <n v="1459.5820789820139"/>
    <x v="0"/>
  </r>
  <r>
    <s v="Regular"/>
    <x v="3"/>
    <x v="3"/>
    <x v="0"/>
    <x v="0"/>
    <x v="0"/>
    <x v="0"/>
    <x v="2"/>
    <x v="2"/>
    <n v="0"/>
    <n v="0"/>
    <n v="43.723999999999997"/>
    <n v="41.100560000000002"/>
    <n v="43.723999999999997"/>
    <n v="41.100560000000002"/>
    <n v="19"/>
    <s v="CATIVO"/>
    <n v="0"/>
    <n v="0"/>
    <n v="72"/>
    <n v="83"/>
    <n v="0"/>
    <n v="377.01"/>
    <n v="141.32"/>
    <m/>
    <n v="415.67450254064073"/>
    <n v="135.80626150990429"/>
    <n v="0"/>
    <n v="1359.8076551999975"/>
    <n v="0"/>
    <n v="1446.776695640759"/>
    <x v="0"/>
  </r>
  <r>
    <s v="Regular"/>
    <x v="3"/>
    <x v="3"/>
    <x v="0"/>
    <x v="0"/>
    <x v="0"/>
    <x v="0"/>
    <x v="2"/>
    <x v="3"/>
    <n v="0"/>
    <n v="0"/>
    <n v="46.649000000000001"/>
    <n v="43.850059999999999"/>
    <n v="46.649000000000001"/>
    <n v="43.850059999999999"/>
    <n v="19"/>
    <s v="CATIVO"/>
    <n v="0"/>
    <n v="0"/>
    <n v="72"/>
    <n v="83"/>
    <n v="0"/>
    <n v="377.01"/>
    <n v="141.32"/>
    <m/>
    <n v="415.67450254064073"/>
    <n v="135.80626150990429"/>
    <n v="0"/>
    <n v="1450.7745702000009"/>
    <n v="0"/>
    <n v="1543.5615697316334"/>
    <x v="0"/>
  </r>
  <r>
    <s v="Regular"/>
    <x v="3"/>
    <x v="3"/>
    <x v="0"/>
    <x v="0"/>
    <x v="0"/>
    <x v="0"/>
    <x v="2"/>
    <x v="4"/>
    <n v="0"/>
    <n v="0"/>
    <n v="46.154000000000003"/>
    <n v="43.38476"/>
    <n v="46.154000000000003"/>
    <n v="43.38476"/>
    <n v="19"/>
    <s v="CATIVO"/>
    <n v="0"/>
    <n v="0"/>
    <n v="72"/>
    <n v="83"/>
    <n v="0"/>
    <n v="377.01"/>
    <n v="141.32"/>
    <m/>
    <n v="415.67450254064073"/>
    <n v="135.80626150990429"/>
    <n v="0"/>
    <n v="1435.3801692000015"/>
    <n v="0"/>
    <n v="1527.1825910393331"/>
    <x v="0"/>
  </r>
  <r>
    <s v="Regular"/>
    <x v="3"/>
    <x v="3"/>
    <x v="0"/>
    <x v="0"/>
    <x v="0"/>
    <x v="0"/>
    <x v="2"/>
    <x v="5"/>
    <n v="0"/>
    <n v="0"/>
    <n v="39.616999999999997"/>
    <n v="37.239980000000003"/>
    <n v="39.616999999999997"/>
    <n v="37.239980000000003"/>
    <n v="19"/>
    <s v="CATIVO"/>
    <n v="0"/>
    <n v="0"/>
    <n v="72"/>
    <n v="83"/>
    <n v="0"/>
    <n v="377.01"/>
    <n v="141.32"/>
    <m/>
    <n v="415.67450254064073"/>
    <n v="135.80626150990429"/>
    <n v="0"/>
    <n v="1232.0807765999971"/>
    <n v="0"/>
    <n v="1310.8808057634235"/>
    <x v="0"/>
  </r>
  <r>
    <s v="Regular"/>
    <x v="3"/>
    <x v="3"/>
    <x v="0"/>
    <x v="0"/>
    <x v="0"/>
    <x v="0"/>
    <x v="2"/>
    <x v="6"/>
    <n v="0"/>
    <n v="0"/>
    <n v="46.433999999999997"/>
    <n v="43.647959999999998"/>
    <n v="46.433999999999997"/>
    <n v="43.647959999999998"/>
    <n v="19"/>
    <s v="CATIVO"/>
    <n v="0"/>
    <n v="0"/>
    <n v="72"/>
    <n v="83"/>
    <n v="0"/>
    <n v="377.01"/>
    <n v="141.32"/>
    <m/>
    <n v="415.67450254064073"/>
    <n v="135.80626150990429"/>
    <n v="0"/>
    <n v="1444.0881132"/>
    <n v="0"/>
    <n v="1536.4474678753802"/>
    <x v="0"/>
  </r>
  <r>
    <s v="Regular"/>
    <x v="3"/>
    <x v="3"/>
    <x v="0"/>
    <x v="0"/>
    <x v="0"/>
    <x v="0"/>
    <x v="2"/>
    <x v="7"/>
    <n v="0"/>
    <n v="0"/>
    <n v="55.442"/>
    <n v="52.115479999999998"/>
    <n v="55.442"/>
    <n v="52.115479999999998"/>
    <n v="20"/>
    <s v="CATIVO"/>
    <n v="0"/>
    <n v="0"/>
    <n v="72"/>
    <n v="83"/>
    <n v="0"/>
    <n v="377.01"/>
    <n v="141.32"/>
    <m/>
    <n v="415.67450254064073"/>
    <n v="135.80626150990429"/>
    <n v="0"/>
    <n v="1724.2351116000009"/>
    <n v="0"/>
    <n v="1834.5117912294202"/>
    <x v="0"/>
  </r>
  <r>
    <s v="Regular"/>
    <x v="3"/>
    <x v="3"/>
    <x v="0"/>
    <x v="0"/>
    <x v="0"/>
    <x v="0"/>
    <x v="2"/>
    <x v="8"/>
    <n v="0"/>
    <n v="0"/>
    <n v="43.161999999999999"/>
    <n v="40.572279999999999"/>
    <n v="43.161999999999999"/>
    <n v="40.572279999999999"/>
    <n v="20"/>
    <s v="CATIVO"/>
    <n v="0"/>
    <n v="0"/>
    <n v="72"/>
    <n v="83"/>
    <n v="0"/>
    <n v="377.01"/>
    <n v="141.32"/>
    <m/>
    <n v="415.67450254064073"/>
    <n v="135.80626150990429"/>
    <n v="0"/>
    <n v="1342.3295675999998"/>
    <n v="0"/>
    <n v="1428.1807642769772"/>
    <x v="0"/>
  </r>
  <r>
    <s v="Regular"/>
    <x v="3"/>
    <x v="3"/>
    <x v="0"/>
    <x v="0"/>
    <x v="0"/>
    <x v="0"/>
    <x v="2"/>
    <x v="9"/>
    <n v="0"/>
    <n v="0"/>
    <n v="44.027000000000001"/>
    <n v="41.385379999999998"/>
    <n v="44.027000000000001"/>
    <n v="41.385379999999998"/>
    <n v="20"/>
    <s v="CATIVO"/>
    <n v="0"/>
    <n v="0"/>
    <n v="72"/>
    <n v="83"/>
    <n v="0"/>
    <n v="377.01"/>
    <n v="141.32"/>
    <m/>
    <n v="415.67450254064073"/>
    <n v="135.80626150990429"/>
    <n v="0"/>
    <n v="1369.2308946000016"/>
    <n v="0"/>
    <n v="1456.8026159312026"/>
    <x v="0"/>
  </r>
  <r>
    <s v="Regular"/>
    <x v="3"/>
    <x v="3"/>
    <x v="0"/>
    <x v="0"/>
    <x v="0"/>
    <x v="0"/>
    <x v="2"/>
    <x v="10"/>
    <n v="0"/>
    <n v="0"/>
    <n v="49.674999999999997"/>
    <n v="46.694499999999998"/>
    <n v="49.674999999999997"/>
    <n v="46.694499999999998"/>
    <n v="20"/>
    <s v="CATIVO"/>
    <n v="0"/>
    <n v="0"/>
    <n v="72"/>
    <n v="83"/>
    <n v="0"/>
    <n v="377.01"/>
    <n v="141.32"/>
    <m/>
    <n v="415.67450254064073"/>
    <n v="135.80626150990429"/>
    <n v="0"/>
    <n v="1544.8825649999994"/>
    <n v="0"/>
    <n v="1643.6884172526491"/>
    <x v="0"/>
  </r>
  <r>
    <s v="Regular"/>
    <x v="3"/>
    <x v="3"/>
    <x v="0"/>
    <x v="0"/>
    <x v="0"/>
    <x v="0"/>
    <x v="2"/>
    <x v="11"/>
    <n v="0"/>
    <n v="0"/>
    <n v="48.137999999999998"/>
    <n v="45.249720000000003"/>
    <n v="48.137999999999998"/>
    <n v="45.249720000000003"/>
    <n v="20"/>
    <s v="CATIVO"/>
    <n v="0"/>
    <n v="0"/>
    <n v="72"/>
    <n v="83"/>
    <n v="0"/>
    <n v="377.01"/>
    <n v="141.32"/>
    <m/>
    <n v="415.67450254064073"/>
    <n v="135.80626150990429"/>
    <n v="0"/>
    <n v="1497.0821723999973"/>
    <n v="0"/>
    <n v="1592.830861191905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CB4490-630E-42E9-8568-71D5F5DED279}" name="Efeito Resumo" cacheId="133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J478" firstHeaderRow="0" firstDataRow="1" firstDataCol="1"/>
  <pivotFields count="3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axis="axisRow" showAll="0">
      <items count="9">
        <item x="2"/>
        <item x="7"/>
        <item x="3"/>
        <item x="1"/>
        <item x="6"/>
        <item x="5"/>
        <item x="4"/>
        <item x="0"/>
        <item t="default"/>
      </items>
    </pivotField>
    <pivotField axis="axisRow" showAll="0">
      <items count="11">
        <item x="7"/>
        <item x="0"/>
        <item x="8"/>
        <item x="9"/>
        <item x="1"/>
        <item x="2"/>
        <item x="3"/>
        <item x="4"/>
        <item x="5"/>
        <item x="6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axis="axisRow" showAll="0">
      <items count="3">
        <item x="0"/>
        <item x="1"/>
        <item t="default"/>
      </items>
    </pivotField>
    <pivotField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9">
    <field x="16"/>
    <field x="1"/>
    <field x="2"/>
    <field x="3"/>
    <field x="4"/>
    <field x="5"/>
    <field x="6"/>
    <field x="7"/>
    <field x="8"/>
  </rowFields>
  <rowItems count="477">
    <i>
      <x/>
    </i>
    <i r="1">
      <x/>
    </i>
    <i r="2">
      <x/>
    </i>
    <i r="3">
      <x v="7"/>
    </i>
    <i r="4">
      <x v="1"/>
    </i>
    <i r="5">
      <x v="2"/>
    </i>
    <i r="6">
      <x v="1"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3"/>
    </i>
    <i r="3">
      <x/>
    </i>
    <i r="4">
      <x v="4"/>
    </i>
    <i r="5">
      <x v="2"/>
    </i>
    <i r="6">
      <x v="1"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2"/>
    </i>
    <i r="4">
      <x v="4"/>
    </i>
    <i r="5">
      <x v="2"/>
    </i>
    <i r="6">
      <x v="1"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6"/>
    </i>
    <i r="4">
      <x v="4"/>
    </i>
    <i r="5">
      <x v="2"/>
    </i>
    <i r="6">
      <x v="1"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 v="1"/>
    </i>
    <i r="5">
      <x v="2"/>
    </i>
    <i r="6">
      <x v="1"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10"/>
    </i>
    <i r="8">
      <x v="11"/>
    </i>
    <i r="1">
      <x v="1"/>
    </i>
    <i r="2">
      <x v="1"/>
    </i>
    <i r="3">
      <x v="5"/>
    </i>
    <i r="4">
      <x v="5"/>
    </i>
    <i r="5">
      <x v="2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2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2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2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9"/>
    </i>
    <i r="5">
      <x v="2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 v="1"/>
    </i>
    <i r="3">
      <x v="6"/>
    </i>
    <i r="4">
      <x/>
    </i>
    <i r="5">
      <x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1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1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4"/>
    </i>
    <i r="5">
      <x v="2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 v="1"/>
    </i>
    <i r="3">
      <x/>
    </i>
    <i r="4">
      <x v="4"/>
    </i>
    <i r="5">
      <x v="2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2"/>
    </i>
    <i r="4">
      <x v="4"/>
    </i>
    <i r="5">
      <x v="2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4"/>
    </i>
    <i r="4">
      <x v="4"/>
    </i>
    <i r="5">
      <x v="2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 v="1"/>
    </i>
    <i r="5">
      <x v="2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4"/>
    </i>
    <i r="2">
      <x v="1"/>
    </i>
    <i r="3">
      <x v="1"/>
    </i>
    <i r="4">
      <x v="3"/>
    </i>
    <i r="5">
      <x v="2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/>
    </i>
    <i r="2">
      <x v="2"/>
    </i>
    <i r="3">
      <x v="3"/>
    </i>
    <i r="4">
      <x v="4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RA0 ou RV - TUSD (kW)" fld="27" baseField="0" baseItem="0" numFmtId="40"/>
    <dataField name="Soma de RA1 ou RRD - TUSD (kW)" fld="30" baseField="0" baseItem="0" numFmtId="40"/>
    <dataField name="Soma de RA0 ou RV - TUSD (MWh)" fld="28" baseField="0" baseItem="0" numFmtId="40"/>
    <dataField name="Soma de RA1 ou RRD - TUSD (MWh)" fld="31" baseField="0" baseItem="0" numFmtId="40"/>
    <dataField name="Soma de RA0 ou RV - TE (MWh)" fld="29" baseField="0" baseItem="0" numFmtId="40"/>
    <dataField name="Soma de RA1 ou RRD - TE (MWh)" fld="32" baseField="0" baseItem="0" numFmtId="40"/>
    <dataField name="Soma de Variação TUSD" fld="33" baseField="0" baseItem="0" numFmtId="166"/>
    <dataField name="Soma de Variação TE" fld="34" baseField="0" baseItem="0" numFmtId="166"/>
    <dataField name="Soma de Variação" fld="35" baseField="0" baseItem="0" numFmtId="166"/>
  </dataFields>
  <formats count="252">
    <format dxfId="457">
      <pivotArea outline="0" collapsedLevelsAreSubtotals="1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45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55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454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453">
      <pivotArea type="all" dataOnly="0" outline="0" fieldPosition="0"/>
    </format>
    <format dxfId="452">
      <pivotArea outline="0" collapsedLevelsAreSubtotals="1" fieldPosition="0"/>
    </format>
    <format dxfId="451">
      <pivotArea field="16" type="button" dataOnly="0" labelOnly="1" outline="0" axis="axisRow" fieldPosition="0"/>
    </format>
    <format dxfId="450">
      <pivotArea dataOnly="0" labelOnly="1" fieldPosition="0">
        <references count="1">
          <reference field="16" count="0"/>
        </references>
      </pivotArea>
    </format>
    <format dxfId="449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448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447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3"/>
          </reference>
          <reference field="16" count="1" selected="0">
            <x v="0"/>
          </reference>
        </references>
      </pivotArea>
    </format>
    <format dxfId="446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45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44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43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42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1"/>
          </reference>
        </references>
      </pivotArea>
    </format>
    <format dxfId="441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7"/>
          </reference>
          <reference field="16" count="1" selected="0">
            <x v="0"/>
          </reference>
        </references>
      </pivotArea>
    </format>
    <format dxfId="440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4">
            <x v="0"/>
            <x v="2"/>
            <x v="6"/>
            <x v="7"/>
          </reference>
          <reference field="16" count="1" selected="0">
            <x v="0"/>
          </reference>
        </references>
      </pivotArea>
    </format>
    <format dxfId="439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438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6"/>
          </reference>
          <reference field="16" count="1" selected="0">
            <x v="0"/>
          </reference>
        </references>
      </pivotArea>
    </format>
    <format dxfId="437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4">
            <x v="0"/>
            <x v="2"/>
            <x v="4"/>
            <x v="7"/>
          </reference>
          <reference field="16" count="1" selected="0">
            <x v="0"/>
          </reference>
        </references>
      </pivotArea>
    </format>
    <format dxfId="436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1"/>
          </reference>
          <reference field="16" count="1" selected="0">
            <x v="0"/>
          </reference>
        </references>
      </pivotArea>
    </format>
    <format dxfId="435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3"/>
          </reference>
          <reference field="16" count="1" selected="0">
            <x v="1"/>
          </reference>
        </references>
      </pivotArea>
    </format>
    <format dxfId="434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433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32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31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30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429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5">
            <x v="5"/>
            <x v="6"/>
            <x v="7"/>
            <x v="8"/>
            <x v="9"/>
          </reference>
          <reference field="16" count="1" selected="0">
            <x v="0"/>
          </reference>
        </references>
      </pivotArea>
    </format>
    <format dxfId="428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3">
            <x v="0"/>
            <x v="2"/>
            <x v="4"/>
          </reference>
          <reference field="16" count="1" selected="0">
            <x v="0"/>
          </reference>
        </references>
      </pivotArea>
    </format>
    <format dxfId="427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26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25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24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423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22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1"/>
          </reference>
        </references>
      </pivotArea>
    </format>
    <format dxfId="421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20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19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18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17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16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15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14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13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1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11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0"/>
            <x v="1"/>
          </reference>
          <reference field="16" count="1" selected="0">
            <x v="0"/>
          </reference>
        </references>
      </pivotArea>
    </format>
    <format dxfId="410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2">
            <x v="0"/>
            <x v="1"/>
          </reference>
          <reference field="16" count="1" selected="0">
            <x v="0"/>
          </reference>
        </references>
      </pivotArea>
    </format>
    <format dxfId="409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08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07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06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05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04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03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1"/>
          </reference>
        </references>
      </pivotArea>
    </format>
    <format dxfId="402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401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400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399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398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397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396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395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394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39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39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391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390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389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388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387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386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385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384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383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382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1"/>
          </reference>
        </references>
      </pivotArea>
    </format>
    <format dxfId="381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2">
            <x v="0"/>
            <x v="2"/>
          </reference>
          <reference field="16" count="1" selected="0">
            <x v="0"/>
          </reference>
        </references>
      </pivotArea>
    </format>
    <format dxfId="380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0"/>
          <reference field="16" count="1" selected="0">
            <x v="0"/>
          </reference>
        </references>
      </pivotArea>
    </format>
    <format dxfId="379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0"/>
          <reference field="16" count="1" selected="0">
            <x v="0"/>
          </reference>
        </references>
      </pivotArea>
    </format>
    <format dxfId="378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0"/>
          <reference field="16" count="1" selected="0">
            <x v="0"/>
          </reference>
        </references>
      </pivotArea>
    </format>
    <format dxfId="377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0"/>
          <reference field="16" count="1" selected="0">
            <x v="0"/>
          </reference>
        </references>
      </pivotArea>
    </format>
    <format dxfId="376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75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74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73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7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71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70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69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6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67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66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65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64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63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62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61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1"/>
          </reference>
        </references>
      </pivotArea>
    </format>
    <format dxfId="360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59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58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57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56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55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54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53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52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5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50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49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1">
            <x v="0"/>
            <x v="1"/>
            <x v="2"/>
            <x v="3"/>
            <x v="4"/>
            <x v="5"/>
            <x v="6"/>
            <x v="7"/>
            <x v="8"/>
            <x v="10"/>
            <x v="11"/>
          </reference>
          <reference field="16" count="1" selected="0">
            <x v="0"/>
          </reference>
        </references>
      </pivotArea>
    </format>
    <format dxfId="348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47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2"/>
          </reference>
          <reference field="8" count="11">
            <x v="0"/>
            <x v="1"/>
            <x v="2"/>
            <x v="3"/>
            <x v="4"/>
            <x v="5"/>
            <x v="6"/>
            <x v="7"/>
            <x v="8"/>
            <x v="10"/>
            <x v="11"/>
          </reference>
          <reference field="16" count="1" selected="0">
            <x v="0"/>
          </reference>
        </references>
      </pivotArea>
    </format>
    <format dxfId="346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45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44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4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4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41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40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3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38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37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36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35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34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33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32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3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330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329">
      <pivotArea type="all" dataOnly="0" outline="0" fieldPosition="0"/>
    </format>
    <format dxfId="328">
      <pivotArea outline="0" collapsedLevelsAreSubtotals="1" fieldPosition="0"/>
    </format>
    <format dxfId="327">
      <pivotArea field="16" type="button" dataOnly="0" labelOnly="1" outline="0" axis="axisRow" fieldPosition="0"/>
    </format>
    <format dxfId="326">
      <pivotArea dataOnly="0" labelOnly="1" fieldPosition="0">
        <references count="1">
          <reference field="16" count="0"/>
        </references>
      </pivotArea>
    </format>
    <format dxfId="325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324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323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3"/>
          </reference>
          <reference field="16" count="1" selected="0">
            <x v="0"/>
          </reference>
        </references>
      </pivotArea>
    </format>
    <format dxfId="322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321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320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319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318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1"/>
          </reference>
        </references>
      </pivotArea>
    </format>
    <format dxfId="317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7"/>
          </reference>
          <reference field="16" count="1" selected="0">
            <x v="0"/>
          </reference>
        </references>
      </pivotArea>
    </format>
    <format dxfId="316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4">
            <x v="0"/>
            <x v="2"/>
            <x v="6"/>
            <x v="7"/>
          </reference>
          <reference field="16" count="1" selected="0">
            <x v="0"/>
          </reference>
        </references>
      </pivotArea>
    </format>
    <format dxfId="315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314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6"/>
          </reference>
          <reference field="16" count="1" selected="0">
            <x v="0"/>
          </reference>
        </references>
      </pivotArea>
    </format>
    <format dxfId="313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4">
            <x v="0"/>
            <x v="2"/>
            <x v="4"/>
            <x v="7"/>
          </reference>
          <reference field="16" count="1" selected="0">
            <x v="0"/>
          </reference>
        </references>
      </pivotArea>
    </format>
    <format dxfId="312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1"/>
          </reference>
          <reference field="16" count="1" selected="0">
            <x v="0"/>
          </reference>
        </references>
      </pivotArea>
    </format>
    <format dxfId="311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3"/>
          </reference>
          <reference field="16" count="1" selected="0">
            <x v="1"/>
          </reference>
        </references>
      </pivotArea>
    </format>
    <format dxfId="310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309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308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307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306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305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5">
            <x v="5"/>
            <x v="6"/>
            <x v="7"/>
            <x v="8"/>
            <x v="9"/>
          </reference>
          <reference field="16" count="1" selected="0">
            <x v="0"/>
          </reference>
        </references>
      </pivotArea>
    </format>
    <format dxfId="304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3">
            <x v="0"/>
            <x v="2"/>
            <x v="4"/>
          </reference>
          <reference field="16" count="1" selected="0">
            <x v="0"/>
          </reference>
        </references>
      </pivotArea>
    </format>
    <format dxfId="303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302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301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300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299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298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1"/>
          </reference>
        </references>
      </pivotArea>
    </format>
    <format dxfId="297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296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295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294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293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29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29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29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28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288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287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0"/>
            <x v="1"/>
          </reference>
          <reference field="16" count="1" selected="0">
            <x v="0"/>
          </reference>
        </references>
      </pivotArea>
    </format>
    <format dxfId="28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2">
            <x v="0"/>
            <x v="1"/>
          </reference>
          <reference field="16" count="1" selected="0">
            <x v="0"/>
          </reference>
        </references>
      </pivotArea>
    </format>
    <format dxfId="285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284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283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282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281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280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279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1"/>
          </reference>
        </references>
      </pivotArea>
    </format>
    <format dxfId="278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277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276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275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274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27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272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27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27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26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268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26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266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265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264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263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262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261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260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259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258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1"/>
          </reference>
        </references>
      </pivotArea>
    </format>
    <format dxfId="257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2">
            <x v="0"/>
            <x v="2"/>
          </reference>
          <reference field="16" count="1" selected="0">
            <x v="0"/>
          </reference>
        </references>
      </pivotArea>
    </format>
    <format dxfId="256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0"/>
          <reference field="16" count="1" selected="0">
            <x v="0"/>
          </reference>
        </references>
      </pivotArea>
    </format>
    <format dxfId="255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0"/>
          <reference field="16" count="1" selected="0">
            <x v="0"/>
          </reference>
        </references>
      </pivotArea>
    </format>
    <format dxfId="254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0"/>
          <reference field="16" count="1" selected="0">
            <x v="0"/>
          </reference>
        </references>
      </pivotArea>
    </format>
    <format dxfId="253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0"/>
          <reference field="16" count="1" selected="0">
            <x v="0"/>
          </reference>
        </references>
      </pivotArea>
    </format>
    <format dxfId="25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25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25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24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248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247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246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245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244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24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242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241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240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239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238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237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1"/>
          </reference>
        </references>
      </pivotArea>
    </format>
    <format dxfId="236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235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234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233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232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23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230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229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228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227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226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225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1">
            <x v="0"/>
            <x v="1"/>
            <x v="2"/>
            <x v="3"/>
            <x v="4"/>
            <x v="5"/>
            <x v="6"/>
            <x v="7"/>
            <x v="8"/>
            <x v="10"/>
            <x v="11"/>
          </reference>
          <reference field="16" count="1" selected="0">
            <x v="0"/>
          </reference>
        </references>
      </pivotArea>
    </format>
    <format dxfId="224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223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2"/>
          </reference>
          <reference field="8" count="11">
            <x v="0"/>
            <x v="1"/>
            <x v="2"/>
            <x v="3"/>
            <x v="4"/>
            <x v="5"/>
            <x v="6"/>
            <x v="7"/>
            <x v="8"/>
            <x v="10"/>
            <x v="11"/>
          </reference>
          <reference field="16" count="1" selected="0">
            <x v="0"/>
          </reference>
        </references>
      </pivotArea>
    </format>
    <format dxfId="22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22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22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21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218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217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216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215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21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213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212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211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210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209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208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20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206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DD3F15-1698-481E-8EFD-6331A40D2398}" name="Subsidio Resumo" cacheId="134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G325" firstHeaderRow="0" firstDataRow="1" firstDataCol="1"/>
  <pivotFields count="34"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axis="axisRow" showAll="0">
      <items count="5">
        <item x="1"/>
        <item x="3"/>
        <item x="2"/>
        <item x="0"/>
        <item t="default"/>
      </items>
    </pivotField>
    <pivotField axis="axisRow" showAll="0">
      <items count="10">
        <item x="7"/>
        <item x="0"/>
        <item x="8"/>
        <item x="1"/>
        <item x="2"/>
        <item x="3"/>
        <item x="4"/>
        <item x="5"/>
        <item x="6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axis="axisRow" showAll="0">
      <items count="7">
        <item x="0"/>
        <item x="4"/>
        <item x="1"/>
        <item x="5"/>
        <item x="2"/>
        <item x="3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9">
    <field x="31"/>
    <field x="1"/>
    <field x="2"/>
    <field x="3"/>
    <field x="4"/>
    <field x="5"/>
    <field x="6"/>
    <field x="7"/>
    <field x="8"/>
  </rowFields>
  <rowItems count="324">
    <i>
      <x/>
    </i>
    <i r="1">
      <x/>
    </i>
    <i r="2">
      <x/>
    </i>
    <i r="3">
      <x v="3"/>
    </i>
    <i r="4">
      <x v="1"/>
    </i>
    <i r="5">
      <x v="2"/>
    </i>
    <i r="6">
      <x v="1"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3"/>
    </i>
    <i r="3">
      <x v="3"/>
    </i>
    <i r="4">
      <x v="1"/>
    </i>
    <i r="5">
      <x v="2"/>
    </i>
    <i r="6">
      <x v="1"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10"/>
    </i>
    <i r="8">
      <x v="11"/>
    </i>
    <i r="1">
      <x v="3"/>
    </i>
    <i r="2">
      <x v="1"/>
    </i>
    <i r="3">
      <x v="3"/>
    </i>
    <i r="4">
      <x v="1"/>
    </i>
    <i r="5">
      <x v="2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 v="1"/>
    </i>
    <i r="2">
      <x v="1"/>
    </i>
    <i r="3">
      <x v="1"/>
    </i>
    <i r="4">
      <x v="5"/>
    </i>
    <i r="5">
      <x v="2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2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2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2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/>
    </i>
    <i r="2">
      <x v="2"/>
    </i>
    <i r="3">
      <x/>
    </i>
    <i r="4">
      <x v="3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3"/>
    </i>
    <i r="1">
      <x v="2"/>
    </i>
    <i r="2">
      <x v="1"/>
    </i>
    <i r="3">
      <x v="2"/>
    </i>
    <i r="4">
      <x/>
    </i>
    <i r="5">
      <x v="1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 v="1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4"/>
    </i>
    <i r="1">
      <x/>
    </i>
    <i r="2">
      <x v="3"/>
    </i>
    <i r="3">
      <x v="2"/>
    </i>
    <i r="4">
      <x v="3"/>
    </i>
    <i r="5">
      <x v="2"/>
    </i>
    <i r="6">
      <x v="1"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 v="1"/>
    </i>
    <i r="3">
      <x v="2"/>
    </i>
    <i r="4">
      <x/>
    </i>
    <i r="5">
      <x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3"/>
    </i>
    <i r="5">
      <x v="2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5"/>
    </i>
    <i r="1">
      <x v="1"/>
    </i>
    <i r="2">
      <x v="1"/>
    </i>
    <i r="3">
      <x v="1"/>
    </i>
    <i r="4">
      <x v="4"/>
    </i>
    <i r="5">
      <x v="2"/>
    </i>
    <i r="6">
      <x v="1"/>
    </i>
    <i r="7">
      <x v="1"/>
    </i>
    <i r="8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SUBSIDIO kW - TV" fld="27" baseField="0" baseItem="0"/>
    <dataField name="Soma de SUBSIDIO MWh - TV" fld="28" baseField="0" baseItem="0"/>
    <dataField name="Soma de SUBSIDIO kW - TN" fld="29" baseField="0" baseItem="0"/>
    <dataField name="Soma de SUBSIDIO MWh - TN" fld="30" baseField="0" baseItem="0"/>
    <dataField name="Soma de TOTAL TV" fld="32" baseField="0" baseItem="0" numFmtId="40"/>
    <dataField name="Soma de TOTAL TN" fld="33" baseField="0" baseItem="0" numFmtId="40"/>
  </dataFields>
  <formats count="206">
    <format dxfId="205">
      <pivotArea outline="0" collapsedLevelsAreSubtotals="1" fieldPosition="0"/>
    </format>
    <format dxfId="20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03">
      <pivotArea type="all" dataOnly="0" outline="0" fieldPosition="0"/>
    </format>
    <format dxfId="202">
      <pivotArea outline="0" collapsedLevelsAreSubtotals="1" fieldPosition="0"/>
    </format>
    <format dxfId="201">
      <pivotArea field="31" type="button" dataOnly="0" labelOnly="1" outline="0" axis="axisRow" fieldPosition="0"/>
    </format>
    <format dxfId="200">
      <pivotArea dataOnly="0" labelOnly="1" fieldPosition="0">
        <references count="1">
          <reference field="31" count="0"/>
        </references>
      </pivotArea>
    </format>
    <format dxfId="199">
      <pivotArea dataOnly="0" labelOnly="1" fieldPosition="0">
        <references count="2">
          <reference field="1" count="2">
            <x v="0"/>
            <x v="3"/>
          </reference>
          <reference field="31" count="1" selected="0">
            <x v="0"/>
          </reference>
        </references>
      </pivotArea>
    </format>
    <format dxfId="198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197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196">
      <pivotArea dataOnly="0" labelOnly="1" fieldPosition="0">
        <references count="2">
          <reference field="1" count="1">
            <x v="2"/>
          </reference>
          <reference field="31" count="1" selected="0">
            <x v="3"/>
          </reference>
        </references>
      </pivotArea>
    </format>
    <format dxfId="195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4"/>
          </reference>
        </references>
      </pivotArea>
    </format>
    <format dxfId="194">
      <pivotArea dataOnly="0" labelOnly="1" fieldPosition="0">
        <references count="2">
          <reference field="1" count="1">
            <x v="1"/>
          </reference>
          <reference field="31" count="1" selected="0">
            <x v="5"/>
          </reference>
        </references>
      </pivotArea>
    </format>
    <format dxfId="193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3"/>
          </reference>
          <reference field="31" count="1" selected="0">
            <x v="0"/>
          </reference>
        </references>
      </pivotArea>
    </format>
    <format dxfId="192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191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1"/>
          </reference>
        </references>
      </pivotArea>
    </format>
    <format dxfId="190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2"/>
          </reference>
        </references>
      </pivotArea>
    </format>
    <format dxfId="189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188">
      <pivotArea dataOnly="0" labelOnly="1" fieldPosition="0">
        <references count="3">
          <reference field="1" count="1" selected="0">
            <x v="0"/>
          </reference>
          <reference field="2" count="1">
            <x v="3"/>
          </reference>
          <reference field="31" count="1" selected="0">
            <x v="4"/>
          </reference>
        </references>
      </pivotArea>
    </format>
    <format dxfId="187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4"/>
          </reference>
        </references>
      </pivotArea>
    </format>
    <format dxfId="186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5"/>
          </reference>
        </references>
      </pivotArea>
    </format>
    <format dxfId="185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184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183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182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1"/>
          </reference>
        </references>
      </pivotArea>
    </format>
    <format dxfId="181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180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179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178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177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5"/>
          </reference>
        </references>
      </pivotArea>
    </format>
    <format dxfId="176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175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174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173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4">
            <x v="5"/>
            <x v="6"/>
            <x v="7"/>
            <x v="8"/>
          </reference>
          <reference field="31" count="1" selected="0">
            <x v="1"/>
          </reference>
        </references>
      </pivotArea>
    </format>
    <format dxfId="172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2"/>
          </reference>
        </references>
      </pivotArea>
    </format>
    <format dxfId="171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2">
            <x v="0"/>
            <x v="2"/>
          </reference>
          <reference field="31" count="1" selected="0">
            <x v="3"/>
          </reference>
        </references>
      </pivotArea>
    </format>
    <format dxfId="170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>
            <x v="3"/>
          </reference>
          <reference field="31" count="1" selected="0">
            <x v="4"/>
          </reference>
        </references>
      </pivotArea>
    </format>
    <format dxfId="169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2"/>
            <x v="3"/>
          </reference>
          <reference field="31" count="1" selected="0">
            <x v="4"/>
          </reference>
        </references>
      </pivotArea>
    </format>
    <format dxfId="168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4"/>
          </reference>
          <reference field="31" count="1" selected="0">
            <x v="5"/>
          </reference>
        </references>
      </pivotArea>
    </format>
    <format dxfId="167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166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165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164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63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6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6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60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2"/>
          </reference>
        </references>
      </pivotArea>
    </format>
    <format dxfId="159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3"/>
          </reference>
        </references>
      </pivotArea>
    </format>
    <format dxfId="158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3"/>
          </reference>
        </references>
      </pivotArea>
    </format>
    <format dxfId="157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15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0"/>
          </reference>
          <reference field="31" count="1" selected="0">
            <x v="4"/>
          </reference>
        </references>
      </pivotArea>
    </format>
    <format dxfId="155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0"/>
          </reference>
          <reference field="31" count="1" selected="0">
            <x v="4"/>
          </reference>
        </references>
      </pivotArea>
    </format>
    <format dxfId="154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153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2"/>
          </reference>
          <reference field="31" count="1" selected="0">
            <x v="5"/>
          </reference>
        </references>
      </pivotArea>
    </format>
    <format dxfId="152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>
            <x v="1"/>
          </reference>
          <reference field="31" count="1" selected="0">
            <x v="0"/>
          </reference>
        </references>
      </pivotArea>
    </format>
    <format dxfId="151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>
            <x v="1"/>
          </reference>
          <reference field="31" count="1" selected="0">
            <x v="0"/>
          </reference>
        </references>
      </pivotArea>
    </format>
    <format dxfId="150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>
            <x v="1"/>
          </reference>
          <reference field="31" count="1" selected="0">
            <x v="0"/>
          </reference>
        </references>
      </pivotArea>
    </format>
    <format dxfId="14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"/>
          </reference>
          <reference field="31" count="1" selected="0">
            <x v="1"/>
          </reference>
        </references>
      </pivotArea>
    </format>
    <format dxfId="148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2"/>
          </reference>
          <reference field="6" count="1">
            <x v="1"/>
          </reference>
          <reference field="31" count="1" selected="0">
            <x v="1"/>
          </reference>
        </references>
      </pivotArea>
    </format>
    <format dxfId="147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2"/>
          </reference>
          <reference field="6" count="1">
            <x v="1"/>
          </reference>
          <reference field="31" count="1" selected="0">
            <x v="1"/>
          </reference>
        </references>
      </pivotArea>
    </format>
    <format dxfId="146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2"/>
          </reference>
          <reference field="6" count="1">
            <x v="1"/>
          </reference>
          <reference field="31" count="1" selected="0">
            <x v="1"/>
          </reference>
        </references>
      </pivotArea>
    </format>
    <format dxfId="145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1">
            <x v="0"/>
          </reference>
          <reference field="31" count="1" selected="0">
            <x v="2"/>
          </reference>
        </references>
      </pivotArea>
    </format>
    <format dxfId="144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1">
            <x v="1"/>
          </reference>
          <reference field="31" count="1" selected="0">
            <x v="3"/>
          </reference>
        </references>
      </pivotArea>
    </format>
    <format dxfId="143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1">
            <x v="1"/>
          </reference>
          <reference field="31" count="1" selected="0">
            <x v="3"/>
          </reference>
        </references>
      </pivotArea>
    </format>
    <format dxfId="142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>
            <x v="1"/>
          </reference>
          <reference field="31" count="1" selected="0">
            <x v="4"/>
          </reference>
        </references>
      </pivotArea>
    </format>
    <format dxfId="141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0"/>
          </reference>
          <reference field="6" count="1">
            <x v="1"/>
          </reference>
          <reference field="31" count="1" selected="0">
            <x v="4"/>
          </reference>
        </references>
      </pivotArea>
    </format>
    <format dxfId="140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0"/>
          </reference>
          <reference field="6" count="1">
            <x v="1"/>
          </reference>
          <reference field="31" count="1" selected="0">
            <x v="4"/>
          </reference>
        </references>
      </pivotArea>
    </format>
    <format dxfId="139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>
            <x v="1"/>
          </reference>
          <reference field="31" count="1" selected="0">
            <x v="4"/>
          </reference>
        </references>
      </pivotArea>
    </format>
    <format dxfId="138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  <reference field="31" count="1" selected="0">
            <x v="5"/>
          </reference>
        </references>
      </pivotArea>
    </format>
    <format dxfId="137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2">
            <x v="0"/>
            <x v="2"/>
          </reference>
          <reference field="31" count="1" selected="0">
            <x v="0"/>
          </reference>
        </references>
      </pivotArea>
    </format>
    <format dxfId="136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0"/>
          <reference field="31" count="1" selected="0">
            <x v="0"/>
          </reference>
        </references>
      </pivotArea>
    </format>
    <format dxfId="135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0"/>
          </reference>
        </references>
      </pivotArea>
    </format>
    <format dxfId="134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133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13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13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130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2"/>
          </reference>
        </references>
      </pivotArea>
    </format>
    <format dxfId="129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3"/>
          </reference>
        </references>
      </pivotArea>
    </format>
    <format dxfId="12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3"/>
          </reference>
        </references>
      </pivotArea>
    </format>
    <format dxfId="127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1"/>
          </reference>
          <reference field="7" count="0"/>
          <reference field="31" count="1" selected="0">
            <x v="4"/>
          </reference>
        </references>
      </pivotArea>
    </format>
    <format dxfId="126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4"/>
          </reference>
        </references>
      </pivotArea>
    </format>
    <format dxfId="125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4"/>
          </reference>
        </references>
      </pivotArea>
    </format>
    <format dxfId="124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4"/>
          </reference>
        </references>
      </pivotArea>
    </format>
    <format dxfId="123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5"/>
          </reference>
        </references>
      </pivotArea>
    </format>
    <format dxfId="122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0"/>
          <reference field="31" count="1" selected="0">
            <x v="0"/>
          </reference>
        </references>
      </pivotArea>
    </format>
    <format dxfId="121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120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1">
            <x v="0"/>
            <x v="1"/>
            <x v="2"/>
            <x v="3"/>
            <x v="4"/>
            <x v="5"/>
            <x v="6"/>
            <x v="7"/>
            <x v="8"/>
            <x v="10"/>
            <x v="11"/>
          </reference>
          <reference field="31" count="1" selected="0">
            <x v="0"/>
          </reference>
        </references>
      </pivotArea>
    </format>
    <format dxfId="119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18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2"/>
          </reference>
          <reference field="8" count="11">
            <x v="0"/>
            <x v="1"/>
            <x v="2"/>
            <x v="3"/>
            <x v="4"/>
            <x v="5"/>
            <x v="6"/>
            <x v="7"/>
            <x v="8"/>
            <x v="10"/>
            <x v="11"/>
          </reference>
          <reference field="31" count="1" selected="0">
            <x v="0"/>
          </reference>
        </references>
      </pivotArea>
    </format>
    <format dxfId="117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16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15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14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1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1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111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10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09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0"/>
          <reference field="31" count="1" selected="0">
            <x v="4"/>
          </reference>
        </references>
      </pivotArea>
    </format>
    <format dxfId="108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07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106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05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0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0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1">
            <x v="0"/>
          </reference>
          <reference field="31" count="1" selected="0">
            <x v="5"/>
          </reference>
        </references>
      </pivotArea>
    </format>
    <format dxfId="10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01">
      <pivotArea type="all" dataOnly="0" outline="0" fieldPosition="0"/>
    </format>
    <format dxfId="100">
      <pivotArea outline="0" collapsedLevelsAreSubtotals="1" fieldPosition="0"/>
    </format>
    <format dxfId="99">
      <pivotArea field="31" type="button" dataOnly="0" labelOnly="1" outline="0" axis="axisRow" fieldPosition="0"/>
    </format>
    <format dxfId="98">
      <pivotArea dataOnly="0" labelOnly="1" fieldPosition="0">
        <references count="1">
          <reference field="31" count="0"/>
        </references>
      </pivotArea>
    </format>
    <format dxfId="97">
      <pivotArea dataOnly="0" labelOnly="1" fieldPosition="0">
        <references count="2">
          <reference field="1" count="2">
            <x v="0"/>
            <x v="3"/>
          </reference>
          <reference field="31" count="1" selected="0">
            <x v="0"/>
          </reference>
        </references>
      </pivotArea>
    </format>
    <format dxfId="96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95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94">
      <pivotArea dataOnly="0" labelOnly="1" fieldPosition="0">
        <references count="2">
          <reference field="1" count="1">
            <x v="2"/>
          </reference>
          <reference field="31" count="1" selected="0">
            <x v="3"/>
          </reference>
        </references>
      </pivotArea>
    </format>
    <format dxfId="93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4"/>
          </reference>
        </references>
      </pivotArea>
    </format>
    <format dxfId="92">
      <pivotArea dataOnly="0" labelOnly="1" fieldPosition="0">
        <references count="2">
          <reference field="1" count="1">
            <x v="1"/>
          </reference>
          <reference field="31" count="1" selected="0">
            <x v="5"/>
          </reference>
        </references>
      </pivotArea>
    </format>
    <format dxfId="91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3"/>
          </reference>
          <reference field="31" count="1" selected="0">
            <x v="0"/>
          </reference>
        </references>
      </pivotArea>
    </format>
    <format dxfId="90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89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1"/>
          </reference>
        </references>
      </pivotArea>
    </format>
    <format dxfId="88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2"/>
          </reference>
        </references>
      </pivotArea>
    </format>
    <format dxfId="87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86">
      <pivotArea dataOnly="0" labelOnly="1" fieldPosition="0">
        <references count="3">
          <reference field="1" count="1" selected="0">
            <x v="0"/>
          </reference>
          <reference field="2" count="1">
            <x v="3"/>
          </reference>
          <reference field="31" count="1" selected="0">
            <x v="4"/>
          </reference>
        </references>
      </pivotArea>
    </format>
    <format dxfId="85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4"/>
          </reference>
        </references>
      </pivotArea>
    </format>
    <format dxfId="84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5"/>
          </reference>
        </references>
      </pivotArea>
    </format>
    <format dxfId="83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82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81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80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1"/>
          </reference>
        </references>
      </pivotArea>
    </format>
    <format dxfId="79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78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77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76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75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5"/>
          </reference>
        </references>
      </pivotArea>
    </format>
    <format dxfId="74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73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72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71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4">
            <x v="5"/>
            <x v="6"/>
            <x v="7"/>
            <x v="8"/>
          </reference>
          <reference field="31" count="1" selected="0">
            <x v="1"/>
          </reference>
        </references>
      </pivotArea>
    </format>
    <format dxfId="70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2"/>
          </reference>
        </references>
      </pivotArea>
    </format>
    <format dxfId="69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2">
            <x v="0"/>
            <x v="2"/>
          </reference>
          <reference field="31" count="1" selected="0">
            <x v="3"/>
          </reference>
        </references>
      </pivotArea>
    </format>
    <format dxfId="68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>
            <x v="3"/>
          </reference>
          <reference field="31" count="1" selected="0">
            <x v="4"/>
          </reference>
        </references>
      </pivotArea>
    </format>
    <format dxfId="67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2"/>
            <x v="3"/>
          </reference>
          <reference field="31" count="1" selected="0">
            <x v="4"/>
          </reference>
        </references>
      </pivotArea>
    </format>
    <format dxfId="66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4"/>
          </reference>
          <reference field="31" count="1" selected="0">
            <x v="5"/>
          </reference>
        </references>
      </pivotArea>
    </format>
    <format dxfId="65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64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63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6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6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6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5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58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2"/>
          </reference>
        </references>
      </pivotArea>
    </format>
    <format dxfId="57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3"/>
          </reference>
        </references>
      </pivotArea>
    </format>
    <format dxfId="5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3"/>
          </reference>
        </references>
      </pivotArea>
    </format>
    <format dxfId="55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54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0"/>
          </reference>
          <reference field="31" count="1" selected="0">
            <x v="4"/>
          </reference>
        </references>
      </pivotArea>
    </format>
    <format dxfId="53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0"/>
          </reference>
          <reference field="31" count="1" selected="0">
            <x v="4"/>
          </reference>
        </references>
      </pivotArea>
    </format>
    <format dxfId="52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5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2"/>
          </reference>
          <reference field="31" count="1" selected="0">
            <x v="5"/>
          </reference>
        </references>
      </pivotArea>
    </format>
    <format dxfId="50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>
            <x v="1"/>
          </reference>
          <reference field="31" count="1" selected="0">
            <x v="0"/>
          </reference>
        </references>
      </pivotArea>
    </format>
    <format dxfId="49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>
            <x v="1"/>
          </reference>
          <reference field="31" count="1" selected="0">
            <x v="0"/>
          </reference>
        </references>
      </pivotArea>
    </format>
    <format dxfId="48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>
            <x v="1"/>
          </reference>
          <reference field="31" count="1" selected="0">
            <x v="0"/>
          </reference>
        </references>
      </pivotArea>
    </format>
    <format dxfId="47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"/>
          </reference>
          <reference field="31" count="1" selected="0">
            <x v="1"/>
          </reference>
        </references>
      </pivotArea>
    </format>
    <format dxfId="46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2"/>
          </reference>
          <reference field="6" count="1">
            <x v="1"/>
          </reference>
          <reference field="31" count="1" selected="0">
            <x v="1"/>
          </reference>
        </references>
      </pivotArea>
    </format>
    <format dxfId="45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2"/>
          </reference>
          <reference field="6" count="1">
            <x v="1"/>
          </reference>
          <reference field="31" count="1" selected="0">
            <x v="1"/>
          </reference>
        </references>
      </pivotArea>
    </format>
    <format dxfId="44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2"/>
          </reference>
          <reference field="6" count="1">
            <x v="1"/>
          </reference>
          <reference field="31" count="1" selected="0">
            <x v="1"/>
          </reference>
        </references>
      </pivotArea>
    </format>
    <format dxfId="43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1">
            <x v="0"/>
          </reference>
          <reference field="31" count="1" selected="0">
            <x v="2"/>
          </reference>
        </references>
      </pivotArea>
    </format>
    <format dxfId="4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1">
            <x v="1"/>
          </reference>
          <reference field="31" count="1" selected="0">
            <x v="3"/>
          </reference>
        </references>
      </pivotArea>
    </format>
    <format dxfId="41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1">
            <x v="1"/>
          </reference>
          <reference field="31" count="1" selected="0">
            <x v="3"/>
          </reference>
        </references>
      </pivotArea>
    </format>
    <format dxfId="40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>
            <x v="1"/>
          </reference>
          <reference field="31" count="1" selected="0">
            <x v="4"/>
          </reference>
        </references>
      </pivotArea>
    </format>
    <format dxfId="39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0"/>
          </reference>
          <reference field="6" count="1">
            <x v="1"/>
          </reference>
          <reference field="31" count="1" selected="0">
            <x v="4"/>
          </reference>
        </references>
      </pivotArea>
    </format>
    <format dxfId="38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0"/>
          </reference>
          <reference field="6" count="1">
            <x v="1"/>
          </reference>
          <reference field="31" count="1" selected="0">
            <x v="4"/>
          </reference>
        </references>
      </pivotArea>
    </format>
    <format dxfId="3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>
            <x v="1"/>
          </reference>
          <reference field="31" count="1" selected="0">
            <x v="4"/>
          </reference>
        </references>
      </pivotArea>
    </format>
    <format dxfId="36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1"/>
          </reference>
          <reference field="31" count="1" selected="0">
            <x v="5"/>
          </reference>
        </references>
      </pivotArea>
    </format>
    <format dxfId="35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2">
            <x v="0"/>
            <x v="2"/>
          </reference>
          <reference field="31" count="1" selected="0">
            <x v="0"/>
          </reference>
        </references>
      </pivotArea>
    </format>
    <format dxfId="34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0"/>
          <reference field="31" count="1" selected="0">
            <x v="0"/>
          </reference>
        </references>
      </pivotArea>
    </format>
    <format dxfId="33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0"/>
          </reference>
        </references>
      </pivotArea>
    </format>
    <format dxfId="3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3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3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2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28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2"/>
          </reference>
        </references>
      </pivotArea>
    </format>
    <format dxfId="27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3"/>
          </reference>
        </references>
      </pivotArea>
    </format>
    <format dxfId="26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3"/>
          </reference>
        </references>
      </pivotArea>
    </format>
    <format dxfId="25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1"/>
          </reference>
          <reference field="7" count="0"/>
          <reference field="31" count="1" selected="0">
            <x v="4"/>
          </reference>
        </references>
      </pivotArea>
    </format>
    <format dxfId="24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4"/>
          </reference>
        </references>
      </pivotArea>
    </format>
    <format dxfId="2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4"/>
          </reference>
        </references>
      </pivotArea>
    </format>
    <format dxfId="22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4"/>
          </reference>
        </references>
      </pivotArea>
    </format>
    <format dxfId="2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5"/>
          </reference>
        </references>
      </pivotArea>
    </format>
    <format dxfId="20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0"/>
          <reference field="31" count="1" selected="0">
            <x v="0"/>
          </reference>
        </references>
      </pivotArea>
    </format>
    <format dxfId="19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18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11">
            <x v="0"/>
            <x v="1"/>
            <x v="2"/>
            <x v="3"/>
            <x v="4"/>
            <x v="5"/>
            <x v="6"/>
            <x v="7"/>
            <x v="8"/>
            <x v="10"/>
            <x v="11"/>
          </reference>
          <reference field="31" count="1" selected="0">
            <x v="0"/>
          </reference>
        </references>
      </pivotArea>
    </format>
    <format dxfId="17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6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2"/>
          </reference>
          <reference field="8" count="11">
            <x v="0"/>
            <x v="1"/>
            <x v="2"/>
            <x v="3"/>
            <x v="4"/>
            <x v="5"/>
            <x v="6"/>
            <x v="7"/>
            <x v="8"/>
            <x v="10"/>
            <x v="11"/>
          </reference>
          <reference field="31" count="1" selected="0">
            <x v="0"/>
          </reference>
        </references>
      </pivotArea>
    </format>
    <format dxfId="15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4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8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7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  <reference field="8" count="0"/>
          <reference field="31" count="1" selected="0">
            <x v="4"/>
          </reference>
        </references>
      </pivotArea>
    </format>
    <format dxfId="6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5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3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2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1">
            <x v="0"/>
          </reference>
          <reference field="31" count="1" selected="0">
            <x v="5"/>
          </reference>
        </references>
      </pivotArea>
    </format>
    <format dxfId="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CC178F-8B80-4C89-9BAF-ADE496D4309E}" name="Efeito" displayName="Efeito" ref="A1:AG553" totalsRowShown="0" headerRowDxfId="526" dataDxfId="525">
  <autoFilter ref="A1:AG553" xr:uid="{E2CC178F-8B80-4C89-9BAF-ADE496D4309E}"/>
  <tableColumns count="33">
    <tableColumn id="1" xr3:uid="{818E613F-2F44-4838-B103-F27F36146F63}" name="TipoMercado" dataDxfId="524"/>
    <tableColumn id="2" xr3:uid="{3855B70B-AF05-4BD2-965A-CD12B389A6D6}" name="Subgrupo" dataDxfId="523"/>
    <tableColumn id="3" xr3:uid="{8643A370-7D8D-4131-8C86-DE06BFF1CAF3}" name="Modalidade" dataDxfId="522"/>
    <tableColumn id="4" xr3:uid="{D4640FA4-EF51-45C5-A91D-F28A5635FF7A}" name="Classe" dataDxfId="521"/>
    <tableColumn id="5" xr3:uid="{1D421654-00DA-4A79-AB89-A8C345DF0CE8}" name="Subclasse" dataDxfId="520"/>
    <tableColumn id="6" xr3:uid="{4CEC7788-6A6F-451B-9139-27A354D1EE31}" name="Detalhe" dataDxfId="519"/>
    <tableColumn id="7" xr3:uid="{28AA7B4B-9B82-4F5A-9D5F-E99F33C2707A}" name="Agente" dataDxfId="518"/>
    <tableColumn id="8" xr3:uid="{7C05575B-9F84-4D8F-99E0-EDA5B87B6FA3}" name="Posto" dataDxfId="517"/>
    <tableColumn id="9" xr3:uid="{BF4863CC-F89C-4704-B6D0-9A3AD9F5BF9D}" name="AnoMes" dataDxfId="516"/>
    <tableColumn id="10" xr3:uid="{95006D91-5A4D-4E4F-96A8-387CB25A1020}" name="D" dataDxfId="515"/>
    <tableColumn id="11" xr3:uid="{F6A9E0FB-DB3E-4DDF-8306-99B801959425}" name="Daj" dataDxfId="514"/>
    <tableColumn id="12" xr3:uid="{D7E80D77-D499-42E8-8A3A-B3365281E8B6}" name="TUSD_E" dataDxfId="513"/>
    <tableColumn id="13" xr3:uid="{C671AFCE-BA70-48CA-AE59-E37A86A37ED7}" name="TUSD_Eaj" dataDxfId="512"/>
    <tableColumn id="14" xr3:uid="{9B995E73-B1C1-4628-92BC-7F5C26939A66}" name="TE_E" dataDxfId="511"/>
    <tableColumn id="15" xr3:uid="{1EC7ABE6-1ED4-4369-8492-156B21DFE627}" name="TE_Eaj" dataDxfId="510"/>
    <tableColumn id="16" xr3:uid="{741DB7C3-34BF-4661-A096-DBE95022BEB4}" name="UC" dataDxfId="509"/>
    <tableColumn id="17" xr3:uid="{E05DBC7A-C48E-497C-8CA6-9972A87038DD}" name="OPÇÃO" dataDxfId="508"/>
    <tableColumn id="18" xr3:uid="{56BC3D1A-DEE2-4881-94ED-A5752E41EF74}" name="CóD. AUX." dataDxfId="507"/>
    <tableColumn id="19" xr3:uid="{584BD211-EE1F-4B51-B6AD-E742CF0783EC}" name="CóD. AUX. TUSD R$/kW" dataDxfId="506"/>
    <tableColumn id="20" xr3:uid="{91ED5812-E2E4-4660-9521-B86597099581}" name="CóD. AUX. TUSD R$/MWh" dataDxfId="505"/>
    <tableColumn id="21" xr3:uid="{B270A138-A8CE-4EFF-BD05-1761EF68AC26}" name="CóD. AUX. TE R$/MWh" dataDxfId="504"/>
    <tableColumn id="22" xr3:uid="{7F692D28-BF6C-432F-8F8E-DD43180ACA38}" name="TUSD (R$/kW)" dataDxfId="503"/>
    <tableColumn id="23" xr3:uid="{61B2F860-6013-4280-9A70-420CD14610B4}" name="TUSD (R$/MWh)" dataDxfId="502"/>
    <tableColumn id="24" xr3:uid="{C4CDFCC0-7261-400E-9487-CB3B143EA219}" name="TE (R$/MWh)" dataDxfId="501"/>
    <tableColumn id="25" xr3:uid="{93F5B9B0-6F20-47C7-B7F9-F9087BFD86EC}" name="TUSD (R$/kW) NOVA" dataDxfId="500"/>
    <tableColumn id="26" xr3:uid="{8FF47561-0DCA-4DF2-9E06-7C084F5FCC28}" name="TUSD (R$/MWh) NOVA" dataDxfId="499">
      <calculatedColumnFormula>('TUSD BE'!$AM$50+'TUSD BF'!$AM$50+'TUSD CVA'!$AM$50)*1</calculatedColumnFormula>
    </tableColumn>
    <tableColumn id="27" xr3:uid="{E5382E05-043E-4C2E-867A-C16B1ECFFC37}" name="TE (R$/MWh) NOVA" dataDxfId="498">
      <calculatedColumnFormula>('TE BE'!$AB$40+'TE BF'!$AB$40+'TE CVA'!$AB$40)*1</calculatedColumnFormula>
    </tableColumn>
    <tableColumn id="28" xr3:uid="{38DD04CE-EE91-4045-84BC-866E92D536E0}" name="RA0 ou RV - TUSD (kW)" dataDxfId="497"/>
    <tableColumn id="29" xr3:uid="{C0F030BD-6C8A-4967-A1AA-EECE9AFECBBA}" name="RA0 ou RV - TUSD (MWh)" dataDxfId="496"/>
    <tableColumn id="30" xr3:uid="{F8ED0AE0-2811-4DA7-96E3-06A033DED7B8}" name="RA0 ou RV - TE (MWh)" dataDxfId="495"/>
    <tableColumn id="31" xr3:uid="{F93110CC-1DC4-4600-82BA-AABBA1C4E391}" name="RA1 ou RRD - TUSD (kW)" dataDxfId="494"/>
    <tableColumn id="32" xr3:uid="{FFF2AACE-D421-4B56-AEF4-88BF326B3B4E}" name="RA1 ou RRD - TUSD (MWh)" dataDxfId="493"/>
    <tableColumn id="33" xr3:uid="{6E1FAB4E-049C-40AD-B66B-F606604B9525}" name="RA1 ou RRD - TE (MWh)" dataDxfId="49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71FF83-F2B8-414D-846E-52EB4E253322}" name="Subsidio" displayName="Subsidio" ref="A1:AF337" totalsRowShown="0" headerRowDxfId="491" dataDxfId="490">
  <autoFilter ref="A1:AF337" xr:uid="{D671FF83-F2B8-414D-846E-52EB4E253322}"/>
  <tableColumns count="32">
    <tableColumn id="1" xr3:uid="{E48C4885-C240-4EE9-9655-42D322D69CB5}" name="TipoMercado" dataDxfId="489"/>
    <tableColumn id="2" xr3:uid="{C4B03641-B723-4BF4-AB04-D13F49EFD586}" name="Subgrupo" dataDxfId="488"/>
    <tableColumn id="3" xr3:uid="{ECE6C3C8-94F2-405D-A194-D14B8499CB69}" name="Modalidade" dataDxfId="487"/>
    <tableColumn id="4" xr3:uid="{31433B75-71CC-4381-A1C3-F23153A3C7EE}" name="Classe" dataDxfId="486"/>
    <tableColumn id="5" xr3:uid="{CC9C9659-7004-47C0-876C-C2B5F4DB04FA}" name="Subclasse" dataDxfId="485"/>
    <tableColumn id="6" xr3:uid="{69DD22AE-9BC3-4E02-9324-CE87D2F0B5D8}" name="Detalhe" dataDxfId="484"/>
    <tableColumn id="7" xr3:uid="{0C2AE0F4-6D1E-489D-8112-AD794D874398}" name="Agente" dataDxfId="483"/>
    <tableColumn id="8" xr3:uid="{2E09150E-2A4D-4007-A062-3C215A3057F8}" name="Posto" dataDxfId="482"/>
    <tableColumn id="9" xr3:uid="{14476CB0-C34F-43EB-A424-F3B6D8440355}" name="AnoMes" dataDxfId="481"/>
    <tableColumn id="10" xr3:uid="{07FDE921-C7C9-482F-B488-2620381E8BCB}" name="D" dataDxfId="480"/>
    <tableColumn id="11" xr3:uid="{10DBCC21-AEBA-4614-8BC1-E75D5282C151}" name="Daj" dataDxfId="479"/>
    <tableColumn id="12" xr3:uid="{30F9EBB6-82C8-484E-BFEB-4F35C8BC30B8}" name="TUSD_E" dataDxfId="478"/>
    <tableColumn id="13" xr3:uid="{A8085CF9-9FC9-4977-B28A-62F55ECE8CC6}" name="TUSD_Eaj" dataDxfId="477"/>
    <tableColumn id="14" xr3:uid="{A7B24DCB-44F1-4EAC-A317-86FD4EB58A69}" name="TE_E" dataDxfId="476"/>
    <tableColumn id="15" xr3:uid="{4D2B8AAF-7CB3-4D33-B9CC-BDB4E97AB573}" name="TE_Eaj" dataDxfId="475"/>
    <tableColumn id="16" xr3:uid="{2AD69E48-215C-40FF-9E38-1BA6EB6159B6}" name="UC" dataDxfId="474"/>
    <tableColumn id="17" xr3:uid="{532AF842-6C8E-4606-8E82-38FA6A191BDE}" name="OPÇÃO" dataDxfId="473"/>
    <tableColumn id="18" xr3:uid="{9E79B076-45F5-4F17-B2DA-FC6522837D80}" name="CóD. AUX." dataDxfId="472"/>
    <tableColumn id="19" xr3:uid="{8A047D55-F71C-47D3-84D9-BDABF92568C0}" name="CóD. AUX. TUSD R$/kW" dataDxfId="471"/>
    <tableColumn id="20" xr3:uid="{6585BABF-677F-4A74-819A-96C9CE64B926}" name="CóD. AUX. TUSD R$/MWh" dataDxfId="470"/>
    <tableColumn id="21" xr3:uid="{93DF271F-E99A-43B6-8088-E9084DF38201}" name="CóD. AUX. TE R$/MWh" dataDxfId="469"/>
    <tableColumn id="22" xr3:uid="{33C36777-AD7F-4C84-AFFF-CE83EDD3ECFF}" name="TUSD (R$/kW)" dataDxfId="468"/>
    <tableColumn id="23" xr3:uid="{1552234F-AC20-46D1-8832-E343A3377AC0}" name="TUSD (R$/MWh)" dataDxfId="467"/>
    <tableColumn id="24" xr3:uid="{64CE5226-AE77-49FF-95EA-D84D9124DBDF}" name="TE (R$/MWh)" dataDxfId="466"/>
    <tableColumn id="25" xr3:uid="{42BE917C-C8B0-4E0B-A5EA-361DBF5E8AFA}" name="TUSD (R$/kW) NOVA" dataDxfId="465"/>
    <tableColumn id="26" xr3:uid="{E1D340E3-D3A8-4942-A752-1398B2A6E296}" name="TUSD (R$/MWh) NOVA" dataDxfId="464">
      <calculatedColumnFormula>('TUSD BE'!$AM$48+'TUSD BF'!$AM$48+'TUSD CVA'!$AM$48)*1</calculatedColumnFormula>
    </tableColumn>
    <tableColumn id="27" xr3:uid="{D0EF55C0-6174-4F57-BD37-67378627C201}" name="TE (R$/MWh) NOVA" dataDxfId="463">
      <calculatedColumnFormula>('TE BE'!$AB$38+'TE BF'!$AB$38+'TE CVA'!$AB$38)*1</calculatedColumnFormula>
    </tableColumn>
    <tableColumn id="28" xr3:uid="{2EA837A9-F66F-4AF9-A3C7-9FEE4F54AEFD}" name="SUBSIDIO kW - TV" dataDxfId="462">
      <calculatedColumnFormula>(J2-K2)*V2</calculatedColumnFormula>
    </tableColumn>
    <tableColumn id="29" xr3:uid="{CB159701-3441-4288-8D5B-00120B76D155}" name="SUBSIDIO MWh - TV" dataDxfId="461">
      <calculatedColumnFormula>(L2-M2)*W2+(N2-O2)*X2</calculatedColumnFormula>
    </tableColumn>
    <tableColumn id="30" xr3:uid="{5366F403-9097-4C4A-B393-4F0827D812AF}" name="SUBSIDIO kW - TN" dataDxfId="460">
      <calculatedColumnFormula>(J2-K2)*Y2</calculatedColumnFormula>
    </tableColumn>
    <tableColumn id="31" xr3:uid="{55C6AE7E-9A17-4624-87D2-2373CBDA805F}" name="SUBSIDIO MWh - TN" dataDxfId="459">
      <calculatedColumnFormula>(L2-M2)*Z2+(N2-O2)*AA2</calculatedColumnFormula>
    </tableColumn>
    <tableColumn id="32" xr3:uid="{04521F82-D1DD-489A-ACCA-28F72B967964}" name="TIPO" dataDxfId="45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0697-A4B1-4BB0-8E9A-47E6617EDA18}">
  <sheetPr codeName="Planilha1"/>
  <dimension ref="A1:W553"/>
  <sheetViews>
    <sheetView showGridLines="0" topLeftCell="H533" workbookViewId="0">
      <selection activeCell="T554" sqref="T554"/>
    </sheetView>
  </sheetViews>
  <sheetFormatPr defaultRowHeight="11.25" customHeight="1" x14ac:dyDescent="0.25"/>
  <cols>
    <col min="1" max="1" width="19.140625" style="4" bestFit="1" customWidth="1"/>
    <col min="2" max="2" width="8.7109375" style="4" bestFit="1" customWidth="1"/>
    <col min="3" max="3" width="10.28515625" style="4" bestFit="1" customWidth="1"/>
    <col min="4" max="4" width="13.5703125" style="4" bestFit="1" customWidth="1"/>
    <col min="5" max="5" width="25.140625" style="4" bestFit="1" customWidth="1"/>
    <col min="6" max="6" width="12.85546875" style="4" bestFit="1" customWidth="1"/>
    <col min="7" max="7" width="13.7109375" style="4" bestFit="1" customWidth="1"/>
    <col min="8" max="8" width="10.28515625" style="4" bestFit="1" customWidth="1"/>
    <col min="9" max="9" width="8.7109375" style="5" bestFit="1" customWidth="1"/>
    <col min="10" max="11" width="7.85546875" style="6" bestFit="1" customWidth="1"/>
    <col min="12" max="12" width="7" style="6" bestFit="1" customWidth="1"/>
    <col min="13" max="13" width="8" style="6" bestFit="1" customWidth="1"/>
    <col min="14" max="16" width="7" style="6" bestFit="1" customWidth="1"/>
    <col min="17" max="17" width="8.42578125" style="4" bestFit="1" customWidth="1"/>
    <col min="18" max="18" width="8.5703125" style="4" bestFit="1" customWidth="1"/>
    <col min="19" max="19" width="78.140625" style="4" bestFit="1" customWidth="1"/>
    <col min="20" max="20" width="83.85546875" style="4" bestFit="1" customWidth="1"/>
    <col min="21" max="21" width="18.42578125" style="4" bestFit="1" customWidth="1"/>
    <col min="22" max="22" width="19.85546875" style="4" bestFit="1" customWidth="1"/>
    <col min="23" max="23" width="17.7109375" style="4" bestFit="1" customWidth="1"/>
    <col min="24" max="16384" width="9.140625" style="4"/>
  </cols>
  <sheetData>
    <row r="1" spans="1:23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91</v>
      </c>
      <c r="T1" s="1" t="s">
        <v>260</v>
      </c>
      <c r="U1" s="1" t="s">
        <v>18</v>
      </c>
      <c r="V1" s="1" t="s">
        <v>19</v>
      </c>
      <c r="W1" s="1" t="s">
        <v>20</v>
      </c>
    </row>
    <row r="2" spans="1:23" ht="11.25" customHeight="1" x14ac:dyDescent="0.25">
      <c r="A2" s="4" t="s">
        <v>21</v>
      </c>
      <c r="B2" s="4" t="s">
        <v>35</v>
      </c>
      <c r="C2" s="4" t="s">
        <v>48</v>
      </c>
      <c r="D2" s="4" t="s">
        <v>46</v>
      </c>
      <c r="E2" s="4" t="s">
        <v>47</v>
      </c>
      <c r="F2" s="4" t="s">
        <v>25</v>
      </c>
      <c r="G2" s="4" t="s">
        <v>25</v>
      </c>
      <c r="H2" s="4" t="s">
        <v>38</v>
      </c>
      <c r="I2" s="5">
        <v>44440</v>
      </c>
      <c r="J2" s="6">
        <v>497</v>
      </c>
      <c r="K2" s="6">
        <v>467.18</v>
      </c>
      <c r="L2" s="6">
        <v>245.80799999999999</v>
      </c>
      <c r="M2" s="6">
        <v>231.05951999999999</v>
      </c>
      <c r="N2" s="6">
        <v>245.80799999999999</v>
      </c>
      <c r="O2" s="6">
        <v>231.05951999999999</v>
      </c>
      <c r="P2" s="6">
        <v>0</v>
      </c>
      <c r="Q2" s="4" t="s">
        <v>26</v>
      </c>
      <c r="R2" s="4">
        <v>0</v>
      </c>
      <c r="S2" s="4" t="s">
        <v>92</v>
      </c>
      <c r="T2" s="4" t="s">
        <v>261</v>
      </c>
      <c r="U2" s="4">
        <v>12</v>
      </c>
      <c r="V2" s="4">
        <v>1</v>
      </c>
      <c r="W2" s="4">
        <v>51</v>
      </c>
    </row>
    <row r="3" spans="1:23" ht="11.25" customHeight="1" x14ac:dyDescent="0.25">
      <c r="A3" s="4" t="s">
        <v>21</v>
      </c>
      <c r="B3" s="4" t="s">
        <v>35</v>
      </c>
      <c r="C3" s="4" t="s">
        <v>48</v>
      </c>
      <c r="D3" s="4" t="s">
        <v>46</v>
      </c>
      <c r="E3" s="4" t="s">
        <v>47</v>
      </c>
      <c r="F3" s="4" t="s">
        <v>25</v>
      </c>
      <c r="G3" s="4" t="s">
        <v>25</v>
      </c>
      <c r="H3" s="4" t="s">
        <v>38</v>
      </c>
      <c r="I3" s="5">
        <v>44470</v>
      </c>
      <c r="J3" s="6">
        <v>503</v>
      </c>
      <c r="K3" s="6">
        <v>472.82</v>
      </c>
      <c r="L3" s="6">
        <v>232.422</v>
      </c>
      <c r="M3" s="6">
        <v>218.47667999999999</v>
      </c>
      <c r="N3" s="6">
        <v>232.422</v>
      </c>
      <c r="O3" s="6">
        <v>218.47667999999999</v>
      </c>
      <c r="P3" s="6">
        <v>0</v>
      </c>
      <c r="Q3" s="4" t="s">
        <v>26</v>
      </c>
      <c r="R3" s="4">
        <v>0</v>
      </c>
      <c r="S3" s="4" t="s">
        <v>93</v>
      </c>
      <c r="T3" s="4" t="s">
        <v>262</v>
      </c>
      <c r="U3" s="4">
        <v>12</v>
      </c>
      <c r="V3" s="4">
        <v>1</v>
      </c>
      <c r="W3" s="4">
        <v>51</v>
      </c>
    </row>
    <row r="4" spans="1:23" ht="11.25" customHeight="1" x14ac:dyDescent="0.25">
      <c r="A4" s="4" t="s">
        <v>21</v>
      </c>
      <c r="B4" s="4" t="s">
        <v>35</v>
      </c>
      <c r="C4" s="4" t="s">
        <v>48</v>
      </c>
      <c r="D4" s="4" t="s">
        <v>46</v>
      </c>
      <c r="E4" s="4" t="s">
        <v>47</v>
      </c>
      <c r="F4" s="4" t="s">
        <v>25</v>
      </c>
      <c r="G4" s="4" t="s">
        <v>25</v>
      </c>
      <c r="H4" s="4" t="s">
        <v>38</v>
      </c>
      <c r="I4" s="5">
        <v>44501</v>
      </c>
      <c r="J4" s="6">
        <v>485</v>
      </c>
      <c r="K4" s="6">
        <v>455.9</v>
      </c>
      <c r="L4" s="6">
        <v>199.46799999999999</v>
      </c>
      <c r="M4" s="6">
        <v>187.49992</v>
      </c>
      <c r="N4" s="6">
        <v>199.46799999999999</v>
      </c>
      <c r="O4" s="6">
        <v>187.49992</v>
      </c>
      <c r="P4" s="6">
        <v>0</v>
      </c>
      <c r="Q4" s="4" t="s">
        <v>26</v>
      </c>
      <c r="R4" s="4">
        <v>0</v>
      </c>
      <c r="S4" s="4" t="s">
        <v>94</v>
      </c>
      <c r="T4" s="4" t="s">
        <v>263</v>
      </c>
      <c r="U4" s="4">
        <v>12</v>
      </c>
      <c r="V4" s="4">
        <v>1</v>
      </c>
      <c r="W4" s="4">
        <v>51</v>
      </c>
    </row>
    <row r="5" spans="1:23" ht="11.25" customHeight="1" x14ac:dyDescent="0.25">
      <c r="A5" s="4" t="s">
        <v>21</v>
      </c>
      <c r="B5" s="4" t="s">
        <v>35</v>
      </c>
      <c r="C5" s="4" t="s">
        <v>48</v>
      </c>
      <c r="D5" s="4" t="s">
        <v>46</v>
      </c>
      <c r="E5" s="4" t="s">
        <v>47</v>
      </c>
      <c r="F5" s="4" t="s">
        <v>25</v>
      </c>
      <c r="G5" s="4" t="s">
        <v>25</v>
      </c>
      <c r="H5" s="4" t="s">
        <v>38</v>
      </c>
      <c r="I5" s="5">
        <v>44531</v>
      </c>
      <c r="J5" s="6">
        <v>473</v>
      </c>
      <c r="K5" s="6">
        <v>444.62</v>
      </c>
      <c r="L5" s="6">
        <v>209.739</v>
      </c>
      <c r="M5" s="6">
        <v>197.15466000000001</v>
      </c>
      <c r="N5" s="6">
        <v>209.739</v>
      </c>
      <c r="O5" s="6">
        <v>197.15466000000001</v>
      </c>
      <c r="P5" s="6">
        <v>0</v>
      </c>
      <c r="Q5" s="4" t="s">
        <v>26</v>
      </c>
      <c r="R5" s="4">
        <v>0</v>
      </c>
      <c r="S5" s="4" t="s">
        <v>95</v>
      </c>
      <c r="T5" s="4" t="s">
        <v>264</v>
      </c>
      <c r="U5" s="4">
        <v>12</v>
      </c>
      <c r="V5" s="4">
        <v>1</v>
      </c>
      <c r="W5" s="4">
        <v>51</v>
      </c>
    </row>
    <row r="6" spans="1:23" ht="11.25" customHeight="1" x14ac:dyDescent="0.25">
      <c r="A6" s="4" t="s">
        <v>21</v>
      </c>
      <c r="B6" s="4" t="s">
        <v>35</v>
      </c>
      <c r="C6" s="4" t="s">
        <v>48</v>
      </c>
      <c r="D6" s="4" t="s">
        <v>46</v>
      </c>
      <c r="E6" s="4" t="s">
        <v>47</v>
      </c>
      <c r="F6" s="4" t="s">
        <v>25</v>
      </c>
      <c r="G6" s="4" t="s">
        <v>25</v>
      </c>
      <c r="H6" s="4" t="s">
        <v>38</v>
      </c>
      <c r="I6" s="5">
        <v>44562</v>
      </c>
      <c r="J6" s="6">
        <v>476</v>
      </c>
      <c r="K6" s="6">
        <v>447.44</v>
      </c>
      <c r="L6" s="6">
        <v>186.745</v>
      </c>
      <c r="M6" s="6">
        <v>175.5403</v>
      </c>
      <c r="N6" s="6">
        <v>186.745</v>
      </c>
      <c r="O6" s="6">
        <v>175.5403</v>
      </c>
      <c r="P6" s="6">
        <v>0</v>
      </c>
      <c r="Q6" s="4" t="s">
        <v>26</v>
      </c>
      <c r="R6" s="4">
        <v>0</v>
      </c>
      <c r="S6" s="4" t="s">
        <v>96</v>
      </c>
      <c r="T6" s="4" t="s">
        <v>265</v>
      </c>
      <c r="U6" s="4">
        <v>12</v>
      </c>
      <c r="V6" s="4">
        <v>1</v>
      </c>
      <c r="W6" s="4">
        <v>51</v>
      </c>
    </row>
    <row r="7" spans="1:23" ht="11.25" customHeight="1" x14ac:dyDescent="0.25">
      <c r="A7" s="4" t="s">
        <v>21</v>
      </c>
      <c r="B7" s="4" t="s">
        <v>35</v>
      </c>
      <c r="C7" s="4" t="s">
        <v>48</v>
      </c>
      <c r="D7" s="4" t="s">
        <v>46</v>
      </c>
      <c r="E7" s="4" t="s">
        <v>47</v>
      </c>
      <c r="F7" s="4" t="s">
        <v>25</v>
      </c>
      <c r="G7" s="4" t="s">
        <v>25</v>
      </c>
      <c r="H7" s="4" t="s">
        <v>38</v>
      </c>
      <c r="I7" s="5">
        <v>44593</v>
      </c>
      <c r="J7" s="6">
        <v>473</v>
      </c>
      <c r="K7" s="6">
        <v>444.62</v>
      </c>
      <c r="L7" s="6">
        <v>175.04400000000001</v>
      </c>
      <c r="M7" s="6">
        <v>164.54136</v>
      </c>
      <c r="N7" s="6">
        <v>175.04400000000001</v>
      </c>
      <c r="O7" s="6">
        <v>164.54136</v>
      </c>
      <c r="P7" s="6">
        <v>0</v>
      </c>
      <c r="Q7" s="4" t="s">
        <v>26</v>
      </c>
      <c r="R7" s="4">
        <v>0</v>
      </c>
      <c r="S7" s="4" t="s">
        <v>97</v>
      </c>
      <c r="T7" s="4" t="s">
        <v>266</v>
      </c>
      <c r="U7" s="4">
        <v>12</v>
      </c>
      <c r="V7" s="4">
        <v>1</v>
      </c>
      <c r="W7" s="4">
        <v>51</v>
      </c>
    </row>
    <row r="8" spans="1:23" ht="11.25" customHeight="1" x14ac:dyDescent="0.25">
      <c r="A8" s="4" t="s">
        <v>21</v>
      </c>
      <c r="B8" s="4" t="s">
        <v>35</v>
      </c>
      <c r="C8" s="4" t="s">
        <v>48</v>
      </c>
      <c r="D8" s="4" t="s">
        <v>46</v>
      </c>
      <c r="E8" s="4" t="s">
        <v>47</v>
      </c>
      <c r="F8" s="4" t="s">
        <v>25</v>
      </c>
      <c r="G8" s="4" t="s">
        <v>25</v>
      </c>
      <c r="H8" s="4" t="s">
        <v>38</v>
      </c>
      <c r="I8" s="5">
        <v>44621</v>
      </c>
      <c r="J8" s="6">
        <v>476</v>
      </c>
      <c r="K8" s="6">
        <v>447.44</v>
      </c>
      <c r="L8" s="6">
        <v>190.74100000000001</v>
      </c>
      <c r="M8" s="6">
        <v>179.29653999999999</v>
      </c>
      <c r="N8" s="6">
        <v>190.74100000000001</v>
      </c>
      <c r="O8" s="6">
        <v>179.29653999999999</v>
      </c>
      <c r="P8" s="6">
        <v>0</v>
      </c>
      <c r="Q8" s="4" t="s">
        <v>26</v>
      </c>
      <c r="R8" s="4">
        <v>0</v>
      </c>
      <c r="S8" s="4" t="s">
        <v>98</v>
      </c>
      <c r="T8" s="4" t="s">
        <v>267</v>
      </c>
      <c r="U8" s="4">
        <v>12</v>
      </c>
      <c r="V8" s="4">
        <v>1</v>
      </c>
      <c r="W8" s="4">
        <v>51</v>
      </c>
    </row>
    <row r="9" spans="1:23" ht="11.25" customHeight="1" x14ac:dyDescent="0.25">
      <c r="A9" s="4" t="s">
        <v>21</v>
      </c>
      <c r="B9" s="4" t="s">
        <v>35</v>
      </c>
      <c r="C9" s="4" t="s">
        <v>48</v>
      </c>
      <c r="D9" s="4" t="s">
        <v>46</v>
      </c>
      <c r="E9" s="4" t="s">
        <v>47</v>
      </c>
      <c r="F9" s="4" t="s">
        <v>25</v>
      </c>
      <c r="G9" s="4" t="s">
        <v>25</v>
      </c>
      <c r="H9" s="4" t="s">
        <v>38</v>
      </c>
      <c r="I9" s="5">
        <v>44652</v>
      </c>
      <c r="J9" s="6">
        <v>482</v>
      </c>
      <c r="K9" s="6">
        <v>453.08</v>
      </c>
      <c r="L9" s="6">
        <v>194.71899999999999</v>
      </c>
      <c r="M9" s="6">
        <v>183.03586000000001</v>
      </c>
      <c r="N9" s="6">
        <v>194.71899999999999</v>
      </c>
      <c r="O9" s="6">
        <v>183.03586000000001</v>
      </c>
      <c r="P9" s="6">
        <v>0</v>
      </c>
      <c r="Q9" s="4" t="s">
        <v>26</v>
      </c>
      <c r="R9" s="4">
        <v>0</v>
      </c>
      <c r="S9" s="4" t="s">
        <v>99</v>
      </c>
      <c r="T9" s="4" t="s">
        <v>268</v>
      </c>
      <c r="U9" s="4">
        <v>12</v>
      </c>
      <c r="V9" s="4">
        <v>1</v>
      </c>
      <c r="W9" s="4">
        <v>51</v>
      </c>
    </row>
    <row r="10" spans="1:23" ht="11.25" customHeight="1" x14ac:dyDescent="0.25">
      <c r="A10" s="4" t="s">
        <v>21</v>
      </c>
      <c r="B10" s="4" t="s">
        <v>35</v>
      </c>
      <c r="C10" s="4" t="s">
        <v>48</v>
      </c>
      <c r="D10" s="4" t="s">
        <v>46</v>
      </c>
      <c r="E10" s="4" t="s">
        <v>47</v>
      </c>
      <c r="F10" s="4" t="s">
        <v>25</v>
      </c>
      <c r="G10" s="4" t="s">
        <v>25</v>
      </c>
      <c r="H10" s="4" t="s">
        <v>38</v>
      </c>
      <c r="I10" s="5">
        <v>44682</v>
      </c>
      <c r="J10" s="6">
        <v>485</v>
      </c>
      <c r="K10" s="6">
        <v>455.9</v>
      </c>
      <c r="L10" s="6">
        <v>242.363</v>
      </c>
      <c r="M10" s="6">
        <v>227.82122000000001</v>
      </c>
      <c r="N10" s="6">
        <v>242.363</v>
      </c>
      <c r="O10" s="6">
        <v>227.82122000000001</v>
      </c>
      <c r="P10" s="6">
        <v>0</v>
      </c>
      <c r="Q10" s="4" t="s">
        <v>26</v>
      </c>
      <c r="R10" s="4">
        <v>0</v>
      </c>
      <c r="S10" s="4" t="s">
        <v>100</v>
      </c>
      <c r="T10" s="4" t="s">
        <v>269</v>
      </c>
      <c r="U10" s="4">
        <v>12</v>
      </c>
      <c r="V10" s="4">
        <v>1</v>
      </c>
      <c r="W10" s="4">
        <v>51</v>
      </c>
    </row>
    <row r="11" spans="1:23" ht="11.25" customHeight="1" x14ac:dyDescent="0.25">
      <c r="A11" s="4" t="s">
        <v>21</v>
      </c>
      <c r="B11" s="4" t="s">
        <v>35</v>
      </c>
      <c r="C11" s="4" t="s">
        <v>48</v>
      </c>
      <c r="D11" s="4" t="s">
        <v>46</v>
      </c>
      <c r="E11" s="4" t="s">
        <v>47</v>
      </c>
      <c r="F11" s="4" t="s">
        <v>25</v>
      </c>
      <c r="G11" s="4" t="s">
        <v>25</v>
      </c>
      <c r="H11" s="4" t="s">
        <v>38</v>
      </c>
      <c r="I11" s="5">
        <v>44713</v>
      </c>
      <c r="J11" s="6">
        <v>487</v>
      </c>
      <c r="K11" s="6">
        <v>457.78</v>
      </c>
      <c r="L11" s="6">
        <v>249.66399999999999</v>
      </c>
      <c r="M11" s="6">
        <v>234.68415999999999</v>
      </c>
      <c r="N11" s="6">
        <v>249.66399999999999</v>
      </c>
      <c r="O11" s="6">
        <v>234.68415999999999</v>
      </c>
      <c r="P11" s="6">
        <v>0</v>
      </c>
      <c r="Q11" s="4" t="s">
        <v>26</v>
      </c>
      <c r="R11" s="4">
        <v>0</v>
      </c>
      <c r="S11" s="4" t="s">
        <v>101</v>
      </c>
      <c r="T11" s="4" t="s">
        <v>270</v>
      </c>
      <c r="U11" s="4">
        <v>12</v>
      </c>
      <c r="V11" s="4">
        <v>1</v>
      </c>
      <c r="W11" s="4">
        <v>51</v>
      </c>
    </row>
    <row r="12" spans="1:23" ht="11.25" customHeight="1" x14ac:dyDescent="0.25">
      <c r="A12" s="4" t="s">
        <v>21</v>
      </c>
      <c r="B12" s="4" t="s">
        <v>35</v>
      </c>
      <c r="C12" s="4" t="s">
        <v>48</v>
      </c>
      <c r="D12" s="4" t="s">
        <v>46</v>
      </c>
      <c r="E12" s="4" t="s">
        <v>47</v>
      </c>
      <c r="F12" s="4" t="s">
        <v>25</v>
      </c>
      <c r="G12" s="4" t="s">
        <v>25</v>
      </c>
      <c r="H12" s="4" t="s">
        <v>38</v>
      </c>
      <c r="I12" s="5">
        <v>44743</v>
      </c>
      <c r="J12" s="6">
        <v>483</v>
      </c>
      <c r="K12" s="6">
        <v>454.02</v>
      </c>
      <c r="L12" s="6">
        <v>241.64599999999999</v>
      </c>
      <c r="M12" s="6">
        <v>227.14724000000001</v>
      </c>
      <c r="N12" s="6">
        <v>241.64599999999999</v>
      </c>
      <c r="O12" s="6">
        <v>227.14724000000001</v>
      </c>
      <c r="P12" s="6">
        <v>0</v>
      </c>
      <c r="Q12" s="4" t="s">
        <v>26</v>
      </c>
      <c r="R12" s="4">
        <v>0</v>
      </c>
      <c r="S12" s="4" t="s">
        <v>102</v>
      </c>
      <c r="T12" s="4" t="s">
        <v>271</v>
      </c>
      <c r="U12" s="4">
        <v>12</v>
      </c>
      <c r="V12" s="4">
        <v>1</v>
      </c>
      <c r="W12" s="4">
        <v>51</v>
      </c>
    </row>
    <row r="13" spans="1:23" ht="11.25" customHeight="1" x14ac:dyDescent="0.25">
      <c r="A13" s="4" t="s">
        <v>21</v>
      </c>
      <c r="B13" s="4" t="s">
        <v>35</v>
      </c>
      <c r="C13" s="4" t="s">
        <v>48</v>
      </c>
      <c r="D13" s="4" t="s">
        <v>46</v>
      </c>
      <c r="E13" s="4" t="s">
        <v>47</v>
      </c>
      <c r="F13" s="4" t="s">
        <v>25</v>
      </c>
      <c r="G13" s="4" t="s">
        <v>25</v>
      </c>
      <c r="H13" s="4" t="s">
        <v>38</v>
      </c>
      <c r="I13" s="5">
        <v>44774</v>
      </c>
      <c r="J13" s="6">
        <v>490</v>
      </c>
      <c r="K13" s="6">
        <v>460.6</v>
      </c>
      <c r="L13" s="6">
        <v>204.32599999999999</v>
      </c>
      <c r="M13" s="6">
        <v>192.06644</v>
      </c>
      <c r="N13" s="6">
        <v>204.32599999999999</v>
      </c>
      <c r="O13" s="6">
        <v>192.06644</v>
      </c>
      <c r="P13" s="6">
        <v>0</v>
      </c>
      <c r="Q13" s="4" t="s">
        <v>26</v>
      </c>
      <c r="R13" s="4">
        <v>0</v>
      </c>
      <c r="S13" s="4" t="s">
        <v>103</v>
      </c>
      <c r="T13" s="4" t="s">
        <v>272</v>
      </c>
      <c r="U13" s="4">
        <v>12</v>
      </c>
      <c r="V13" s="4">
        <v>1</v>
      </c>
      <c r="W13" s="4">
        <v>51</v>
      </c>
    </row>
    <row r="14" spans="1:23" ht="11.25" customHeight="1" x14ac:dyDescent="0.25">
      <c r="A14" s="4" t="s">
        <v>21</v>
      </c>
      <c r="B14" s="4" t="s">
        <v>35</v>
      </c>
      <c r="C14" s="4" t="s">
        <v>48</v>
      </c>
      <c r="D14" s="4" t="s">
        <v>46</v>
      </c>
      <c r="E14" s="4" t="s">
        <v>47</v>
      </c>
      <c r="F14" s="4" t="s">
        <v>25</v>
      </c>
      <c r="G14" s="4" t="s">
        <v>25</v>
      </c>
      <c r="H14" s="4" t="s">
        <v>37</v>
      </c>
      <c r="I14" s="5">
        <v>44440</v>
      </c>
      <c r="J14" s="6">
        <v>492</v>
      </c>
      <c r="K14" s="6">
        <v>462.48</v>
      </c>
      <c r="L14" s="6">
        <v>24.686</v>
      </c>
      <c r="M14" s="6">
        <v>23.204840000000001</v>
      </c>
      <c r="N14" s="6">
        <v>24.686</v>
      </c>
      <c r="O14" s="6">
        <v>23.204840000000001</v>
      </c>
      <c r="P14" s="6">
        <v>0</v>
      </c>
      <c r="Q14" s="4" t="s">
        <v>26</v>
      </c>
      <c r="R14" s="4">
        <v>0</v>
      </c>
      <c r="S14" s="4" t="s">
        <v>104</v>
      </c>
      <c r="T14" s="4" t="s">
        <v>273</v>
      </c>
      <c r="U14" s="4">
        <v>10</v>
      </c>
      <c r="V14" s="4">
        <v>1</v>
      </c>
      <c r="W14" s="4">
        <v>44</v>
      </c>
    </row>
    <row r="15" spans="1:23" ht="11.25" customHeight="1" x14ac:dyDescent="0.25">
      <c r="A15" s="4" t="s">
        <v>21</v>
      </c>
      <c r="B15" s="4" t="s">
        <v>35</v>
      </c>
      <c r="C15" s="4" t="s">
        <v>48</v>
      </c>
      <c r="D15" s="4" t="s">
        <v>46</v>
      </c>
      <c r="E15" s="4" t="s">
        <v>47</v>
      </c>
      <c r="F15" s="4" t="s">
        <v>25</v>
      </c>
      <c r="G15" s="4" t="s">
        <v>25</v>
      </c>
      <c r="H15" s="4" t="s">
        <v>37</v>
      </c>
      <c r="I15" s="5">
        <v>44470</v>
      </c>
      <c r="J15" s="6">
        <v>503</v>
      </c>
      <c r="K15" s="6">
        <v>472.82</v>
      </c>
      <c r="L15" s="6">
        <v>22.405000000000001</v>
      </c>
      <c r="M15" s="6">
        <v>21.060700000000001</v>
      </c>
      <c r="N15" s="6">
        <v>22.405000000000001</v>
      </c>
      <c r="O15" s="6">
        <v>21.060700000000001</v>
      </c>
      <c r="P15" s="6">
        <v>0</v>
      </c>
      <c r="Q15" s="4" t="s">
        <v>26</v>
      </c>
      <c r="R15" s="4">
        <v>0</v>
      </c>
      <c r="S15" s="4" t="s">
        <v>105</v>
      </c>
      <c r="T15" s="4" t="s">
        <v>274</v>
      </c>
      <c r="U15" s="4">
        <v>10</v>
      </c>
      <c r="V15" s="4">
        <v>1</v>
      </c>
      <c r="W15" s="4">
        <v>44</v>
      </c>
    </row>
    <row r="16" spans="1:23" ht="11.25" customHeight="1" x14ac:dyDescent="0.25">
      <c r="A16" s="4" t="s">
        <v>21</v>
      </c>
      <c r="B16" s="4" t="s">
        <v>35</v>
      </c>
      <c r="C16" s="4" t="s">
        <v>48</v>
      </c>
      <c r="D16" s="4" t="s">
        <v>46</v>
      </c>
      <c r="E16" s="4" t="s">
        <v>47</v>
      </c>
      <c r="F16" s="4" t="s">
        <v>25</v>
      </c>
      <c r="G16" s="4" t="s">
        <v>25</v>
      </c>
      <c r="H16" s="4" t="s">
        <v>37</v>
      </c>
      <c r="I16" s="5">
        <v>44501</v>
      </c>
      <c r="J16" s="6">
        <v>485</v>
      </c>
      <c r="K16" s="6">
        <v>455.9</v>
      </c>
      <c r="L16" s="6">
        <v>18.599</v>
      </c>
      <c r="M16" s="6">
        <v>17.483059999999998</v>
      </c>
      <c r="N16" s="6">
        <v>18.599</v>
      </c>
      <c r="O16" s="6">
        <v>17.483059999999998</v>
      </c>
      <c r="P16" s="6">
        <v>0</v>
      </c>
      <c r="Q16" s="4" t="s">
        <v>26</v>
      </c>
      <c r="R16" s="4">
        <v>0</v>
      </c>
      <c r="S16" s="4" t="s">
        <v>106</v>
      </c>
      <c r="T16" s="4" t="s">
        <v>275</v>
      </c>
      <c r="U16" s="4">
        <v>10</v>
      </c>
      <c r="V16" s="4">
        <v>1</v>
      </c>
      <c r="W16" s="4">
        <v>44</v>
      </c>
    </row>
    <row r="17" spans="1:23" ht="11.25" customHeight="1" x14ac:dyDescent="0.25">
      <c r="A17" s="4" t="s">
        <v>21</v>
      </c>
      <c r="B17" s="4" t="s">
        <v>35</v>
      </c>
      <c r="C17" s="4" t="s">
        <v>48</v>
      </c>
      <c r="D17" s="4" t="s">
        <v>46</v>
      </c>
      <c r="E17" s="4" t="s">
        <v>47</v>
      </c>
      <c r="F17" s="4" t="s">
        <v>25</v>
      </c>
      <c r="G17" s="4" t="s">
        <v>25</v>
      </c>
      <c r="H17" s="4" t="s">
        <v>37</v>
      </c>
      <c r="I17" s="5">
        <v>44531</v>
      </c>
      <c r="J17" s="6">
        <v>473</v>
      </c>
      <c r="K17" s="6">
        <v>444.62</v>
      </c>
      <c r="L17" s="6">
        <v>21.518000000000001</v>
      </c>
      <c r="M17" s="6">
        <v>20.22692</v>
      </c>
      <c r="N17" s="6">
        <v>21.518000000000001</v>
      </c>
      <c r="O17" s="6">
        <v>20.22692</v>
      </c>
      <c r="P17" s="6">
        <v>0</v>
      </c>
      <c r="Q17" s="4" t="s">
        <v>26</v>
      </c>
      <c r="R17" s="4">
        <v>0</v>
      </c>
      <c r="S17" s="4" t="s">
        <v>107</v>
      </c>
      <c r="T17" s="4" t="s">
        <v>276</v>
      </c>
      <c r="U17" s="4">
        <v>10</v>
      </c>
      <c r="V17" s="4">
        <v>1</v>
      </c>
      <c r="W17" s="4">
        <v>44</v>
      </c>
    </row>
    <row r="18" spans="1:23" ht="11.25" customHeight="1" x14ac:dyDescent="0.25">
      <c r="A18" s="4" t="s">
        <v>21</v>
      </c>
      <c r="B18" s="4" t="s">
        <v>35</v>
      </c>
      <c r="C18" s="4" t="s">
        <v>48</v>
      </c>
      <c r="D18" s="4" t="s">
        <v>46</v>
      </c>
      <c r="E18" s="4" t="s">
        <v>47</v>
      </c>
      <c r="F18" s="4" t="s">
        <v>25</v>
      </c>
      <c r="G18" s="4" t="s">
        <v>25</v>
      </c>
      <c r="H18" s="4" t="s">
        <v>37</v>
      </c>
      <c r="I18" s="5">
        <v>44562</v>
      </c>
      <c r="J18" s="6">
        <v>473</v>
      </c>
      <c r="K18" s="6">
        <v>444.62</v>
      </c>
      <c r="L18" s="6">
        <v>17.815000000000001</v>
      </c>
      <c r="M18" s="6">
        <v>16.746099999999998</v>
      </c>
      <c r="N18" s="6">
        <v>17.815000000000001</v>
      </c>
      <c r="O18" s="6">
        <v>16.746099999999998</v>
      </c>
      <c r="P18" s="6">
        <v>0</v>
      </c>
      <c r="Q18" s="4" t="s">
        <v>26</v>
      </c>
      <c r="R18" s="4">
        <v>0</v>
      </c>
      <c r="S18" s="4" t="s">
        <v>108</v>
      </c>
      <c r="T18" s="4" t="s">
        <v>277</v>
      </c>
      <c r="U18" s="4">
        <v>10</v>
      </c>
      <c r="V18" s="4">
        <v>1</v>
      </c>
      <c r="W18" s="4">
        <v>44</v>
      </c>
    </row>
    <row r="19" spans="1:23" ht="11.25" customHeight="1" x14ac:dyDescent="0.25">
      <c r="A19" s="4" t="s">
        <v>21</v>
      </c>
      <c r="B19" s="4" t="s">
        <v>35</v>
      </c>
      <c r="C19" s="4" t="s">
        <v>48</v>
      </c>
      <c r="D19" s="4" t="s">
        <v>46</v>
      </c>
      <c r="E19" s="4" t="s">
        <v>47</v>
      </c>
      <c r="F19" s="4" t="s">
        <v>25</v>
      </c>
      <c r="G19" s="4" t="s">
        <v>25</v>
      </c>
      <c r="H19" s="4" t="s">
        <v>37</v>
      </c>
      <c r="I19" s="5">
        <v>44593</v>
      </c>
      <c r="J19" s="6">
        <v>473</v>
      </c>
      <c r="K19" s="6">
        <v>444.62</v>
      </c>
      <c r="L19" s="6">
        <v>17.861999999999998</v>
      </c>
      <c r="M19" s="6">
        <v>16.790279999999999</v>
      </c>
      <c r="N19" s="6">
        <v>17.861999999999998</v>
      </c>
      <c r="O19" s="6">
        <v>16.790279999999999</v>
      </c>
      <c r="P19" s="6">
        <v>0</v>
      </c>
      <c r="Q19" s="4" t="s">
        <v>26</v>
      </c>
      <c r="R19" s="4">
        <v>0</v>
      </c>
      <c r="S19" s="4" t="s">
        <v>109</v>
      </c>
      <c r="T19" s="4" t="s">
        <v>278</v>
      </c>
      <c r="U19" s="4">
        <v>10</v>
      </c>
      <c r="V19" s="4">
        <v>1</v>
      </c>
      <c r="W19" s="4">
        <v>44</v>
      </c>
    </row>
    <row r="20" spans="1:23" ht="11.25" customHeight="1" x14ac:dyDescent="0.25">
      <c r="A20" s="4" t="s">
        <v>21</v>
      </c>
      <c r="B20" s="4" t="s">
        <v>35</v>
      </c>
      <c r="C20" s="4" t="s">
        <v>48</v>
      </c>
      <c r="D20" s="4" t="s">
        <v>46</v>
      </c>
      <c r="E20" s="4" t="s">
        <v>47</v>
      </c>
      <c r="F20" s="4" t="s">
        <v>25</v>
      </c>
      <c r="G20" s="4" t="s">
        <v>25</v>
      </c>
      <c r="H20" s="4" t="s">
        <v>37</v>
      </c>
      <c r="I20" s="5">
        <v>44621</v>
      </c>
      <c r="J20" s="6">
        <v>473</v>
      </c>
      <c r="K20" s="6">
        <v>444.62</v>
      </c>
      <c r="L20" s="6">
        <v>18.792000000000002</v>
      </c>
      <c r="M20" s="6">
        <v>17.664480000000001</v>
      </c>
      <c r="N20" s="6">
        <v>18.792000000000002</v>
      </c>
      <c r="O20" s="6">
        <v>17.664480000000001</v>
      </c>
      <c r="P20" s="6">
        <v>0</v>
      </c>
      <c r="Q20" s="4" t="s">
        <v>26</v>
      </c>
      <c r="R20" s="4">
        <v>0</v>
      </c>
      <c r="S20" s="4" t="s">
        <v>110</v>
      </c>
      <c r="T20" s="4" t="s">
        <v>279</v>
      </c>
      <c r="U20" s="4">
        <v>10</v>
      </c>
      <c r="V20" s="4">
        <v>1</v>
      </c>
      <c r="W20" s="4">
        <v>44</v>
      </c>
    </row>
    <row r="21" spans="1:23" ht="11.25" customHeight="1" x14ac:dyDescent="0.25">
      <c r="A21" s="4" t="s">
        <v>21</v>
      </c>
      <c r="B21" s="4" t="s">
        <v>35</v>
      </c>
      <c r="C21" s="4" t="s">
        <v>48</v>
      </c>
      <c r="D21" s="4" t="s">
        <v>46</v>
      </c>
      <c r="E21" s="4" t="s">
        <v>47</v>
      </c>
      <c r="F21" s="4" t="s">
        <v>25</v>
      </c>
      <c r="G21" s="4" t="s">
        <v>25</v>
      </c>
      <c r="H21" s="4" t="s">
        <v>37</v>
      </c>
      <c r="I21" s="5">
        <v>44652</v>
      </c>
      <c r="J21" s="6">
        <v>481</v>
      </c>
      <c r="K21" s="6">
        <v>452.14</v>
      </c>
      <c r="L21" s="6">
        <v>17.777000000000001</v>
      </c>
      <c r="M21" s="6">
        <v>16.710380000000001</v>
      </c>
      <c r="N21" s="6">
        <v>17.777000000000001</v>
      </c>
      <c r="O21" s="6">
        <v>16.710380000000001</v>
      </c>
      <c r="P21" s="6">
        <v>0</v>
      </c>
      <c r="Q21" s="4" t="s">
        <v>26</v>
      </c>
      <c r="R21" s="4">
        <v>0</v>
      </c>
      <c r="S21" s="4" t="s">
        <v>111</v>
      </c>
      <c r="T21" s="4" t="s">
        <v>280</v>
      </c>
      <c r="U21" s="4">
        <v>10</v>
      </c>
      <c r="V21" s="4">
        <v>1</v>
      </c>
      <c r="W21" s="4">
        <v>44</v>
      </c>
    </row>
    <row r="22" spans="1:23" ht="11.25" customHeight="1" x14ac:dyDescent="0.25">
      <c r="A22" s="4" t="s">
        <v>21</v>
      </c>
      <c r="B22" s="4" t="s">
        <v>35</v>
      </c>
      <c r="C22" s="4" t="s">
        <v>48</v>
      </c>
      <c r="D22" s="4" t="s">
        <v>46</v>
      </c>
      <c r="E22" s="4" t="s">
        <v>47</v>
      </c>
      <c r="F22" s="4" t="s">
        <v>25</v>
      </c>
      <c r="G22" s="4" t="s">
        <v>25</v>
      </c>
      <c r="H22" s="4" t="s">
        <v>37</v>
      </c>
      <c r="I22" s="5">
        <v>44682</v>
      </c>
      <c r="J22" s="6">
        <v>485</v>
      </c>
      <c r="K22" s="6">
        <v>455.9</v>
      </c>
      <c r="L22" s="6">
        <v>26.413</v>
      </c>
      <c r="M22" s="6">
        <v>24.828220000000002</v>
      </c>
      <c r="N22" s="6">
        <v>26.413</v>
      </c>
      <c r="O22" s="6">
        <v>24.828220000000002</v>
      </c>
      <c r="P22" s="6">
        <v>0</v>
      </c>
      <c r="Q22" s="4" t="s">
        <v>26</v>
      </c>
      <c r="R22" s="4">
        <v>0</v>
      </c>
      <c r="S22" s="4" t="s">
        <v>112</v>
      </c>
      <c r="T22" s="4" t="s">
        <v>281</v>
      </c>
      <c r="U22" s="4">
        <v>10</v>
      </c>
      <c r="V22" s="4">
        <v>1</v>
      </c>
      <c r="W22" s="4">
        <v>44</v>
      </c>
    </row>
    <row r="23" spans="1:23" ht="11.25" customHeight="1" x14ac:dyDescent="0.25">
      <c r="A23" s="4" t="s">
        <v>21</v>
      </c>
      <c r="B23" s="4" t="s">
        <v>35</v>
      </c>
      <c r="C23" s="4" t="s">
        <v>48</v>
      </c>
      <c r="D23" s="4" t="s">
        <v>46</v>
      </c>
      <c r="E23" s="4" t="s">
        <v>47</v>
      </c>
      <c r="F23" s="4" t="s">
        <v>25</v>
      </c>
      <c r="G23" s="4" t="s">
        <v>25</v>
      </c>
      <c r="H23" s="4" t="s">
        <v>37</v>
      </c>
      <c r="I23" s="5">
        <v>44713</v>
      </c>
      <c r="J23" s="6">
        <v>483</v>
      </c>
      <c r="K23" s="6">
        <v>454.02</v>
      </c>
      <c r="L23" s="6">
        <v>27.216000000000001</v>
      </c>
      <c r="M23" s="6">
        <v>25.58304</v>
      </c>
      <c r="N23" s="6">
        <v>27.216000000000001</v>
      </c>
      <c r="O23" s="6">
        <v>25.58304</v>
      </c>
      <c r="P23" s="6">
        <v>0</v>
      </c>
      <c r="Q23" s="4" t="s">
        <v>26</v>
      </c>
      <c r="R23" s="4">
        <v>0</v>
      </c>
      <c r="S23" s="4" t="s">
        <v>113</v>
      </c>
      <c r="T23" s="4" t="s">
        <v>282</v>
      </c>
      <c r="U23" s="4">
        <v>10</v>
      </c>
      <c r="V23" s="4">
        <v>1</v>
      </c>
      <c r="W23" s="4">
        <v>44</v>
      </c>
    </row>
    <row r="24" spans="1:23" ht="11.25" customHeight="1" x14ac:dyDescent="0.25">
      <c r="A24" s="4" t="s">
        <v>21</v>
      </c>
      <c r="B24" s="4" t="s">
        <v>35</v>
      </c>
      <c r="C24" s="4" t="s">
        <v>48</v>
      </c>
      <c r="D24" s="4" t="s">
        <v>46</v>
      </c>
      <c r="E24" s="4" t="s">
        <v>47</v>
      </c>
      <c r="F24" s="4" t="s">
        <v>25</v>
      </c>
      <c r="G24" s="4" t="s">
        <v>25</v>
      </c>
      <c r="H24" s="4" t="s">
        <v>37</v>
      </c>
      <c r="I24" s="5">
        <v>44743</v>
      </c>
      <c r="J24" s="6">
        <v>480</v>
      </c>
      <c r="K24" s="6">
        <v>451.2</v>
      </c>
      <c r="L24" s="6">
        <v>25.218</v>
      </c>
      <c r="M24" s="6">
        <v>23.704920000000001</v>
      </c>
      <c r="N24" s="6">
        <v>25.218</v>
      </c>
      <c r="O24" s="6">
        <v>23.704920000000001</v>
      </c>
      <c r="P24" s="6">
        <v>0</v>
      </c>
      <c r="Q24" s="4" t="s">
        <v>26</v>
      </c>
      <c r="R24" s="4">
        <v>0</v>
      </c>
      <c r="S24" s="4" t="s">
        <v>114</v>
      </c>
      <c r="T24" s="4" t="s">
        <v>283</v>
      </c>
      <c r="U24" s="4">
        <v>10</v>
      </c>
      <c r="V24" s="4">
        <v>1</v>
      </c>
      <c r="W24" s="4">
        <v>44</v>
      </c>
    </row>
    <row r="25" spans="1:23" ht="11.25" customHeight="1" x14ac:dyDescent="0.25">
      <c r="A25" s="4" t="s">
        <v>21</v>
      </c>
      <c r="B25" s="4" t="s">
        <v>35</v>
      </c>
      <c r="C25" s="4" t="s">
        <v>48</v>
      </c>
      <c r="D25" s="4" t="s">
        <v>46</v>
      </c>
      <c r="E25" s="4" t="s">
        <v>47</v>
      </c>
      <c r="F25" s="4" t="s">
        <v>25</v>
      </c>
      <c r="G25" s="4" t="s">
        <v>25</v>
      </c>
      <c r="H25" s="4" t="s">
        <v>37</v>
      </c>
      <c r="I25" s="5">
        <v>44774</v>
      </c>
      <c r="J25" s="6">
        <v>510</v>
      </c>
      <c r="K25" s="6">
        <v>479.4</v>
      </c>
      <c r="L25" s="6">
        <v>23.26</v>
      </c>
      <c r="M25" s="6">
        <v>21.8644</v>
      </c>
      <c r="N25" s="6">
        <v>23.26</v>
      </c>
      <c r="O25" s="6">
        <v>21.8644</v>
      </c>
      <c r="P25" s="6">
        <v>0</v>
      </c>
      <c r="Q25" s="4" t="s">
        <v>26</v>
      </c>
      <c r="R25" s="4">
        <v>0</v>
      </c>
      <c r="S25" s="4" t="s">
        <v>115</v>
      </c>
      <c r="T25" s="4" t="s">
        <v>284</v>
      </c>
      <c r="U25" s="4">
        <v>10</v>
      </c>
      <c r="V25" s="4">
        <v>1</v>
      </c>
      <c r="W25" s="4">
        <v>44</v>
      </c>
    </row>
    <row r="26" spans="1:23" ht="11.25" customHeight="1" x14ac:dyDescent="0.25">
      <c r="A26" s="4" t="s">
        <v>21</v>
      </c>
      <c r="B26" s="4" t="s">
        <v>35</v>
      </c>
      <c r="C26" s="4" t="s">
        <v>53</v>
      </c>
      <c r="D26" s="4" t="s">
        <v>25</v>
      </c>
      <c r="E26" s="4" t="s">
        <v>25</v>
      </c>
      <c r="F26" s="4" t="s">
        <v>25</v>
      </c>
      <c r="G26" s="4" t="s">
        <v>54</v>
      </c>
      <c r="H26" s="4" t="s">
        <v>25</v>
      </c>
      <c r="I26" s="5">
        <v>44440</v>
      </c>
      <c r="J26" s="6">
        <v>909</v>
      </c>
      <c r="K26" s="6">
        <v>909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4" t="s">
        <v>55</v>
      </c>
      <c r="R26" s="4">
        <v>35415</v>
      </c>
      <c r="S26" s="4" t="s">
        <v>116</v>
      </c>
      <c r="U26" s="4">
        <v>7</v>
      </c>
      <c r="V26" s="4">
        <v>0</v>
      </c>
      <c r="W26" s="4">
        <v>0</v>
      </c>
    </row>
    <row r="27" spans="1:23" ht="11.25" customHeight="1" x14ac:dyDescent="0.25">
      <c r="A27" s="4" t="s">
        <v>21</v>
      </c>
      <c r="B27" s="4" t="s">
        <v>35</v>
      </c>
      <c r="C27" s="4" t="s">
        <v>53</v>
      </c>
      <c r="D27" s="4" t="s">
        <v>25</v>
      </c>
      <c r="E27" s="4" t="s">
        <v>25</v>
      </c>
      <c r="F27" s="4" t="s">
        <v>25</v>
      </c>
      <c r="G27" s="4" t="s">
        <v>54</v>
      </c>
      <c r="H27" s="4" t="s">
        <v>25</v>
      </c>
      <c r="I27" s="5">
        <v>44470</v>
      </c>
      <c r="J27" s="6">
        <v>909</v>
      </c>
      <c r="K27" s="6">
        <v>454.5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4" t="s">
        <v>55</v>
      </c>
      <c r="R27" s="4">
        <v>35415</v>
      </c>
      <c r="S27" s="4" t="s">
        <v>117</v>
      </c>
      <c r="U27" s="4">
        <v>7</v>
      </c>
      <c r="V27" s="4">
        <v>0</v>
      </c>
      <c r="W27" s="4">
        <v>0</v>
      </c>
    </row>
    <row r="28" spans="1:23" ht="11.25" customHeight="1" x14ac:dyDescent="0.25">
      <c r="A28" s="4" t="s">
        <v>21</v>
      </c>
      <c r="B28" s="4" t="s">
        <v>35</v>
      </c>
      <c r="C28" s="4" t="s">
        <v>53</v>
      </c>
      <c r="D28" s="4" t="s">
        <v>25</v>
      </c>
      <c r="E28" s="4" t="s">
        <v>25</v>
      </c>
      <c r="F28" s="4" t="s">
        <v>25</v>
      </c>
      <c r="G28" s="4" t="s">
        <v>54</v>
      </c>
      <c r="H28" s="4" t="s">
        <v>25</v>
      </c>
      <c r="I28" s="5">
        <v>44501</v>
      </c>
      <c r="J28" s="6">
        <v>909</v>
      </c>
      <c r="K28" s="6">
        <v>454.5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4" t="s">
        <v>55</v>
      </c>
      <c r="R28" s="4">
        <v>35415</v>
      </c>
      <c r="S28" s="4" t="s">
        <v>118</v>
      </c>
      <c r="U28" s="4">
        <v>7</v>
      </c>
      <c r="V28" s="4">
        <v>0</v>
      </c>
      <c r="W28" s="4">
        <v>0</v>
      </c>
    </row>
    <row r="29" spans="1:23" ht="11.25" customHeight="1" x14ac:dyDescent="0.25">
      <c r="A29" s="4" t="s">
        <v>21</v>
      </c>
      <c r="B29" s="4" t="s">
        <v>35</v>
      </c>
      <c r="C29" s="4" t="s">
        <v>53</v>
      </c>
      <c r="D29" s="4" t="s">
        <v>25</v>
      </c>
      <c r="E29" s="4" t="s">
        <v>25</v>
      </c>
      <c r="F29" s="4" t="s">
        <v>25</v>
      </c>
      <c r="G29" s="4" t="s">
        <v>54</v>
      </c>
      <c r="H29" s="4" t="s">
        <v>25</v>
      </c>
      <c r="I29" s="5">
        <v>44531</v>
      </c>
      <c r="J29" s="6">
        <v>909</v>
      </c>
      <c r="K29" s="6">
        <v>454.5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4" t="s">
        <v>55</v>
      </c>
      <c r="R29" s="4">
        <v>35415</v>
      </c>
      <c r="S29" s="4" t="s">
        <v>119</v>
      </c>
      <c r="U29" s="4">
        <v>7</v>
      </c>
      <c r="V29" s="4">
        <v>0</v>
      </c>
      <c r="W29" s="4">
        <v>0</v>
      </c>
    </row>
    <row r="30" spans="1:23" ht="11.25" customHeight="1" x14ac:dyDescent="0.25">
      <c r="A30" s="4" t="s">
        <v>21</v>
      </c>
      <c r="B30" s="4" t="s">
        <v>35</v>
      </c>
      <c r="C30" s="4" t="s">
        <v>53</v>
      </c>
      <c r="D30" s="4" t="s">
        <v>25</v>
      </c>
      <c r="E30" s="4" t="s">
        <v>25</v>
      </c>
      <c r="F30" s="4" t="s">
        <v>25</v>
      </c>
      <c r="G30" s="4" t="s">
        <v>54</v>
      </c>
      <c r="H30" s="4" t="s">
        <v>25</v>
      </c>
      <c r="I30" s="5">
        <v>44562</v>
      </c>
      <c r="J30" s="6">
        <v>909</v>
      </c>
      <c r="K30" s="6">
        <v>454.5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4" t="s">
        <v>55</v>
      </c>
      <c r="R30" s="4">
        <v>35415</v>
      </c>
      <c r="S30" s="4" t="s">
        <v>120</v>
      </c>
      <c r="U30" s="4">
        <v>7</v>
      </c>
      <c r="V30" s="4">
        <v>0</v>
      </c>
      <c r="W30" s="4">
        <v>0</v>
      </c>
    </row>
    <row r="31" spans="1:23" ht="11.25" customHeight="1" x14ac:dyDescent="0.25">
      <c r="A31" s="4" t="s">
        <v>21</v>
      </c>
      <c r="B31" s="4" t="s">
        <v>35</v>
      </c>
      <c r="C31" s="4" t="s">
        <v>53</v>
      </c>
      <c r="D31" s="4" t="s">
        <v>25</v>
      </c>
      <c r="E31" s="4" t="s">
        <v>25</v>
      </c>
      <c r="F31" s="4" t="s">
        <v>25</v>
      </c>
      <c r="G31" s="4" t="s">
        <v>54</v>
      </c>
      <c r="H31" s="4" t="s">
        <v>25</v>
      </c>
      <c r="I31" s="5">
        <v>44593</v>
      </c>
      <c r="J31" s="6">
        <v>909</v>
      </c>
      <c r="K31" s="6">
        <v>454.5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4" t="s">
        <v>55</v>
      </c>
      <c r="R31" s="4">
        <v>35415</v>
      </c>
      <c r="S31" s="4" t="s">
        <v>121</v>
      </c>
      <c r="U31" s="4">
        <v>7</v>
      </c>
      <c r="V31" s="4">
        <v>0</v>
      </c>
      <c r="W31" s="4">
        <v>0</v>
      </c>
    </row>
    <row r="32" spans="1:23" ht="11.25" customHeight="1" x14ac:dyDescent="0.25">
      <c r="A32" s="4" t="s">
        <v>21</v>
      </c>
      <c r="B32" s="4" t="s">
        <v>35</v>
      </c>
      <c r="C32" s="4" t="s">
        <v>53</v>
      </c>
      <c r="D32" s="4" t="s">
        <v>25</v>
      </c>
      <c r="E32" s="4" t="s">
        <v>25</v>
      </c>
      <c r="F32" s="4" t="s">
        <v>25</v>
      </c>
      <c r="G32" s="4" t="s">
        <v>54</v>
      </c>
      <c r="H32" s="4" t="s">
        <v>25</v>
      </c>
      <c r="I32" s="5">
        <v>44621</v>
      </c>
      <c r="J32" s="6">
        <v>909</v>
      </c>
      <c r="K32" s="6">
        <v>454.5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4" t="s">
        <v>55</v>
      </c>
      <c r="R32" s="4">
        <v>35415</v>
      </c>
      <c r="S32" s="4" t="s">
        <v>122</v>
      </c>
      <c r="U32" s="4">
        <v>7</v>
      </c>
      <c r="V32" s="4">
        <v>0</v>
      </c>
      <c r="W32" s="4">
        <v>0</v>
      </c>
    </row>
    <row r="33" spans="1:23" ht="11.25" customHeight="1" x14ac:dyDescent="0.25">
      <c r="A33" s="4" t="s">
        <v>21</v>
      </c>
      <c r="B33" s="4" t="s">
        <v>35</v>
      </c>
      <c r="C33" s="4" t="s">
        <v>53</v>
      </c>
      <c r="D33" s="4" t="s">
        <v>25</v>
      </c>
      <c r="E33" s="4" t="s">
        <v>25</v>
      </c>
      <c r="F33" s="4" t="s">
        <v>25</v>
      </c>
      <c r="G33" s="4" t="s">
        <v>54</v>
      </c>
      <c r="H33" s="4" t="s">
        <v>25</v>
      </c>
      <c r="I33" s="5">
        <v>44652</v>
      </c>
      <c r="J33" s="6">
        <v>909</v>
      </c>
      <c r="K33" s="6">
        <v>454.5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4" t="s">
        <v>55</v>
      </c>
      <c r="R33" s="4">
        <v>35415</v>
      </c>
      <c r="S33" s="4" t="s">
        <v>123</v>
      </c>
      <c r="U33" s="4">
        <v>7</v>
      </c>
      <c r="V33" s="4">
        <v>0</v>
      </c>
      <c r="W33" s="4">
        <v>0</v>
      </c>
    </row>
    <row r="34" spans="1:23" ht="11.25" customHeight="1" x14ac:dyDescent="0.25">
      <c r="A34" s="4" t="s">
        <v>21</v>
      </c>
      <c r="B34" s="4" t="s">
        <v>35</v>
      </c>
      <c r="C34" s="4" t="s">
        <v>53</v>
      </c>
      <c r="D34" s="4" t="s">
        <v>25</v>
      </c>
      <c r="E34" s="4" t="s">
        <v>25</v>
      </c>
      <c r="F34" s="4" t="s">
        <v>25</v>
      </c>
      <c r="G34" s="4" t="s">
        <v>54</v>
      </c>
      <c r="H34" s="4" t="s">
        <v>25</v>
      </c>
      <c r="I34" s="5">
        <v>44682</v>
      </c>
      <c r="J34" s="6">
        <v>909</v>
      </c>
      <c r="K34" s="6">
        <v>454.5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4" t="s">
        <v>55</v>
      </c>
      <c r="R34" s="4">
        <v>35415</v>
      </c>
      <c r="S34" s="4" t="s">
        <v>124</v>
      </c>
      <c r="U34" s="4">
        <v>7</v>
      </c>
      <c r="V34" s="4">
        <v>0</v>
      </c>
      <c r="W34" s="4">
        <v>0</v>
      </c>
    </row>
    <row r="35" spans="1:23" ht="11.25" customHeight="1" x14ac:dyDescent="0.25">
      <c r="A35" s="4" t="s">
        <v>21</v>
      </c>
      <c r="B35" s="4" t="s">
        <v>35</v>
      </c>
      <c r="C35" s="4" t="s">
        <v>53</v>
      </c>
      <c r="D35" s="4" t="s">
        <v>25</v>
      </c>
      <c r="E35" s="4" t="s">
        <v>25</v>
      </c>
      <c r="F35" s="4" t="s">
        <v>25</v>
      </c>
      <c r="G35" s="4" t="s">
        <v>54</v>
      </c>
      <c r="H35" s="4" t="s">
        <v>25</v>
      </c>
      <c r="I35" s="5">
        <v>44713</v>
      </c>
      <c r="J35" s="6">
        <v>909</v>
      </c>
      <c r="K35" s="6">
        <v>454.5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4" t="s">
        <v>55</v>
      </c>
      <c r="R35" s="4">
        <v>35415</v>
      </c>
      <c r="S35" s="4" t="s">
        <v>125</v>
      </c>
      <c r="U35" s="4">
        <v>7</v>
      </c>
      <c r="V35" s="4">
        <v>0</v>
      </c>
      <c r="W35" s="4">
        <v>0</v>
      </c>
    </row>
    <row r="36" spans="1:23" ht="11.25" customHeight="1" x14ac:dyDescent="0.25">
      <c r="A36" s="4" t="s">
        <v>21</v>
      </c>
      <c r="B36" s="4" t="s">
        <v>35</v>
      </c>
      <c r="C36" s="4" t="s">
        <v>53</v>
      </c>
      <c r="D36" s="4" t="s">
        <v>25</v>
      </c>
      <c r="E36" s="4" t="s">
        <v>25</v>
      </c>
      <c r="F36" s="4" t="s">
        <v>25</v>
      </c>
      <c r="G36" s="4" t="s">
        <v>54</v>
      </c>
      <c r="H36" s="4" t="s">
        <v>25</v>
      </c>
      <c r="I36" s="5">
        <v>44743</v>
      </c>
      <c r="J36" s="6">
        <v>909</v>
      </c>
      <c r="K36" s="6">
        <v>454.5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4" t="s">
        <v>55</v>
      </c>
      <c r="R36" s="4">
        <v>35415</v>
      </c>
      <c r="S36" s="4" t="s">
        <v>126</v>
      </c>
      <c r="U36" s="4">
        <v>7</v>
      </c>
      <c r="V36" s="4">
        <v>0</v>
      </c>
      <c r="W36" s="4">
        <v>0</v>
      </c>
    </row>
    <row r="37" spans="1:23" ht="11.25" customHeight="1" x14ac:dyDescent="0.25">
      <c r="A37" s="4" t="s">
        <v>21</v>
      </c>
      <c r="B37" s="4" t="s">
        <v>35</v>
      </c>
      <c r="C37" s="4" t="s">
        <v>53</v>
      </c>
      <c r="D37" s="4" t="s">
        <v>25</v>
      </c>
      <c r="E37" s="4" t="s">
        <v>25</v>
      </c>
      <c r="F37" s="4" t="s">
        <v>25</v>
      </c>
      <c r="G37" s="4" t="s">
        <v>54</v>
      </c>
      <c r="H37" s="4" t="s">
        <v>25</v>
      </c>
      <c r="I37" s="5">
        <v>44774</v>
      </c>
      <c r="J37" s="6">
        <v>909</v>
      </c>
      <c r="K37" s="6">
        <v>454.5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4" t="s">
        <v>55</v>
      </c>
      <c r="R37" s="4">
        <v>35415</v>
      </c>
      <c r="S37" s="4" t="s">
        <v>127</v>
      </c>
      <c r="U37" s="4">
        <v>7</v>
      </c>
      <c r="V37" s="4">
        <v>0</v>
      </c>
      <c r="W37" s="4">
        <v>0</v>
      </c>
    </row>
    <row r="38" spans="1:23" ht="11.25" customHeight="1" x14ac:dyDescent="0.25">
      <c r="A38" s="4" t="s">
        <v>21</v>
      </c>
      <c r="B38" s="4" t="s">
        <v>35</v>
      </c>
      <c r="C38" s="4" t="s">
        <v>36</v>
      </c>
      <c r="D38" s="4" t="s">
        <v>39</v>
      </c>
      <c r="E38" s="4" t="s">
        <v>25</v>
      </c>
      <c r="F38" s="4" t="s">
        <v>25</v>
      </c>
      <c r="G38" s="4" t="s">
        <v>25</v>
      </c>
      <c r="H38" s="4" t="s">
        <v>38</v>
      </c>
      <c r="I38" s="5">
        <v>44440</v>
      </c>
      <c r="J38" s="6">
        <v>0</v>
      </c>
      <c r="K38" s="6">
        <v>0</v>
      </c>
      <c r="L38" s="6">
        <v>29.594000000000001</v>
      </c>
      <c r="M38" s="6">
        <v>29.594000000000001</v>
      </c>
      <c r="N38" s="6">
        <v>29.594000000000001</v>
      </c>
      <c r="O38" s="6">
        <v>29.594000000000001</v>
      </c>
      <c r="P38" s="6">
        <v>0</v>
      </c>
      <c r="Q38" s="4" t="s">
        <v>26</v>
      </c>
      <c r="R38" s="4">
        <v>0</v>
      </c>
      <c r="S38" s="4" t="s">
        <v>128</v>
      </c>
      <c r="T38" s="4" t="s">
        <v>261</v>
      </c>
      <c r="U38" s="4">
        <v>0</v>
      </c>
      <c r="V38" s="4">
        <v>23</v>
      </c>
      <c r="W38" s="4">
        <v>51</v>
      </c>
    </row>
    <row r="39" spans="1:23" ht="11.25" customHeight="1" x14ac:dyDescent="0.25">
      <c r="A39" s="4" t="s">
        <v>21</v>
      </c>
      <c r="B39" s="4" t="s">
        <v>35</v>
      </c>
      <c r="C39" s="4" t="s">
        <v>36</v>
      </c>
      <c r="D39" s="4" t="s">
        <v>39</v>
      </c>
      <c r="E39" s="4" t="s">
        <v>25</v>
      </c>
      <c r="F39" s="4" t="s">
        <v>25</v>
      </c>
      <c r="G39" s="4" t="s">
        <v>25</v>
      </c>
      <c r="H39" s="4" t="s">
        <v>38</v>
      </c>
      <c r="I39" s="5">
        <v>44470</v>
      </c>
      <c r="J39" s="6">
        <v>0</v>
      </c>
      <c r="K39" s="6">
        <v>0</v>
      </c>
      <c r="L39" s="6">
        <v>36.151000000000003</v>
      </c>
      <c r="M39" s="6">
        <v>36.151000000000003</v>
      </c>
      <c r="N39" s="6">
        <v>36.151000000000003</v>
      </c>
      <c r="O39" s="6">
        <v>36.151000000000003</v>
      </c>
      <c r="P39" s="6">
        <v>0</v>
      </c>
      <c r="Q39" s="4" t="s">
        <v>26</v>
      </c>
      <c r="R39" s="4">
        <v>0</v>
      </c>
      <c r="S39" s="4" t="s">
        <v>129</v>
      </c>
      <c r="T39" s="4" t="s">
        <v>262</v>
      </c>
      <c r="U39" s="4">
        <v>0</v>
      </c>
      <c r="V39" s="4">
        <v>23</v>
      </c>
      <c r="W39" s="4">
        <v>51</v>
      </c>
    </row>
    <row r="40" spans="1:23" ht="11.25" customHeight="1" x14ac:dyDescent="0.25">
      <c r="A40" s="4" t="s">
        <v>21</v>
      </c>
      <c r="B40" s="4" t="s">
        <v>35</v>
      </c>
      <c r="C40" s="4" t="s">
        <v>36</v>
      </c>
      <c r="D40" s="4" t="s">
        <v>39</v>
      </c>
      <c r="E40" s="4" t="s">
        <v>25</v>
      </c>
      <c r="F40" s="4" t="s">
        <v>25</v>
      </c>
      <c r="G40" s="4" t="s">
        <v>25</v>
      </c>
      <c r="H40" s="4" t="s">
        <v>38</v>
      </c>
      <c r="I40" s="5">
        <v>44501</v>
      </c>
      <c r="J40" s="6">
        <v>0</v>
      </c>
      <c r="K40" s="6">
        <v>0</v>
      </c>
      <c r="L40" s="6">
        <v>30.135000000000002</v>
      </c>
      <c r="M40" s="6">
        <v>30.135000000000002</v>
      </c>
      <c r="N40" s="6">
        <v>30.135000000000002</v>
      </c>
      <c r="O40" s="6">
        <v>30.135000000000002</v>
      </c>
      <c r="P40" s="6">
        <v>0</v>
      </c>
      <c r="Q40" s="4" t="s">
        <v>26</v>
      </c>
      <c r="R40" s="4">
        <v>0</v>
      </c>
      <c r="S40" s="4" t="s">
        <v>130</v>
      </c>
      <c r="T40" s="4" t="s">
        <v>263</v>
      </c>
      <c r="U40" s="4">
        <v>0</v>
      </c>
      <c r="V40" s="4">
        <v>23</v>
      </c>
      <c r="W40" s="4">
        <v>51</v>
      </c>
    </row>
    <row r="41" spans="1:23" ht="11.25" customHeight="1" x14ac:dyDescent="0.25">
      <c r="A41" s="4" t="s">
        <v>21</v>
      </c>
      <c r="B41" s="4" t="s">
        <v>35</v>
      </c>
      <c r="C41" s="4" t="s">
        <v>36</v>
      </c>
      <c r="D41" s="4" t="s">
        <v>39</v>
      </c>
      <c r="E41" s="4" t="s">
        <v>25</v>
      </c>
      <c r="F41" s="4" t="s">
        <v>25</v>
      </c>
      <c r="G41" s="4" t="s">
        <v>25</v>
      </c>
      <c r="H41" s="4" t="s">
        <v>38</v>
      </c>
      <c r="I41" s="5">
        <v>44531</v>
      </c>
      <c r="J41" s="6">
        <v>0</v>
      </c>
      <c r="K41" s="6">
        <v>0</v>
      </c>
      <c r="L41" s="6">
        <v>29.385999999999999</v>
      </c>
      <c r="M41" s="6">
        <v>29.385999999999999</v>
      </c>
      <c r="N41" s="6">
        <v>29.385999999999999</v>
      </c>
      <c r="O41" s="6">
        <v>29.385999999999999</v>
      </c>
      <c r="P41" s="6">
        <v>0</v>
      </c>
      <c r="Q41" s="4" t="s">
        <v>26</v>
      </c>
      <c r="R41" s="4">
        <v>0</v>
      </c>
      <c r="S41" s="4" t="s">
        <v>131</v>
      </c>
      <c r="T41" s="4" t="s">
        <v>264</v>
      </c>
      <c r="U41" s="4">
        <v>0</v>
      </c>
      <c r="V41" s="4">
        <v>23</v>
      </c>
      <c r="W41" s="4">
        <v>51</v>
      </c>
    </row>
    <row r="42" spans="1:23" ht="11.25" customHeight="1" x14ac:dyDescent="0.25">
      <c r="A42" s="4" t="s">
        <v>21</v>
      </c>
      <c r="B42" s="4" t="s">
        <v>35</v>
      </c>
      <c r="C42" s="4" t="s">
        <v>36</v>
      </c>
      <c r="D42" s="4" t="s">
        <v>39</v>
      </c>
      <c r="E42" s="4" t="s">
        <v>25</v>
      </c>
      <c r="F42" s="4" t="s">
        <v>25</v>
      </c>
      <c r="G42" s="4" t="s">
        <v>25</v>
      </c>
      <c r="H42" s="4" t="s">
        <v>38</v>
      </c>
      <c r="I42" s="5">
        <v>44562</v>
      </c>
      <c r="J42" s="6">
        <v>0</v>
      </c>
      <c r="K42" s="6">
        <v>0</v>
      </c>
      <c r="L42" s="6">
        <v>24.986999999999998</v>
      </c>
      <c r="M42" s="6">
        <v>24.986999999999998</v>
      </c>
      <c r="N42" s="6">
        <v>24.986999999999998</v>
      </c>
      <c r="O42" s="6">
        <v>24.986999999999998</v>
      </c>
      <c r="P42" s="6">
        <v>0</v>
      </c>
      <c r="Q42" s="4" t="s">
        <v>26</v>
      </c>
      <c r="R42" s="4">
        <v>0</v>
      </c>
      <c r="S42" s="4" t="s">
        <v>132</v>
      </c>
      <c r="T42" s="4" t="s">
        <v>265</v>
      </c>
      <c r="U42" s="4">
        <v>0</v>
      </c>
      <c r="V42" s="4">
        <v>23</v>
      </c>
      <c r="W42" s="4">
        <v>51</v>
      </c>
    </row>
    <row r="43" spans="1:23" ht="11.25" customHeight="1" x14ac:dyDescent="0.25">
      <c r="A43" s="4" t="s">
        <v>21</v>
      </c>
      <c r="B43" s="4" t="s">
        <v>35</v>
      </c>
      <c r="C43" s="4" t="s">
        <v>36</v>
      </c>
      <c r="D43" s="4" t="s">
        <v>39</v>
      </c>
      <c r="E43" s="4" t="s">
        <v>25</v>
      </c>
      <c r="F43" s="4" t="s">
        <v>25</v>
      </c>
      <c r="G43" s="4" t="s">
        <v>25</v>
      </c>
      <c r="H43" s="4" t="s">
        <v>38</v>
      </c>
      <c r="I43" s="5">
        <v>44593</v>
      </c>
      <c r="J43" s="6">
        <v>0</v>
      </c>
      <c r="K43" s="6">
        <v>0</v>
      </c>
      <c r="L43" s="6">
        <v>27.552</v>
      </c>
      <c r="M43" s="6">
        <v>27.552</v>
      </c>
      <c r="N43" s="6">
        <v>27.552</v>
      </c>
      <c r="O43" s="6">
        <v>27.552</v>
      </c>
      <c r="P43" s="6">
        <v>0</v>
      </c>
      <c r="Q43" s="4" t="s">
        <v>26</v>
      </c>
      <c r="R43" s="4">
        <v>0</v>
      </c>
      <c r="S43" s="4" t="s">
        <v>133</v>
      </c>
      <c r="T43" s="4" t="s">
        <v>266</v>
      </c>
      <c r="U43" s="4">
        <v>0</v>
      </c>
      <c r="V43" s="4">
        <v>23</v>
      </c>
      <c r="W43" s="4">
        <v>51</v>
      </c>
    </row>
    <row r="44" spans="1:23" ht="11.25" customHeight="1" x14ac:dyDescent="0.25">
      <c r="A44" s="4" t="s">
        <v>21</v>
      </c>
      <c r="B44" s="4" t="s">
        <v>35</v>
      </c>
      <c r="C44" s="4" t="s">
        <v>36</v>
      </c>
      <c r="D44" s="4" t="s">
        <v>39</v>
      </c>
      <c r="E44" s="4" t="s">
        <v>25</v>
      </c>
      <c r="F44" s="4" t="s">
        <v>25</v>
      </c>
      <c r="G44" s="4" t="s">
        <v>25</v>
      </c>
      <c r="H44" s="4" t="s">
        <v>38</v>
      </c>
      <c r="I44" s="5">
        <v>44621</v>
      </c>
      <c r="J44" s="6">
        <v>0</v>
      </c>
      <c r="K44" s="6">
        <v>0</v>
      </c>
      <c r="L44" s="6">
        <v>32.405000000000001</v>
      </c>
      <c r="M44" s="6">
        <v>32.405000000000001</v>
      </c>
      <c r="N44" s="6">
        <v>32.405000000000001</v>
      </c>
      <c r="O44" s="6">
        <v>32.405000000000001</v>
      </c>
      <c r="P44" s="6">
        <v>0</v>
      </c>
      <c r="Q44" s="4" t="s">
        <v>26</v>
      </c>
      <c r="R44" s="4">
        <v>0</v>
      </c>
      <c r="S44" s="4" t="s">
        <v>134</v>
      </c>
      <c r="T44" s="4" t="s">
        <v>267</v>
      </c>
      <c r="U44" s="4">
        <v>0</v>
      </c>
      <c r="V44" s="4">
        <v>23</v>
      </c>
      <c r="W44" s="4">
        <v>51</v>
      </c>
    </row>
    <row r="45" spans="1:23" ht="11.25" customHeight="1" x14ac:dyDescent="0.25">
      <c r="A45" s="4" t="s">
        <v>21</v>
      </c>
      <c r="B45" s="4" t="s">
        <v>35</v>
      </c>
      <c r="C45" s="4" t="s">
        <v>36</v>
      </c>
      <c r="D45" s="4" t="s">
        <v>39</v>
      </c>
      <c r="E45" s="4" t="s">
        <v>25</v>
      </c>
      <c r="F45" s="4" t="s">
        <v>25</v>
      </c>
      <c r="G45" s="4" t="s">
        <v>25</v>
      </c>
      <c r="H45" s="4" t="s">
        <v>38</v>
      </c>
      <c r="I45" s="5">
        <v>44652</v>
      </c>
      <c r="J45" s="6">
        <v>0</v>
      </c>
      <c r="K45" s="6">
        <v>0</v>
      </c>
      <c r="L45" s="6">
        <v>31.109000000000002</v>
      </c>
      <c r="M45" s="6">
        <v>31.109000000000002</v>
      </c>
      <c r="N45" s="6">
        <v>31.109000000000002</v>
      </c>
      <c r="O45" s="6">
        <v>31.109000000000002</v>
      </c>
      <c r="P45" s="6">
        <v>0</v>
      </c>
      <c r="Q45" s="4" t="s">
        <v>26</v>
      </c>
      <c r="R45" s="4">
        <v>0</v>
      </c>
      <c r="S45" s="4" t="s">
        <v>135</v>
      </c>
      <c r="T45" s="4" t="s">
        <v>268</v>
      </c>
      <c r="U45" s="4">
        <v>0</v>
      </c>
      <c r="V45" s="4">
        <v>23</v>
      </c>
      <c r="W45" s="4">
        <v>51</v>
      </c>
    </row>
    <row r="46" spans="1:23" ht="11.25" customHeight="1" x14ac:dyDescent="0.25">
      <c r="A46" s="4" t="s">
        <v>21</v>
      </c>
      <c r="B46" s="4" t="s">
        <v>35</v>
      </c>
      <c r="C46" s="4" t="s">
        <v>36</v>
      </c>
      <c r="D46" s="4" t="s">
        <v>39</v>
      </c>
      <c r="E46" s="4" t="s">
        <v>25</v>
      </c>
      <c r="F46" s="4" t="s">
        <v>25</v>
      </c>
      <c r="G46" s="4" t="s">
        <v>25</v>
      </c>
      <c r="H46" s="4" t="s">
        <v>38</v>
      </c>
      <c r="I46" s="5">
        <v>44682</v>
      </c>
      <c r="J46" s="6">
        <v>0</v>
      </c>
      <c r="K46" s="6">
        <v>0</v>
      </c>
      <c r="L46" s="6">
        <v>34.581000000000003</v>
      </c>
      <c r="M46" s="6">
        <v>34.581000000000003</v>
      </c>
      <c r="N46" s="6">
        <v>34.581000000000003</v>
      </c>
      <c r="O46" s="6">
        <v>34.581000000000003</v>
      </c>
      <c r="P46" s="6">
        <v>0</v>
      </c>
      <c r="Q46" s="4" t="s">
        <v>26</v>
      </c>
      <c r="R46" s="4">
        <v>0</v>
      </c>
      <c r="S46" s="4" t="s">
        <v>136</v>
      </c>
      <c r="T46" s="4" t="s">
        <v>269</v>
      </c>
      <c r="U46" s="4">
        <v>0</v>
      </c>
      <c r="V46" s="4">
        <v>23</v>
      </c>
      <c r="W46" s="4">
        <v>51</v>
      </c>
    </row>
    <row r="47" spans="1:23" ht="11.25" customHeight="1" x14ac:dyDescent="0.25">
      <c r="A47" s="4" t="s">
        <v>21</v>
      </c>
      <c r="B47" s="4" t="s">
        <v>35</v>
      </c>
      <c r="C47" s="4" t="s">
        <v>36</v>
      </c>
      <c r="D47" s="4" t="s">
        <v>39</v>
      </c>
      <c r="E47" s="4" t="s">
        <v>25</v>
      </c>
      <c r="F47" s="4" t="s">
        <v>25</v>
      </c>
      <c r="G47" s="4" t="s">
        <v>25</v>
      </c>
      <c r="H47" s="4" t="s">
        <v>38</v>
      </c>
      <c r="I47" s="5">
        <v>44713</v>
      </c>
      <c r="J47" s="6">
        <v>0</v>
      </c>
      <c r="K47" s="6">
        <v>0</v>
      </c>
      <c r="L47" s="6">
        <v>34.792000000000002</v>
      </c>
      <c r="M47" s="6">
        <v>34.792000000000002</v>
      </c>
      <c r="N47" s="6">
        <v>34.792000000000002</v>
      </c>
      <c r="O47" s="6">
        <v>34.792000000000002</v>
      </c>
      <c r="P47" s="6">
        <v>0</v>
      </c>
      <c r="Q47" s="4" t="s">
        <v>26</v>
      </c>
      <c r="R47" s="4">
        <v>0</v>
      </c>
      <c r="S47" s="4" t="s">
        <v>137</v>
      </c>
      <c r="T47" s="4" t="s">
        <v>270</v>
      </c>
      <c r="U47" s="4">
        <v>0</v>
      </c>
      <c r="V47" s="4">
        <v>23</v>
      </c>
      <c r="W47" s="4">
        <v>51</v>
      </c>
    </row>
    <row r="48" spans="1:23" ht="11.25" customHeight="1" x14ac:dyDescent="0.25">
      <c r="A48" s="4" t="s">
        <v>21</v>
      </c>
      <c r="B48" s="4" t="s">
        <v>35</v>
      </c>
      <c r="C48" s="4" t="s">
        <v>36</v>
      </c>
      <c r="D48" s="4" t="s">
        <v>39</v>
      </c>
      <c r="E48" s="4" t="s">
        <v>25</v>
      </c>
      <c r="F48" s="4" t="s">
        <v>25</v>
      </c>
      <c r="G48" s="4" t="s">
        <v>25</v>
      </c>
      <c r="H48" s="4" t="s">
        <v>38</v>
      </c>
      <c r="I48" s="5">
        <v>44743</v>
      </c>
      <c r="J48" s="6">
        <v>0</v>
      </c>
      <c r="K48" s="6">
        <v>0</v>
      </c>
      <c r="L48" s="6">
        <v>41.357999999999997</v>
      </c>
      <c r="M48" s="6">
        <v>41.357999999999997</v>
      </c>
      <c r="N48" s="6">
        <v>41.357999999999997</v>
      </c>
      <c r="O48" s="6">
        <v>41.357999999999997</v>
      </c>
      <c r="P48" s="6">
        <v>0</v>
      </c>
      <c r="Q48" s="4" t="s">
        <v>26</v>
      </c>
      <c r="R48" s="4">
        <v>0</v>
      </c>
      <c r="S48" s="4" t="s">
        <v>138</v>
      </c>
      <c r="T48" s="4" t="s">
        <v>271</v>
      </c>
      <c r="U48" s="4">
        <v>0</v>
      </c>
      <c r="V48" s="4">
        <v>23</v>
      </c>
      <c r="W48" s="4">
        <v>51</v>
      </c>
    </row>
    <row r="49" spans="1:23" ht="11.25" customHeight="1" x14ac:dyDescent="0.25">
      <c r="A49" s="4" t="s">
        <v>21</v>
      </c>
      <c r="B49" s="4" t="s">
        <v>35</v>
      </c>
      <c r="C49" s="4" t="s">
        <v>36</v>
      </c>
      <c r="D49" s="4" t="s">
        <v>39</v>
      </c>
      <c r="E49" s="4" t="s">
        <v>25</v>
      </c>
      <c r="F49" s="4" t="s">
        <v>25</v>
      </c>
      <c r="G49" s="4" t="s">
        <v>25</v>
      </c>
      <c r="H49" s="4" t="s">
        <v>38</v>
      </c>
      <c r="I49" s="5">
        <v>44774</v>
      </c>
      <c r="J49" s="6">
        <v>0</v>
      </c>
      <c r="K49" s="6">
        <v>0</v>
      </c>
      <c r="L49" s="6">
        <v>33.491</v>
      </c>
      <c r="M49" s="6">
        <v>33.491</v>
      </c>
      <c r="N49" s="6">
        <v>33.491</v>
      </c>
      <c r="O49" s="6">
        <v>33.491</v>
      </c>
      <c r="P49" s="6">
        <v>0</v>
      </c>
      <c r="Q49" s="4" t="s">
        <v>26</v>
      </c>
      <c r="R49" s="4">
        <v>0</v>
      </c>
      <c r="S49" s="4" t="s">
        <v>139</v>
      </c>
      <c r="T49" s="4" t="s">
        <v>272</v>
      </c>
      <c r="U49" s="4">
        <v>0</v>
      </c>
      <c r="V49" s="4">
        <v>23</v>
      </c>
      <c r="W49" s="4">
        <v>51</v>
      </c>
    </row>
    <row r="50" spans="1:23" ht="11.25" customHeight="1" x14ac:dyDescent="0.25">
      <c r="A50" s="4" t="s">
        <v>21</v>
      </c>
      <c r="B50" s="4" t="s">
        <v>35</v>
      </c>
      <c r="C50" s="4" t="s">
        <v>36</v>
      </c>
      <c r="D50" s="4" t="s">
        <v>39</v>
      </c>
      <c r="E50" s="4" t="s">
        <v>25</v>
      </c>
      <c r="F50" s="4" t="s">
        <v>25</v>
      </c>
      <c r="G50" s="4" t="s">
        <v>25</v>
      </c>
      <c r="H50" s="4" t="s">
        <v>25</v>
      </c>
      <c r="I50" s="5">
        <v>44440</v>
      </c>
      <c r="J50" s="6">
        <v>263</v>
      </c>
      <c r="K50" s="6">
        <v>263</v>
      </c>
      <c r="L50" s="6">
        <v>0</v>
      </c>
      <c r="M50" s="6">
        <v>0</v>
      </c>
      <c r="N50" s="6">
        <v>0</v>
      </c>
      <c r="O50" s="6">
        <v>0</v>
      </c>
      <c r="P50" s="6">
        <v>3</v>
      </c>
      <c r="Q50" s="4" t="s">
        <v>26</v>
      </c>
      <c r="R50" s="4">
        <v>0</v>
      </c>
      <c r="S50" s="4" t="s">
        <v>140</v>
      </c>
      <c r="U50" s="4">
        <v>16</v>
      </c>
      <c r="V50" s="4">
        <v>0</v>
      </c>
      <c r="W50" s="4">
        <v>0</v>
      </c>
    </row>
    <row r="51" spans="1:23" ht="11.25" customHeight="1" x14ac:dyDescent="0.25">
      <c r="A51" s="4" t="s">
        <v>21</v>
      </c>
      <c r="B51" s="4" t="s">
        <v>35</v>
      </c>
      <c r="C51" s="4" t="s">
        <v>36</v>
      </c>
      <c r="D51" s="4" t="s">
        <v>39</v>
      </c>
      <c r="E51" s="4" t="s">
        <v>25</v>
      </c>
      <c r="F51" s="4" t="s">
        <v>25</v>
      </c>
      <c r="G51" s="4" t="s">
        <v>25</v>
      </c>
      <c r="H51" s="4" t="s">
        <v>25</v>
      </c>
      <c r="I51" s="5">
        <v>44470</v>
      </c>
      <c r="J51" s="6">
        <v>300</v>
      </c>
      <c r="K51" s="6">
        <v>300</v>
      </c>
      <c r="L51" s="6">
        <v>0</v>
      </c>
      <c r="M51" s="6">
        <v>0</v>
      </c>
      <c r="N51" s="6">
        <v>0</v>
      </c>
      <c r="O51" s="6">
        <v>0</v>
      </c>
      <c r="P51" s="6">
        <v>3</v>
      </c>
      <c r="Q51" s="4" t="s">
        <v>26</v>
      </c>
      <c r="R51" s="4">
        <v>0</v>
      </c>
      <c r="S51" s="4" t="s">
        <v>141</v>
      </c>
      <c r="U51" s="4">
        <v>16</v>
      </c>
      <c r="V51" s="4">
        <v>0</v>
      </c>
      <c r="W51" s="4">
        <v>0</v>
      </c>
    </row>
    <row r="52" spans="1:23" ht="11.25" customHeight="1" x14ac:dyDescent="0.25">
      <c r="A52" s="4" t="s">
        <v>21</v>
      </c>
      <c r="B52" s="4" t="s">
        <v>35</v>
      </c>
      <c r="C52" s="4" t="s">
        <v>36</v>
      </c>
      <c r="D52" s="4" t="s">
        <v>39</v>
      </c>
      <c r="E52" s="4" t="s">
        <v>25</v>
      </c>
      <c r="F52" s="4" t="s">
        <v>25</v>
      </c>
      <c r="G52" s="4" t="s">
        <v>25</v>
      </c>
      <c r="H52" s="4" t="s">
        <v>25</v>
      </c>
      <c r="I52" s="5">
        <v>44501</v>
      </c>
      <c r="J52" s="6">
        <v>310</v>
      </c>
      <c r="K52" s="6">
        <v>310</v>
      </c>
      <c r="L52" s="6">
        <v>0</v>
      </c>
      <c r="M52" s="6">
        <v>0</v>
      </c>
      <c r="N52" s="6">
        <v>0</v>
      </c>
      <c r="O52" s="6">
        <v>0</v>
      </c>
      <c r="P52" s="6">
        <v>3</v>
      </c>
      <c r="Q52" s="4" t="s">
        <v>26</v>
      </c>
      <c r="R52" s="4">
        <v>0</v>
      </c>
      <c r="S52" s="4" t="s">
        <v>142</v>
      </c>
      <c r="U52" s="4">
        <v>16</v>
      </c>
      <c r="V52" s="4">
        <v>0</v>
      </c>
      <c r="W52" s="4">
        <v>0</v>
      </c>
    </row>
    <row r="53" spans="1:23" ht="11.25" customHeight="1" x14ac:dyDescent="0.25">
      <c r="A53" s="4" t="s">
        <v>21</v>
      </c>
      <c r="B53" s="4" t="s">
        <v>35</v>
      </c>
      <c r="C53" s="4" t="s">
        <v>36</v>
      </c>
      <c r="D53" s="4" t="s">
        <v>39</v>
      </c>
      <c r="E53" s="4" t="s">
        <v>25</v>
      </c>
      <c r="F53" s="4" t="s">
        <v>25</v>
      </c>
      <c r="G53" s="4" t="s">
        <v>25</v>
      </c>
      <c r="H53" s="4" t="s">
        <v>25</v>
      </c>
      <c r="I53" s="5">
        <v>44531</v>
      </c>
      <c r="J53" s="6">
        <v>320</v>
      </c>
      <c r="K53" s="6">
        <v>320</v>
      </c>
      <c r="L53" s="6">
        <v>0</v>
      </c>
      <c r="M53" s="6">
        <v>0</v>
      </c>
      <c r="N53" s="6">
        <v>0</v>
      </c>
      <c r="O53" s="6">
        <v>0</v>
      </c>
      <c r="P53" s="6">
        <v>3</v>
      </c>
      <c r="Q53" s="4" t="s">
        <v>26</v>
      </c>
      <c r="R53" s="4">
        <v>0</v>
      </c>
      <c r="S53" s="4" t="s">
        <v>143</v>
      </c>
      <c r="U53" s="4">
        <v>16</v>
      </c>
      <c r="V53" s="4">
        <v>0</v>
      </c>
      <c r="W53" s="4">
        <v>0</v>
      </c>
    </row>
    <row r="54" spans="1:23" ht="11.25" customHeight="1" x14ac:dyDescent="0.25">
      <c r="A54" s="4" t="s">
        <v>21</v>
      </c>
      <c r="B54" s="4" t="s">
        <v>35</v>
      </c>
      <c r="C54" s="4" t="s">
        <v>36</v>
      </c>
      <c r="D54" s="4" t="s">
        <v>39</v>
      </c>
      <c r="E54" s="4" t="s">
        <v>25</v>
      </c>
      <c r="F54" s="4" t="s">
        <v>25</v>
      </c>
      <c r="G54" s="4" t="s">
        <v>25</v>
      </c>
      <c r="H54" s="4" t="s">
        <v>25</v>
      </c>
      <c r="I54" s="5">
        <v>44562</v>
      </c>
      <c r="J54" s="6">
        <v>313</v>
      </c>
      <c r="K54" s="6">
        <v>313</v>
      </c>
      <c r="L54" s="6">
        <v>0</v>
      </c>
      <c r="M54" s="6">
        <v>0</v>
      </c>
      <c r="N54" s="6">
        <v>0</v>
      </c>
      <c r="O54" s="6">
        <v>0</v>
      </c>
      <c r="P54" s="6">
        <v>3</v>
      </c>
      <c r="Q54" s="4" t="s">
        <v>26</v>
      </c>
      <c r="R54" s="4">
        <v>0</v>
      </c>
      <c r="S54" s="4" t="s">
        <v>144</v>
      </c>
      <c r="U54" s="4">
        <v>16</v>
      </c>
      <c r="V54" s="4">
        <v>0</v>
      </c>
      <c r="W54" s="4">
        <v>0</v>
      </c>
    </row>
    <row r="55" spans="1:23" ht="11.25" customHeight="1" x14ac:dyDescent="0.25">
      <c r="A55" s="4" t="s">
        <v>21</v>
      </c>
      <c r="B55" s="4" t="s">
        <v>35</v>
      </c>
      <c r="C55" s="4" t="s">
        <v>36</v>
      </c>
      <c r="D55" s="4" t="s">
        <v>39</v>
      </c>
      <c r="E55" s="4" t="s">
        <v>25</v>
      </c>
      <c r="F55" s="4" t="s">
        <v>25</v>
      </c>
      <c r="G55" s="4" t="s">
        <v>25</v>
      </c>
      <c r="H55" s="4" t="s">
        <v>25</v>
      </c>
      <c r="I55" s="5">
        <v>44593</v>
      </c>
      <c r="J55" s="6">
        <v>321</v>
      </c>
      <c r="K55" s="6">
        <v>321</v>
      </c>
      <c r="L55" s="6">
        <v>0</v>
      </c>
      <c r="M55" s="6">
        <v>0</v>
      </c>
      <c r="N55" s="6">
        <v>0</v>
      </c>
      <c r="O55" s="6">
        <v>0</v>
      </c>
      <c r="P55" s="6">
        <v>3</v>
      </c>
      <c r="Q55" s="4" t="s">
        <v>26</v>
      </c>
      <c r="R55" s="4">
        <v>0</v>
      </c>
      <c r="S55" s="4" t="s">
        <v>145</v>
      </c>
      <c r="U55" s="4">
        <v>16</v>
      </c>
      <c r="V55" s="4">
        <v>0</v>
      </c>
      <c r="W55" s="4">
        <v>0</v>
      </c>
    </row>
    <row r="56" spans="1:23" ht="11.25" customHeight="1" x14ac:dyDescent="0.25">
      <c r="A56" s="4" t="s">
        <v>21</v>
      </c>
      <c r="B56" s="4" t="s">
        <v>35</v>
      </c>
      <c r="C56" s="4" t="s">
        <v>36</v>
      </c>
      <c r="D56" s="4" t="s">
        <v>39</v>
      </c>
      <c r="E56" s="4" t="s">
        <v>25</v>
      </c>
      <c r="F56" s="4" t="s">
        <v>25</v>
      </c>
      <c r="G56" s="4" t="s">
        <v>25</v>
      </c>
      <c r="H56" s="4" t="s">
        <v>25</v>
      </c>
      <c r="I56" s="5">
        <v>44621</v>
      </c>
      <c r="J56" s="6">
        <v>326</v>
      </c>
      <c r="K56" s="6">
        <v>326</v>
      </c>
      <c r="L56" s="6">
        <v>0</v>
      </c>
      <c r="M56" s="6">
        <v>0</v>
      </c>
      <c r="N56" s="6">
        <v>0</v>
      </c>
      <c r="O56" s="6">
        <v>0</v>
      </c>
      <c r="P56" s="6">
        <v>3</v>
      </c>
      <c r="Q56" s="4" t="s">
        <v>26</v>
      </c>
      <c r="R56" s="4">
        <v>0</v>
      </c>
      <c r="S56" s="4" t="s">
        <v>146</v>
      </c>
      <c r="U56" s="4">
        <v>16</v>
      </c>
      <c r="V56" s="4">
        <v>0</v>
      </c>
      <c r="W56" s="4">
        <v>0</v>
      </c>
    </row>
    <row r="57" spans="1:23" ht="11.25" customHeight="1" x14ac:dyDescent="0.25">
      <c r="A57" s="4" t="s">
        <v>21</v>
      </c>
      <c r="B57" s="4" t="s">
        <v>35</v>
      </c>
      <c r="C57" s="4" t="s">
        <v>36</v>
      </c>
      <c r="D57" s="4" t="s">
        <v>39</v>
      </c>
      <c r="E57" s="4" t="s">
        <v>25</v>
      </c>
      <c r="F57" s="4" t="s">
        <v>25</v>
      </c>
      <c r="G57" s="4" t="s">
        <v>25</v>
      </c>
      <c r="H57" s="4" t="s">
        <v>25</v>
      </c>
      <c r="I57" s="5">
        <v>44652</v>
      </c>
      <c r="J57" s="6">
        <v>314</v>
      </c>
      <c r="K57" s="6">
        <v>314</v>
      </c>
      <c r="L57" s="6">
        <v>0</v>
      </c>
      <c r="M57" s="6">
        <v>0</v>
      </c>
      <c r="N57" s="6">
        <v>0</v>
      </c>
      <c r="O57" s="6">
        <v>0</v>
      </c>
      <c r="P57" s="6">
        <v>3</v>
      </c>
      <c r="Q57" s="4" t="s">
        <v>26</v>
      </c>
      <c r="R57" s="4">
        <v>0</v>
      </c>
      <c r="S57" s="4" t="s">
        <v>147</v>
      </c>
      <c r="U57" s="4">
        <v>16</v>
      </c>
      <c r="V57" s="4">
        <v>0</v>
      </c>
      <c r="W57" s="4">
        <v>0</v>
      </c>
    </row>
    <row r="58" spans="1:23" ht="11.25" customHeight="1" x14ac:dyDescent="0.25">
      <c r="A58" s="4" t="s">
        <v>21</v>
      </c>
      <c r="B58" s="4" t="s">
        <v>35</v>
      </c>
      <c r="C58" s="4" t="s">
        <v>36</v>
      </c>
      <c r="D58" s="4" t="s">
        <v>39</v>
      </c>
      <c r="E58" s="4" t="s">
        <v>25</v>
      </c>
      <c r="F58" s="4" t="s">
        <v>25</v>
      </c>
      <c r="G58" s="4" t="s">
        <v>25</v>
      </c>
      <c r="H58" s="4" t="s">
        <v>25</v>
      </c>
      <c r="I58" s="5">
        <v>44682</v>
      </c>
      <c r="J58" s="6">
        <v>335</v>
      </c>
      <c r="K58" s="6">
        <v>335</v>
      </c>
      <c r="L58" s="6">
        <v>0</v>
      </c>
      <c r="M58" s="6">
        <v>0</v>
      </c>
      <c r="N58" s="6">
        <v>0</v>
      </c>
      <c r="O58" s="6">
        <v>0</v>
      </c>
      <c r="P58" s="6">
        <v>3</v>
      </c>
      <c r="Q58" s="4" t="s">
        <v>26</v>
      </c>
      <c r="R58" s="4">
        <v>0</v>
      </c>
      <c r="S58" s="4" t="s">
        <v>148</v>
      </c>
      <c r="U58" s="4">
        <v>16</v>
      </c>
      <c r="V58" s="4">
        <v>0</v>
      </c>
      <c r="W58" s="4">
        <v>0</v>
      </c>
    </row>
    <row r="59" spans="1:23" ht="11.25" customHeight="1" x14ac:dyDescent="0.25">
      <c r="A59" s="4" t="s">
        <v>21</v>
      </c>
      <c r="B59" s="4" t="s">
        <v>35</v>
      </c>
      <c r="C59" s="4" t="s">
        <v>36</v>
      </c>
      <c r="D59" s="4" t="s">
        <v>39</v>
      </c>
      <c r="E59" s="4" t="s">
        <v>25</v>
      </c>
      <c r="F59" s="4" t="s">
        <v>25</v>
      </c>
      <c r="G59" s="4" t="s">
        <v>25</v>
      </c>
      <c r="H59" s="4" t="s">
        <v>25</v>
      </c>
      <c r="I59" s="5">
        <v>44713</v>
      </c>
      <c r="J59" s="6">
        <v>326</v>
      </c>
      <c r="K59" s="6">
        <v>326</v>
      </c>
      <c r="L59" s="6">
        <v>0</v>
      </c>
      <c r="M59" s="6">
        <v>0</v>
      </c>
      <c r="N59" s="6">
        <v>0</v>
      </c>
      <c r="O59" s="6">
        <v>0</v>
      </c>
      <c r="P59" s="6">
        <v>3</v>
      </c>
      <c r="Q59" s="4" t="s">
        <v>26</v>
      </c>
      <c r="R59" s="4">
        <v>0</v>
      </c>
      <c r="S59" s="4" t="s">
        <v>149</v>
      </c>
      <c r="U59" s="4">
        <v>16</v>
      </c>
      <c r="V59" s="4">
        <v>0</v>
      </c>
      <c r="W59" s="4">
        <v>0</v>
      </c>
    </row>
    <row r="60" spans="1:23" ht="11.25" customHeight="1" x14ac:dyDescent="0.25">
      <c r="A60" s="4" t="s">
        <v>21</v>
      </c>
      <c r="B60" s="4" t="s">
        <v>35</v>
      </c>
      <c r="C60" s="4" t="s">
        <v>36</v>
      </c>
      <c r="D60" s="4" t="s">
        <v>39</v>
      </c>
      <c r="E60" s="4" t="s">
        <v>25</v>
      </c>
      <c r="F60" s="4" t="s">
        <v>25</v>
      </c>
      <c r="G60" s="4" t="s">
        <v>25</v>
      </c>
      <c r="H60" s="4" t="s">
        <v>25</v>
      </c>
      <c r="I60" s="5">
        <v>44743</v>
      </c>
      <c r="J60" s="6">
        <v>359</v>
      </c>
      <c r="K60" s="6">
        <v>359</v>
      </c>
      <c r="L60" s="6">
        <v>0</v>
      </c>
      <c r="M60" s="6">
        <v>0</v>
      </c>
      <c r="N60" s="6">
        <v>0</v>
      </c>
      <c r="O60" s="6">
        <v>0</v>
      </c>
      <c r="P60" s="6">
        <v>3</v>
      </c>
      <c r="Q60" s="4" t="s">
        <v>26</v>
      </c>
      <c r="R60" s="4">
        <v>0</v>
      </c>
      <c r="S60" s="4" t="s">
        <v>150</v>
      </c>
      <c r="U60" s="4">
        <v>16</v>
      </c>
      <c r="V60" s="4">
        <v>0</v>
      </c>
      <c r="W60" s="4">
        <v>0</v>
      </c>
    </row>
    <row r="61" spans="1:23" ht="11.25" customHeight="1" x14ac:dyDescent="0.25">
      <c r="A61" s="4" t="s">
        <v>21</v>
      </c>
      <c r="B61" s="4" t="s">
        <v>35</v>
      </c>
      <c r="C61" s="4" t="s">
        <v>36</v>
      </c>
      <c r="D61" s="4" t="s">
        <v>39</v>
      </c>
      <c r="E61" s="4" t="s">
        <v>25</v>
      </c>
      <c r="F61" s="4" t="s">
        <v>25</v>
      </c>
      <c r="G61" s="4" t="s">
        <v>25</v>
      </c>
      <c r="H61" s="4" t="s">
        <v>25</v>
      </c>
      <c r="I61" s="5">
        <v>44774</v>
      </c>
      <c r="J61" s="6">
        <v>356</v>
      </c>
      <c r="K61" s="6">
        <v>356</v>
      </c>
      <c r="L61" s="6">
        <v>0</v>
      </c>
      <c r="M61" s="6">
        <v>0</v>
      </c>
      <c r="N61" s="6">
        <v>0</v>
      </c>
      <c r="O61" s="6">
        <v>0</v>
      </c>
      <c r="P61" s="6">
        <v>3</v>
      </c>
      <c r="Q61" s="4" t="s">
        <v>26</v>
      </c>
      <c r="R61" s="4">
        <v>0</v>
      </c>
      <c r="S61" s="4" t="s">
        <v>151</v>
      </c>
      <c r="U61" s="4">
        <v>16</v>
      </c>
      <c r="V61" s="4">
        <v>0</v>
      </c>
      <c r="W61" s="4">
        <v>0</v>
      </c>
    </row>
    <row r="62" spans="1:23" ht="11.25" customHeight="1" x14ac:dyDescent="0.25">
      <c r="A62" s="4" t="s">
        <v>21</v>
      </c>
      <c r="B62" s="4" t="s">
        <v>35</v>
      </c>
      <c r="C62" s="4" t="s">
        <v>36</v>
      </c>
      <c r="D62" s="4" t="s">
        <v>39</v>
      </c>
      <c r="E62" s="4" t="s">
        <v>25</v>
      </c>
      <c r="F62" s="4" t="s">
        <v>25</v>
      </c>
      <c r="G62" s="4" t="s">
        <v>25</v>
      </c>
      <c r="H62" s="4" t="s">
        <v>37</v>
      </c>
      <c r="I62" s="5">
        <v>44440</v>
      </c>
      <c r="J62" s="6">
        <v>0</v>
      </c>
      <c r="K62" s="6">
        <v>0</v>
      </c>
      <c r="L62" s="6">
        <v>2.1179999999999999</v>
      </c>
      <c r="M62" s="6">
        <v>2.1179999999999999</v>
      </c>
      <c r="N62" s="6">
        <v>2.1179999999999999</v>
      </c>
      <c r="O62" s="6">
        <v>2.1179999999999999</v>
      </c>
      <c r="P62" s="6">
        <v>0</v>
      </c>
      <c r="Q62" s="4" t="s">
        <v>26</v>
      </c>
      <c r="R62" s="4">
        <v>0</v>
      </c>
      <c r="S62" s="4" t="s">
        <v>152</v>
      </c>
      <c r="T62" s="4" t="s">
        <v>273</v>
      </c>
      <c r="U62" s="4">
        <v>0</v>
      </c>
      <c r="V62" s="4">
        <v>25</v>
      </c>
      <c r="W62" s="4">
        <v>44</v>
      </c>
    </row>
    <row r="63" spans="1:23" ht="11.25" customHeight="1" x14ac:dyDescent="0.25">
      <c r="A63" s="4" t="s">
        <v>21</v>
      </c>
      <c r="B63" s="4" t="s">
        <v>35</v>
      </c>
      <c r="C63" s="4" t="s">
        <v>36</v>
      </c>
      <c r="D63" s="4" t="s">
        <v>39</v>
      </c>
      <c r="E63" s="4" t="s">
        <v>25</v>
      </c>
      <c r="F63" s="4" t="s">
        <v>25</v>
      </c>
      <c r="G63" s="4" t="s">
        <v>25</v>
      </c>
      <c r="H63" s="4" t="s">
        <v>37</v>
      </c>
      <c r="I63" s="5">
        <v>44470</v>
      </c>
      <c r="J63" s="6">
        <v>0</v>
      </c>
      <c r="K63" s="6">
        <v>0</v>
      </c>
      <c r="L63" s="6">
        <v>2.3210000000000002</v>
      </c>
      <c r="M63" s="6">
        <v>2.3210000000000002</v>
      </c>
      <c r="N63" s="6">
        <v>2.3210000000000002</v>
      </c>
      <c r="O63" s="6">
        <v>2.3210000000000002</v>
      </c>
      <c r="P63" s="6">
        <v>0</v>
      </c>
      <c r="Q63" s="4" t="s">
        <v>26</v>
      </c>
      <c r="R63" s="4">
        <v>0</v>
      </c>
      <c r="S63" s="4" t="s">
        <v>153</v>
      </c>
      <c r="T63" s="4" t="s">
        <v>274</v>
      </c>
      <c r="U63" s="4">
        <v>0</v>
      </c>
      <c r="V63" s="4">
        <v>25</v>
      </c>
      <c r="W63" s="4">
        <v>44</v>
      </c>
    </row>
    <row r="64" spans="1:23" ht="11.25" customHeight="1" x14ac:dyDescent="0.25">
      <c r="A64" s="4" t="s">
        <v>21</v>
      </c>
      <c r="B64" s="4" t="s">
        <v>35</v>
      </c>
      <c r="C64" s="4" t="s">
        <v>36</v>
      </c>
      <c r="D64" s="4" t="s">
        <v>39</v>
      </c>
      <c r="E64" s="4" t="s">
        <v>25</v>
      </c>
      <c r="F64" s="4" t="s">
        <v>25</v>
      </c>
      <c r="G64" s="4" t="s">
        <v>25</v>
      </c>
      <c r="H64" s="4" t="s">
        <v>37</v>
      </c>
      <c r="I64" s="5">
        <v>44501</v>
      </c>
      <c r="J64" s="6">
        <v>0</v>
      </c>
      <c r="K64" s="6">
        <v>0</v>
      </c>
      <c r="L64" s="6">
        <v>1.647</v>
      </c>
      <c r="M64" s="6">
        <v>1.647</v>
      </c>
      <c r="N64" s="6">
        <v>1.647</v>
      </c>
      <c r="O64" s="6">
        <v>1.647</v>
      </c>
      <c r="P64" s="6">
        <v>0</v>
      </c>
      <c r="Q64" s="4" t="s">
        <v>26</v>
      </c>
      <c r="R64" s="4">
        <v>0</v>
      </c>
      <c r="S64" s="4" t="s">
        <v>154</v>
      </c>
      <c r="T64" s="4" t="s">
        <v>275</v>
      </c>
      <c r="U64" s="4">
        <v>0</v>
      </c>
      <c r="V64" s="4">
        <v>25</v>
      </c>
      <c r="W64" s="4">
        <v>44</v>
      </c>
    </row>
    <row r="65" spans="1:23" ht="11.25" customHeight="1" x14ac:dyDescent="0.25">
      <c r="A65" s="4" t="s">
        <v>21</v>
      </c>
      <c r="B65" s="4" t="s">
        <v>35</v>
      </c>
      <c r="C65" s="4" t="s">
        <v>36</v>
      </c>
      <c r="D65" s="4" t="s">
        <v>39</v>
      </c>
      <c r="E65" s="4" t="s">
        <v>25</v>
      </c>
      <c r="F65" s="4" t="s">
        <v>25</v>
      </c>
      <c r="G65" s="4" t="s">
        <v>25</v>
      </c>
      <c r="H65" s="4" t="s">
        <v>37</v>
      </c>
      <c r="I65" s="5">
        <v>44531</v>
      </c>
      <c r="J65" s="6">
        <v>0</v>
      </c>
      <c r="K65" s="6">
        <v>0</v>
      </c>
      <c r="L65" s="6">
        <v>1.8440000000000001</v>
      </c>
      <c r="M65" s="6">
        <v>1.8440000000000001</v>
      </c>
      <c r="N65" s="6">
        <v>1.8440000000000001</v>
      </c>
      <c r="O65" s="6">
        <v>1.8440000000000001</v>
      </c>
      <c r="P65" s="6">
        <v>0</v>
      </c>
      <c r="Q65" s="4" t="s">
        <v>26</v>
      </c>
      <c r="R65" s="4">
        <v>0</v>
      </c>
      <c r="S65" s="4" t="s">
        <v>155</v>
      </c>
      <c r="T65" s="4" t="s">
        <v>276</v>
      </c>
      <c r="U65" s="4">
        <v>0</v>
      </c>
      <c r="V65" s="4">
        <v>25</v>
      </c>
      <c r="W65" s="4">
        <v>44</v>
      </c>
    </row>
    <row r="66" spans="1:23" ht="11.25" customHeight="1" x14ac:dyDescent="0.25">
      <c r="A66" s="4" t="s">
        <v>21</v>
      </c>
      <c r="B66" s="4" t="s">
        <v>35</v>
      </c>
      <c r="C66" s="4" t="s">
        <v>36</v>
      </c>
      <c r="D66" s="4" t="s">
        <v>39</v>
      </c>
      <c r="E66" s="4" t="s">
        <v>25</v>
      </c>
      <c r="F66" s="4" t="s">
        <v>25</v>
      </c>
      <c r="G66" s="4" t="s">
        <v>25</v>
      </c>
      <c r="H66" s="4" t="s">
        <v>37</v>
      </c>
      <c r="I66" s="5">
        <v>44562</v>
      </c>
      <c r="J66" s="6">
        <v>0</v>
      </c>
      <c r="K66" s="6">
        <v>0</v>
      </c>
      <c r="L66" s="6">
        <v>1.756</v>
      </c>
      <c r="M66" s="6">
        <v>1.756</v>
      </c>
      <c r="N66" s="6">
        <v>1.756</v>
      </c>
      <c r="O66" s="6">
        <v>1.756</v>
      </c>
      <c r="P66" s="6">
        <v>0</v>
      </c>
      <c r="Q66" s="4" t="s">
        <v>26</v>
      </c>
      <c r="R66" s="4">
        <v>0</v>
      </c>
      <c r="S66" s="4" t="s">
        <v>156</v>
      </c>
      <c r="T66" s="4" t="s">
        <v>277</v>
      </c>
      <c r="U66" s="4">
        <v>0</v>
      </c>
      <c r="V66" s="4">
        <v>25</v>
      </c>
      <c r="W66" s="4">
        <v>44</v>
      </c>
    </row>
    <row r="67" spans="1:23" ht="11.25" customHeight="1" x14ac:dyDescent="0.25">
      <c r="A67" s="4" t="s">
        <v>21</v>
      </c>
      <c r="B67" s="4" t="s">
        <v>35</v>
      </c>
      <c r="C67" s="4" t="s">
        <v>36</v>
      </c>
      <c r="D67" s="4" t="s">
        <v>39</v>
      </c>
      <c r="E67" s="4" t="s">
        <v>25</v>
      </c>
      <c r="F67" s="4" t="s">
        <v>25</v>
      </c>
      <c r="G67" s="4" t="s">
        <v>25</v>
      </c>
      <c r="H67" s="4" t="s">
        <v>37</v>
      </c>
      <c r="I67" s="5">
        <v>44593</v>
      </c>
      <c r="J67" s="6">
        <v>0</v>
      </c>
      <c r="K67" s="6">
        <v>0</v>
      </c>
      <c r="L67" s="6">
        <v>1.758</v>
      </c>
      <c r="M67" s="6">
        <v>1.758</v>
      </c>
      <c r="N67" s="6">
        <v>1.758</v>
      </c>
      <c r="O67" s="6">
        <v>1.758</v>
      </c>
      <c r="P67" s="6">
        <v>0</v>
      </c>
      <c r="Q67" s="4" t="s">
        <v>26</v>
      </c>
      <c r="R67" s="4">
        <v>0</v>
      </c>
      <c r="S67" s="4" t="s">
        <v>157</v>
      </c>
      <c r="T67" s="4" t="s">
        <v>278</v>
      </c>
      <c r="U67" s="4">
        <v>0</v>
      </c>
      <c r="V67" s="4">
        <v>25</v>
      </c>
      <c r="W67" s="4">
        <v>44</v>
      </c>
    </row>
    <row r="68" spans="1:23" ht="11.25" customHeight="1" x14ac:dyDescent="0.25">
      <c r="A68" s="4" t="s">
        <v>21</v>
      </c>
      <c r="B68" s="4" t="s">
        <v>35</v>
      </c>
      <c r="C68" s="4" t="s">
        <v>36</v>
      </c>
      <c r="D68" s="4" t="s">
        <v>39</v>
      </c>
      <c r="E68" s="4" t="s">
        <v>25</v>
      </c>
      <c r="F68" s="4" t="s">
        <v>25</v>
      </c>
      <c r="G68" s="4" t="s">
        <v>25</v>
      </c>
      <c r="H68" s="4" t="s">
        <v>37</v>
      </c>
      <c r="I68" s="5">
        <v>44621</v>
      </c>
      <c r="J68" s="6">
        <v>0</v>
      </c>
      <c r="K68" s="6">
        <v>0</v>
      </c>
      <c r="L68" s="6">
        <v>1.974</v>
      </c>
      <c r="M68" s="6">
        <v>1.974</v>
      </c>
      <c r="N68" s="6">
        <v>1.974</v>
      </c>
      <c r="O68" s="6">
        <v>1.974</v>
      </c>
      <c r="P68" s="6">
        <v>0</v>
      </c>
      <c r="Q68" s="4" t="s">
        <v>26</v>
      </c>
      <c r="R68" s="4">
        <v>0</v>
      </c>
      <c r="S68" s="4" t="s">
        <v>158</v>
      </c>
      <c r="T68" s="4" t="s">
        <v>279</v>
      </c>
      <c r="U68" s="4">
        <v>0</v>
      </c>
      <c r="V68" s="4">
        <v>25</v>
      </c>
      <c r="W68" s="4">
        <v>44</v>
      </c>
    </row>
    <row r="69" spans="1:23" ht="11.25" customHeight="1" x14ac:dyDescent="0.25">
      <c r="A69" s="4" t="s">
        <v>21</v>
      </c>
      <c r="B69" s="4" t="s">
        <v>35</v>
      </c>
      <c r="C69" s="4" t="s">
        <v>36</v>
      </c>
      <c r="D69" s="4" t="s">
        <v>39</v>
      </c>
      <c r="E69" s="4" t="s">
        <v>25</v>
      </c>
      <c r="F69" s="4" t="s">
        <v>25</v>
      </c>
      <c r="G69" s="4" t="s">
        <v>25</v>
      </c>
      <c r="H69" s="4" t="s">
        <v>37</v>
      </c>
      <c r="I69" s="5">
        <v>44652</v>
      </c>
      <c r="J69" s="6">
        <v>0</v>
      </c>
      <c r="K69" s="6">
        <v>0</v>
      </c>
      <c r="L69" s="6">
        <v>1.9390000000000001</v>
      </c>
      <c r="M69" s="6">
        <v>1.9390000000000001</v>
      </c>
      <c r="N69" s="6">
        <v>1.9390000000000001</v>
      </c>
      <c r="O69" s="6">
        <v>1.9390000000000001</v>
      </c>
      <c r="P69" s="6">
        <v>0</v>
      </c>
      <c r="Q69" s="4" t="s">
        <v>26</v>
      </c>
      <c r="R69" s="4">
        <v>0</v>
      </c>
      <c r="S69" s="4" t="s">
        <v>159</v>
      </c>
      <c r="T69" s="4" t="s">
        <v>280</v>
      </c>
      <c r="U69" s="4">
        <v>0</v>
      </c>
      <c r="V69" s="4">
        <v>25</v>
      </c>
      <c r="W69" s="4">
        <v>44</v>
      </c>
    </row>
    <row r="70" spans="1:23" ht="11.25" customHeight="1" x14ac:dyDescent="0.25">
      <c r="A70" s="4" t="s">
        <v>21</v>
      </c>
      <c r="B70" s="4" t="s">
        <v>35</v>
      </c>
      <c r="C70" s="4" t="s">
        <v>36</v>
      </c>
      <c r="D70" s="4" t="s">
        <v>39</v>
      </c>
      <c r="E70" s="4" t="s">
        <v>25</v>
      </c>
      <c r="F70" s="4" t="s">
        <v>25</v>
      </c>
      <c r="G70" s="4" t="s">
        <v>25</v>
      </c>
      <c r="H70" s="4" t="s">
        <v>37</v>
      </c>
      <c r="I70" s="5">
        <v>44682</v>
      </c>
      <c r="J70" s="6">
        <v>0</v>
      </c>
      <c r="K70" s="6">
        <v>0</v>
      </c>
      <c r="L70" s="6">
        <v>2.0470000000000002</v>
      </c>
      <c r="M70" s="6">
        <v>2.0470000000000002</v>
      </c>
      <c r="N70" s="6">
        <v>2.0470000000000002</v>
      </c>
      <c r="O70" s="6">
        <v>2.0470000000000002</v>
      </c>
      <c r="P70" s="6">
        <v>0</v>
      </c>
      <c r="Q70" s="4" t="s">
        <v>26</v>
      </c>
      <c r="R70" s="4">
        <v>0</v>
      </c>
      <c r="S70" s="4" t="s">
        <v>160</v>
      </c>
      <c r="T70" s="4" t="s">
        <v>281</v>
      </c>
      <c r="U70" s="4">
        <v>0</v>
      </c>
      <c r="V70" s="4">
        <v>25</v>
      </c>
      <c r="W70" s="4">
        <v>44</v>
      </c>
    </row>
    <row r="71" spans="1:23" ht="11.25" customHeight="1" x14ac:dyDescent="0.25">
      <c r="A71" s="4" t="s">
        <v>21</v>
      </c>
      <c r="B71" s="4" t="s">
        <v>35</v>
      </c>
      <c r="C71" s="4" t="s">
        <v>36</v>
      </c>
      <c r="D71" s="4" t="s">
        <v>39</v>
      </c>
      <c r="E71" s="4" t="s">
        <v>25</v>
      </c>
      <c r="F71" s="4" t="s">
        <v>25</v>
      </c>
      <c r="G71" s="4" t="s">
        <v>25</v>
      </c>
      <c r="H71" s="4" t="s">
        <v>37</v>
      </c>
      <c r="I71" s="5">
        <v>44713</v>
      </c>
      <c r="J71" s="6">
        <v>0</v>
      </c>
      <c r="K71" s="6">
        <v>0</v>
      </c>
      <c r="L71" s="6">
        <v>2.2669999999999999</v>
      </c>
      <c r="M71" s="6">
        <v>2.2669999999999999</v>
      </c>
      <c r="N71" s="6">
        <v>2.2669999999999999</v>
      </c>
      <c r="O71" s="6">
        <v>2.2669999999999999</v>
      </c>
      <c r="P71" s="6">
        <v>0</v>
      </c>
      <c r="Q71" s="4" t="s">
        <v>26</v>
      </c>
      <c r="R71" s="4">
        <v>0</v>
      </c>
      <c r="S71" s="4" t="s">
        <v>161</v>
      </c>
      <c r="T71" s="4" t="s">
        <v>282</v>
      </c>
      <c r="U71" s="4">
        <v>0</v>
      </c>
      <c r="V71" s="4">
        <v>25</v>
      </c>
      <c r="W71" s="4">
        <v>44</v>
      </c>
    </row>
    <row r="72" spans="1:23" ht="11.25" customHeight="1" x14ac:dyDescent="0.25">
      <c r="A72" s="4" t="s">
        <v>21</v>
      </c>
      <c r="B72" s="4" t="s">
        <v>35</v>
      </c>
      <c r="C72" s="4" t="s">
        <v>36</v>
      </c>
      <c r="D72" s="4" t="s">
        <v>39</v>
      </c>
      <c r="E72" s="4" t="s">
        <v>25</v>
      </c>
      <c r="F72" s="4" t="s">
        <v>25</v>
      </c>
      <c r="G72" s="4" t="s">
        <v>25</v>
      </c>
      <c r="H72" s="4" t="s">
        <v>37</v>
      </c>
      <c r="I72" s="5">
        <v>44743</v>
      </c>
      <c r="J72" s="6">
        <v>0</v>
      </c>
      <c r="K72" s="6">
        <v>0</v>
      </c>
      <c r="L72" s="6">
        <v>2.5880000000000001</v>
      </c>
      <c r="M72" s="6">
        <v>2.5880000000000001</v>
      </c>
      <c r="N72" s="6">
        <v>2.5880000000000001</v>
      </c>
      <c r="O72" s="6">
        <v>2.5880000000000001</v>
      </c>
      <c r="P72" s="6">
        <v>0</v>
      </c>
      <c r="Q72" s="4" t="s">
        <v>26</v>
      </c>
      <c r="R72" s="4">
        <v>0</v>
      </c>
      <c r="S72" s="4" t="s">
        <v>162</v>
      </c>
      <c r="T72" s="4" t="s">
        <v>283</v>
      </c>
      <c r="U72" s="4">
        <v>0</v>
      </c>
      <c r="V72" s="4">
        <v>25</v>
      </c>
      <c r="W72" s="4">
        <v>44</v>
      </c>
    </row>
    <row r="73" spans="1:23" ht="11.25" customHeight="1" x14ac:dyDescent="0.25">
      <c r="A73" s="4" t="s">
        <v>21</v>
      </c>
      <c r="B73" s="4" t="s">
        <v>35</v>
      </c>
      <c r="C73" s="4" t="s">
        <v>36</v>
      </c>
      <c r="D73" s="4" t="s">
        <v>39</v>
      </c>
      <c r="E73" s="4" t="s">
        <v>25</v>
      </c>
      <c r="F73" s="4" t="s">
        <v>25</v>
      </c>
      <c r="G73" s="4" t="s">
        <v>25</v>
      </c>
      <c r="H73" s="4" t="s">
        <v>37</v>
      </c>
      <c r="I73" s="5">
        <v>44774</v>
      </c>
      <c r="J73" s="6">
        <v>0</v>
      </c>
      <c r="K73" s="6">
        <v>0</v>
      </c>
      <c r="L73" s="6">
        <v>2.2269999999999999</v>
      </c>
      <c r="M73" s="6">
        <v>2.2269999999999999</v>
      </c>
      <c r="N73" s="6">
        <v>2.2269999999999999</v>
      </c>
      <c r="O73" s="6">
        <v>2.2269999999999999</v>
      </c>
      <c r="P73" s="6">
        <v>0</v>
      </c>
      <c r="Q73" s="4" t="s">
        <v>26</v>
      </c>
      <c r="R73" s="4">
        <v>0</v>
      </c>
      <c r="S73" s="4" t="s">
        <v>163</v>
      </c>
      <c r="T73" s="4" t="s">
        <v>284</v>
      </c>
      <c r="U73" s="4">
        <v>0</v>
      </c>
      <c r="V73" s="4">
        <v>25</v>
      </c>
      <c r="W73" s="4">
        <v>44</v>
      </c>
    </row>
    <row r="74" spans="1:23" ht="11.25" customHeight="1" x14ac:dyDescent="0.25">
      <c r="A74" s="4" t="s">
        <v>21</v>
      </c>
      <c r="B74" s="4" t="s">
        <v>35</v>
      </c>
      <c r="C74" s="4" t="s">
        <v>36</v>
      </c>
      <c r="D74" s="4" t="s">
        <v>34</v>
      </c>
      <c r="E74" s="4" t="s">
        <v>25</v>
      </c>
      <c r="F74" s="4" t="s">
        <v>25</v>
      </c>
      <c r="G74" s="4" t="s">
        <v>25</v>
      </c>
      <c r="H74" s="4" t="s">
        <v>38</v>
      </c>
      <c r="I74" s="5">
        <v>44440</v>
      </c>
      <c r="J74" s="6">
        <v>0</v>
      </c>
      <c r="K74" s="6">
        <v>0</v>
      </c>
      <c r="L74" s="6">
        <v>2285.2629999999999</v>
      </c>
      <c r="M74" s="6">
        <v>2285.2629999999999</v>
      </c>
      <c r="N74" s="6">
        <v>2285.2629999999999</v>
      </c>
      <c r="O74" s="6">
        <v>2285.2629999999999</v>
      </c>
      <c r="P74" s="6">
        <v>0</v>
      </c>
      <c r="Q74" s="4" t="s">
        <v>26</v>
      </c>
      <c r="R74" s="4">
        <v>0</v>
      </c>
      <c r="S74" s="4" t="s">
        <v>128</v>
      </c>
      <c r="T74" s="4" t="s">
        <v>261</v>
      </c>
      <c r="U74" s="4">
        <v>0</v>
      </c>
      <c r="V74" s="4">
        <v>23</v>
      </c>
      <c r="W74" s="4">
        <v>51</v>
      </c>
    </row>
    <row r="75" spans="1:23" ht="11.25" customHeight="1" x14ac:dyDescent="0.25">
      <c r="A75" s="4" t="s">
        <v>28</v>
      </c>
      <c r="B75" s="4" t="s">
        <v>35</v>
      </c>
      <c r="C75" s="4" t="s">
        <v>36</v>
      </c>
      <c r="D75" s="4" t="s">
        <v>34</v>
      </c>
      <c r="E75" s="4" t="s">
        <v>25</v>
      </c>
      <c r="F75" s="4" t="s">
        <v>25</v>
      </c>
      <c r="G75" s="4" t="s">
        <v>25</v>
      </c>
      <c r="H75" s="4" t="s">
        <v>38</v>
      </c>
      <c r="I75" s="5">
        <v>44440</v>
      </c>
      <c r="J75" s="6">
        <v>0</v>
      </c>
      <c r="K75" s="6">
        <v>0</v>
      </c>
      <c r="L75" s="6">
        <v>0.39</v>
      </c>
      <c r="M75" s="6">
        <v>0.39</v>
      </c>
      <c r="N75" s="6">
        <v>0.39</v>
      </c>
      <c r="O75" s="6">
        <v>0.39</v>
      </c>
      <c r="P75" s="6">
        <v>0</v>
      </c>
      <c r="Q75" s="4" t="s">
        <v>26</v>
      </c>
      <c r="R75" s="4">
        <v>0</v>
      </c>
      <c r="S75" s="4" t="s">
        <v>128</v>
      </c>
      <c r="T75" s="4" t="s">
        <v>261</v>
      </c>
      <c r="U75" s="4">
        <v>0</v>
      </c>
      <c r="V75" s="4">
        <v>23</v>
      </c>
      <c r="W75" s="4">
        <v>51</v>
      </c>
    </row>
    <row r="76" spans="1:23" ht="11.25" customHeight="1" x14ac:dyDescent="0.25">
      <c r="A76" s="4" t="s">
        <v>21</v>
      </c>
      <c r="B76" s="4" t="s">
        <v>35</v>
      </c>
      <c r="C76" s="4" t="s">
        <v>36</v>
      </c>
      <c r="D76" s="4" t="s">
        <v>34</v>
      </c>
      <c r="E76" s="4" t="s">
        <v>25</v>
      </c>
      <c r="F76" s="4" t="s">
        <v>25</v>
      </c>
      <c r="G76" s="4" t="s">
        <v>25</v>
      </c>
      <c r="H76" s="4" t="s">
        <v>38</v>
      </c>
      <c r="I76" s="5">
        <v>44470</v>
      </c>
      <c r="J76" s="6">
        <v>0</v>
      </c>
      <c r="K76" s="6">
        <v>0</v>
      </c>
      <c r="L76" s="6">
        <v>2156.15</v>
      </c>
      <c r="M76" s="6">
        <v>2156.15</v>
      </c>
      <c r="N76" s="6">
        <v>2156.15</v>
      </c>
      <c r="O76" s="6">
        <v>2156.15</v>
      </c>
      <c r="P76" s="6">
        <v>0</v>
      </c>
      <c r="Q76" s="4" t="s">
        <v>26</v>
      </c>
      <c r="R76" s="4">
        <v>0</v>
      </c>
      <c r="S76" s="4" t="s">
        <v>129</v>
      </c>
      <c r="T76" s="4" t="s">
        <v>262</v>
      </c>
      <c r="U76" s="4">
        <v>0</v>
      </c>
      <c r="V76" s="4">
        <v>23</v>
      </c>
      <c r="W76" s="4">
        <v>51</v>
      </c>
    </row>
    <row r="77" spans="1:23" ht="11.25" customHeight="1" x14ac:dyDescent="0.25">
      <c r="A77" s="4" t="s">
        <v>21</v>
      </c>
      <c r="B77" s="4" t="s">
        <v>35</v>
      </c>
      <c r="C77" s="4" t="s">
        <v>36</v>
      </c>
      <c r="D77" s="4" t="s">
        <v>34</v>
      </c>
      <c r="E77" s="4" t="s">
        <v>25</v>
      </c>
      <c r="F77" s="4" t="s">
        <v>25</v>
      </c>
      <c r="G77" s="4" t="s">
        <v>25</v>
      </c>
      <c r="H77" s="4" t="s">
        <v>38</v>
      </c>
      <c r="I77" s="5">
        <v>44501</v>
      </c>
      <c r="J77" s="6">
        <v>0</v>
      </c>
      <c r="K77" s="6">
        <v>0</v>
      </c>
      <c r="L77" s="6">
        <v>2218.4679999999998</v>
      </c>
      <c r="M77" s="6">
        <v>2218.4679999999998</v>
      </c>
      <c r="N77" s="6">
        <v>2218.4679999999998</v>
      </c>
      <c r="O77" s="6">
        <v>2218.4679999999998</v>
      </c>
      <c r="P77" s="6">
        <v>0</v>
      </c>
      <c r="Q77" s="4" t="s">
        <v>26</v>
      </c>
      <c r="R77" s="4">
        <v>0</v>
      </c>
      <c r="S77" s="4" t="s">
        <v>130</v>
      </c>
      <c r="T77" s="4" t="s">
        <v>263</v>
      </c>
      <c r="U77" s="4">
        <v>0</v>
      </c>
      <c r="V77" s="4">
        <v>23</v>
      </c>
      <c r="W77" s="4">
        <v>51</v>
      </c>
    </row>
    <row r="78" spans="1:23" ht="11.25" customHeight="1" x14ac:dyDescent="0.25">
      <c r="A78" s="4" t="s">
        <v>28</v>
      </c>
      <c r="B78" s="4" t="s">
        <v>35</v>
      </c>
      <c r="C78" s="4" t="s">
        <v>36</v>
      </c>
      <c r="D78" s="4" t="s">
        <v>34</v>
      </c>
      <c r="E78" s="4" t="s">
        <v>25</v>
      </c>
      <c r="F78" s="4" t="s">
        <v>25</v>
      </c>
      <c r="G78" s="4" t="s">
        <v>25</v>
      </c>
      <c r="H78" s="4" t="s">
        <v>38</v>
      </c>
      <c r="I78" s="5">
        <v>44501</v>
      </c>
      <c r="J78" s="6">
        <v>0</v>
      </c>
      <c r="K78" s="6">
        <v>0</v>
      </c>
      <c r="L78" s="6">
        <v>11.406000000000001</v>
      </c>
      <c r="M78" s="6">
        <v>11.406000000000001</v>
      </c>
      <c r="N78" s="6">
        <v>11.406000000000001</v>
      </c>
      <c r="O78" s="6">
        <v>11.406000000000001</v>
      </c>
      <c r="P78" s="6">
        <v>0</v>
      </c>
      <c r="Q78" s="4" t="s">
        <v>26</v>
      </c>
      <c r="R78" s="4">
        <v>0</v>
      </c>
      <c r="S78" s="4" t="s">
        <v>130</v>
      </c>
      <c r="T78" s="4" t="s">
        <v>263</v>
      </c>
      <c r="U78" s="4">
        <v>0</v>
      </c>
      <c r="V78" s="4">
        <v>23</v>
      </c>
      <c r="W78" s="4">
        <v>51</v>
      </c>
    </row>
    <row r="79" spans="1:23" ht="11.25" customHeight="1" x14ac:dyDescent="0.25">
      <c r="A79" s="4" t="s">
        <v>21</v>
      </c>
      <c r="B79" s="4" t="s">
        <v>35</v>
      </c>
      <c r="C79" s="4" t="s">
        <v>36</v>
      </c>
      <c r="D79" s="4" t="s">
        <v>34</v>
      </c>
      <c r="E79" s="4" t="s">
        <v>25</v>
      </c>
      <c r="F79" s="4" t="s">
        <v>25</v>
      </c>
      <c r="G79" s="4" t="s">
        <v>25</v>
      </c>
      <c r="H79" s="4" t="s">
        <v>38</v>
      </c>
      <c r="I79" s="5">
        <v>44531</v>
      </c>
      <c r="J79" s="6">
        <v>0</v>
      </c>
      <c r="K79" s="6">
        <v>0</v>
      </c>
      <c r="L79" s="6">
        <v>1925.65</v>
      </c>
      <c r="M79" s="6">
        <v>1925.65</v>
      </c>
      <c r="N79" s="6">
        <v>1925.65</v>
      </c>
      <c r="O79" s="6">
        <v>1925.65</v>
      </c>
      <c r="P79" s="6">
        <v>0</v>
      </c>
      <c r="Q79" s="4" t="s">
        <v>26</v>
      </c>
      <c r="R79" s="4">
        <v>0</v>
      </c>
      <c r="S79" s="4" t="s">
        <v>131</v>
      </c>
      <c r="T79" s="4" t="s">
        <v>264</v>
      </c>
      <c r="U79" s="4">
        <v>0</v>
      </c>
      <c r="V79" s="4">
        <v>23</v>
      </c>
      <c r="W79" s="4">
        <v>51</v>
      </c>
    </row>
    <row r="80" spans="1:23" ht="11.25" customHeight="1" x14ac:dyDescent="0.25">
      <c r="A80" s="4" t="s">
        <v>28</v>
      </c>
      <c r="B80" s="4" t="s">
        <v>35</v>
      </c>
      <c r="C80" s="4" t="s">
        <v>36</v>
      </c>
      <c r="D80" s="4" t="s">
        <v>34</v>
      </c>
      <c r="E80" s="4" t="s">
        <v>25</v>
      </c>
      <c r="F80" s="4" t="s">
        <v>25</v>
      </c>
      <c r="G80" s="4" t="s">
        <v>25</v>
      </c>
      <c r="H80" s="4" t="s">
        <v>38</v>
      </c>
      <c r="I80" s="5">
        <v>44531</v>
      </c>
      <c r="J80" s="6">
        <v>0</v>
      </c>
      <c r="K80" s="6">
        <v>0</v>
      </c>
      <c r="L80" s="6">
        <v>6.08</v>
      </c>
      <c r="M80" s="6">
        <v>6.08</v>
      </c>
      <c r="N80" s="6">
        <v>6.08</v>
      </c>
      <c r="O80" s="6">
        <v>6.08</v>
      </c>
      <c r="P80" s="6">
        <v>0</v>
      </c>
      <c r="Q80" s="4" t="s">
        <v>26</v>
      </c>
      <c r="R80" s="4">
        <v>0</v>
      </c>
      <c r="S80" s="4" t="s">
        <v>131</v>
      </c>
      <c r="T80" s="4" t="s">
        <v>264</v>
      </c>
      <c r="U80" s="4">
        <v>0</v>
      </c>
      <c r="V80" s="4">
        <v>23</v>
      </c>
      <c r="W80" s="4">
        <v>51</v>
      </c>
    </row>
    <row r="81" spans="1:23" ht="11.25" customHeight="1" x14ac:dyDescent="0.25">
      <c r="A81" s="4" t="s">
        <v>21</v>
      </c>
      <c r="B81" s="4" t="s">
        <v>35</v>
      </c>
      <c r="C81" s="4" t="s">
        <v>36</v>
      </c>
      <c r="D81" s="4" t="s">
        <v>34</v>
      </c>
      <c r="E81" s="4" t="s">
        <v>25</v>
      </c>
      <c r="F81" s="4" t="s">
        <v>25</v>
      </c>
      <c r="G81" s="4" t="s">
        <v>25</v>
      </c>
      <c r="H81" s="4" t="s">
        <v>38</v>
      </c>
      <c r="I81" s="5">
        <v>44562</v>
      </c>
      <c r="J81" s="6">
        <v>0</v>
      </c>
      <c r="K81" s="6">
        <v>0</v>
      </c>
      <c r="L81" s="6">
        <v>2135.4859999999999</v>
      </c>
      <c r="M81" s="6">
        <v>2135.4859999999999</v>
      </c>
      <c r="N81" s="6">
        <v>2135.4859999999999</v>
      </c>
      <c r="O81" s="6">
        <v>2135.4859999999999</v>
      </c>
      <c r="P81" s="6">
        <v>0</v>
      </c>
      <c r="Q81" s="4" t="s">
        <v>26</v>
      </c>
      <c r="R81" s="4">
        <v>0</v>
      </c>
      <c r="S81" s="4" t="s">
        <v>132</v>
      </c>
      <c r="T81" s="4" t="s">
        <v>265</v>
      </c>
      <c r="U81" s="4">
        <v>0</v>
      </c>
      <c r="V81" s="4">
        <v>23</v>
      </c>
      <c r="W81" s="4">
        <v>51</v>
      </c>
    </row>
    <row r="82" spans="1:23" ht="11.25" customHeight="1" x14ac:dyDescent="0.25">
      <c r="A82" s="4" t="s">
        <v>28</v>
      </c>
      <c r="B82" s="4" t="s">
        <v>35</v>
      </c>
      <c r="C82" s="4" t="s">
        <v>36</v>
      </c>
      <c r="D82" s="4" t="s">
        <v>34</v>
      </c>
      <c r="E82" s="4" t="s">
        <v>25</v>
      </c>
      <c r="F82" s="4" t="s">
        <v>25</v>
      </c>
      <c r="G82" s="4" t="s">
        <v>25</v>
      </c>
      <c r="H82" s="4" t="s">
        <v>38</v>
      </c>
      <c r="I82" s="5">
        <v>44562</v>
      </c>
      <c r="J82" s="6">
        <v>0</v>
      </c>
      <c r="K82" s="6">
        <v>0</v>
      </c>
      <c r="L82" s="6">
        <v>9.3309999999999995</v>
      </c>
      <c r="M82" s="6">
        <v>9.3309999999999995</v>
      </c>
      <c r="N82" s="6">
        <v>9.3309999999999995</v>
      </c>
      <c r="O82" s="6">
        <v>9.3309999999999995</v>
      </c>
      <c r="P82" s="6">
        <v>0</v>
      </c>
      <c r="Q82" s="4" t="s">
        <v>26</v>
      </c>
      <c r="R82" s="4">
        <v>0</v>
      </c>
      <c r="S82" s="4" t="s">
        <v>132</v>
      </c>
      <c r="T82" s="4" t="s">
        <v>265</v>
      </c>
      <c r="U82" s="4">
        <v>0</v>
      </c>
      <c r="V82" s="4">
        <v>23</v>
      </c>
      <c r="W82" s="4">
        <v>51</v>
      </c>
    </row>
    <row r="83" spans="1:23" ht="11.25" customHeight="1" x14ac:dyDescent="0.25">
      <c r="A83" s="4" t="s">
        <v>21</v>
      </c>
      <c r="B83" s="4" t="s">
        <v>35</v>
      </c>
      <c r="C83" s="4" t="s">
        <v>36</v>
      </c>
      <c r="D83" s="4" t="s">
        <v>34</v>
      </c>
      <c r="E83" s="4" t="s">
        <v>25</v>
      </c>
      <c r="F83" s="4" t="s">
        <v>25</v>
      </c>
      <c r="G83" s="4" t="s">
        <v>25</v>
      </c>
      <c r="H83" s="4" t="s">
        <v>38</v>
      </c>
      <c r="I83" s="5">
        <v>44593</v>
      </c>
      <c r="J83" s="6">
        <v>0</v>
      </c>
      <c r="K83" s="6">
        <v>0</v>
      </c>
      <c r="L83" s="6">
        <v>2130.1379999999999</v>
      </c>
      <c r="M83" s="6">
        <v>2130.1379999999999</v>
      </c>
      <c r="N83" s="6">
        <v>2130.1379999999999</v>
      </c>
      <c r="O83" s="6">
        <v>2130.1379999999999</v>
      </c>
      <c r="P83" s="6">
        <v>0</v>
      </c>
      <c r="Q83" s="4" t="s">
        <v>26</v>
      </c>
      <c r="R83" s="4">
        <v>0</v>
      </c>
      <c r="S83" s="4" t="s">
        <v>133</v>
      </c>
      <c r="T83" s="4" t="s">
        <v>266</v>
      </c>
      <c r="U83" s="4">
        <v>0</v>
      </c>
      <c r="V83" s="4">
        <v>23</v>
      </c>
      <c r="W83" s="4">
        <v>51</v>
      </c>
    </row>
    <row r="84" spans="1:23" ht="11.25" customHeight="1" x14ac:dyDescent="0.25">
      <c r="A84" s="4" t="s">
        <v>21</v>
      </c>
      <c r="B84" s="4" t="s">
        <v>35</v>
      </c>
      <c r="C84" s="4" t="s">
        <v>36</v>
      </c>
      <c r="D84" s="4" t="s">
        <v>34</v>
      </c>
      <c r="E84" s="4" t="s">
        <v>25</v>
      </c>
      <c r="F84" s="4" t="s">
        <v>25</v>
      </c>
      <c r="G84" s="4" t="s">
        <v>25</v>
      </c>
      <c r="H84" s="4" t="s">
        <v>38</v>
      </c>
      <c r="I84" s="5">
        <v>44621</v>
      </c>
      <c r="J84" s="6">
        <v>0</v>
      </c>
      <c r="K84" s="6">
        <v>0</v>
      </c>
      <c r="L84" s="6">
        <v>2388.7150000000001</v>
      </c>
      <c r="M84" s="6">
        <v>2388.7150000000001</v>
      </c>
      <c r="N84" s="6">
        <v>2388.7150000000001</v>
      </c>
      <c r="O84" s="6">
        <v>2388.7150000000001</v>
      </c>
      <c r="P84" s="6">
        <v>0</v>
      </c>
      <c r="Q84" s="4" t="s">
        <v>26</v>
      </c>
      <c r="R84" s="4">
        <v>0</v>
      </c>
      <c r="S84" s="4" t="s">
        <v>134</v>
      </c>
      <c r="T84" s="4" t="s">
        <v>267</v>
      </c>
      <c r="U84" s="4">
        <v>0</v>
      </c>
      <c r="V84" s="4">
        <v>23</v>
      </c>
      <c r="W84" s="4">
        <v>51</v>
      </c>
    </row>
    <row r="85" spans="1:23" ht="11.25" customHeight="1" x14ac:dyDescent="0.25">
      <c r="A85" s="4" t="s">
        <v>21</v>
      </c>
      <c r="B85" s="4" t="s">
        <v>35</v>
      </c>
      <c r="C85" s="4" t="s">
        <v>36</v>
      </c>
      <c r="D85" s="4" t="s">
        <v>34</v>
      </c>
      <c r="E85" s="4" t="s">
        <v>25</v>
      </c>
      <c r="F85" s="4" t="s">
        <v>25</v>
      </c>
      <c r="G85" s="4" t="s">
        <v>25</v>
      </c>
      <c r="H85" s="4" t="s">
        <v>38</v>
      </c>
      <c r="I85" s="5">
        <v>44652</v>
      </c>
      <c r="J85" s="6">
        <v>0</v>
      </c>
      <c r="K85" s="6">
        <v>0</v>
      </c>
      <c r="L85" s="6">
        <v>2183.6680000000001</v>
      </c>
      <c r="M85" s="6">
        <v>2183.6680000000001</v>
      </c>
      <c r="N85" s="6">
        <v>2183.6680000000001</v>
      </c>
      <c r="O85" s="6">
        <v>2183.6680000000001</v>
      </c>
      <c r="P85" s="6">
        <v>0</v>
      </c>
      <c r="Q85" s="4" t="s">
        <v>26</v>
      </c>
      <c r="R85" s="4">
        <v>0</v>
      </c>
      <c r="S85" s="4" t="s">
        <v>135</v>
      </c>
      <c r="T85" s="4" t="s">
        <v>268</v>
      </c>
      <c r="U85" s="4">
        <v>0</v>
      </c>
      <c r="V85" s="4">
        <v>23</v>
      </c>
      <c r="W85" s="4">
        <v>51</v>
      </c>
    </row>
    <row r="86" spans="1:23" ht="11.25" customHeight="1" x14ac:dyDescent="0.25">
      <c r="A86" s="4" t="s">
        <v>28</v>
      </c>
      <c r="B86" s="4" t="s">
        <v>35</v>
      </c>
      <c r="C86" s="4" t="s">
        <v>36</v>
      </c>
      <c r="D86" s="4" t="s">
        <v>34</v>
      </c>
      <c r="E86" s="4" t="s">
        <v>25</v>
      </c>
      <c r="F86" s="4" t="s">
        <v>25</v>
      </c>
      <c r="G86" s="4" t="s">
        <v>25</v>
      </c>
      <c r="H86" s="4" t="s">
        <v>38</v>
      </c>
      <c r="I86" s="5">
        <v>44652</v>
      </c>
      <c r="J86" s="6">
        <v>0</v>
      </c>
      <c r="K86" s="6">
        <v>0</v>
      </c>
      <c r="L86" s="6">
        <v>9.5489999999999995</v>
      </c>
      <c r="M86" s="6">
        <v>9.5489999999999995</v>
      </c>
      <c r="N86" s="6">
        <v>9.5489999999999995</v>
      </c>
      <c r="O86" s="6">
        <v>9.5489999999999995</v>
      </c>
      <c r="P86" s="6">
        <v>0</v>
      </c>
      <c r="Q86" s="4" t="s">
        <v>26</v>
      </c>
      <c r="R86" s="4">
        <v>0</v>
      </c>
      <c r="S86" s="4" t="s">
        <v>135</v>
      </c>
      <c r="T86" s="4" t="s">
        <v>268</v>
      </c>
      <c r="U86" s="4">
        <v>0</v>
      </c>
      <c r="V86" s="4">
        <v>23</v>
      </c>
      <c r="W86" s="4">
        <v>51</v>
      </c>
    </row>
    <row r="87" spans="1:23" ht="11.25" customHeight="1" x14ac:dyDescent="0.25">
      <c r="A87" s="4" t="s">
        <v>21</v>
      </c>
      <c r="B87" s="4" t="s">
        <v>35</v>
      </c>
      <c r="C87" s="4" t="s">
        <v>36</v>
      </c>
      <c r="D87" s="4" t="s">
        <v>34</v>
      </c>
      <c r="E87" s="4" t="s">
        <v>25</v>
      </c>
      <c r="F87" s="4" t="s">
        <v>25</v>
      </c>
      <c r="G87" s="4" t="s">
        <v>25</v>
      </c>
      <c r="H87" s="4" t="s">
        <v>38</v>
      </c>
      <c r="I87" s="5">
        <v>44682</v>
      </c>
      <c r="J87" s="6">
        <v>0</v>
      </c>
      <c r="K87" s="6">
        <v>0</v>
      </c>
      <c r="L87" s="6">
        <v>2325.7579999999998</v>
      </c>
      <c r="M87" s="6">
        <v>2325.7579999999998</v>
      </c>
      <c r="N87" s="6">
        <v>2325.7579999999998</v>
      </c>
      <c r="O87" s="6">
        <v>2325.7579999999998</v>
      </c>
      <c r="P87" s="6">
        <v>0</v>
      </c>
      <c r="Q87" s="4" t="s">
        <v>26</v>
      </c>
      <c r="R87" s="4">
        <v>0</v>
      </c>
      <c r="S87" s="4" t="s">
        <v>136</v>
      </c>
      <c r="T87" s="4" t="s">
        <v>269</v>
      </c>
      <c r="U87" s="4">
        <v>0</v>
      </c>
      <c r="V87" s="4">
        <v>23</v>
      </c>
      <c r="W87" s="4">
        <v>51</v>
      </c>
    </row>
    <row r="88" spans="1:23" ht="11.25" customHeight="1" x14ac:dyDescent="0.25">
      <c r="A88" s="4" t="s">
        <v>28</v>
      </c>
      <c r="B88" s="4" t="s">
        <v>35</v>
      </c>
      <c r="C88" s="4" t="s">
        <v>36</v>
      </c>
      <c r="D88" s="4" t="s">
        <v>34</v>
      </c>
      <c r="E88" s="4" t="s">
        <v>25</v>
      </c>
      <c r="F88" s="4" t="s">
        <v>25</v>
      </c>
      <c r="G88" s="4" t="s">
        <v>25</v>
      </c>
      <c r="H88" s="4" t="s">
        <v>38</v>
      </c>
      <c r="I88" s="5">
        <v>44682</v>
      </c>
      <c r="J88" s="6">
        <v>0</v>
      </c>
      <c r="K88" s="6">
        <v>0</v>
      </c>
      <c r="L88" s="6">
        <v>18.254999999999999</v>
      </c>
      <c r="M88" s="6">
        <v>18.254999999999999</v>
      </c>
      <c r="N88" s="6">
        <v>18.254999999999999</v>
      </c>
      <c r="O88" s="6">
        <v>18.254999999999999</v>
      </c>
      <c r="P88" s="6">
        <v>0</v>
      </c>
      <c r="Q88" s="4" t="s">
        <v>26</v>
      </c>
      <c r="R88" s="4">
        <v>0</v>
      </c>
      <c r="S88" s="4" t="s">
        <v>136</v>
      </c>
      <c r="T88" s="4" t="s">
        <v>269</v>
      </c>
      <c r="U88" s="4">
        <v>0</v>
      </c>
      <c r="V88" s="4">
        <v>23</v>
      </c>
      <c r="W88" s="4">
        <v>51</v>
      </c>
    </row>
    <row r="89" spans="1:23" ht="11.25" customHeight="1" x14ac:dyDescent="0.25">
      <c r="A89" s="4" t="s">
        <v>21</v>
      </c>
      <c r="B89" s="4" t="s">
        <v>35</v>
      </c>
      <c r="C89" s="4" t="s">
        <v>36</v>
      </c>
      <c r="D89" s="4" t="s">
        <v>34</v>
      </c>
      <c r="E89" s="4" t="s">
        <v>25</v>
      </c>
      <c r="F89" s="4" t="s">
        <v>25</v>
      </c>
      <c r="G89" s="4" t="s">
        <v>25</v>
      </c>
      <c r="H89" s="4" t="s">
        <v>38</v>
      </c>
      <c r="I89" s="5">
        <v>44713</v>
      </c>
      <c r="J89" s="6">
        <v>0</v>
      </c>
      <c r="K89" s="6">
        <v>0</v>
      </c>
      <c r="L89" s="6">
        <v>2333.8119999999999</v>
      </c>
      <c r="M89" s="6">
        <v>2333.8119999999999</v>
      </c>
      <c r="N89" s="6">
        <v>2333.8119999999999</v>
      </c>
      <c r="O89" s="6">
        <v>2333.8119999999999</v>
      </c>
      <c r="P89" s="6">
        <v>0</v>
      </c>
      <c r="Q89" s="4" t="s">
        <v>26</v>
      </c>
      <c r="R89" s="4">
        <v>0</v>
      </c>
      <c r="S89" s="4" t="s">
        <v>137</v>
      </c>
      <c r="T89" s="4" t="s">
        <v>270</v>
      </c>
      <c r="U89" s="4">
        <v>0</v>
      </c>
      <c r="V89" s="4">
        <v>23</v>
      </c>
      <c r="W89" s="4">
        <v>51</v>
      </c>
    </row>
    <row r="90" spans="1:23" ht="11.25" customHeight="1" x14ac:dyDescent="0.25">
      <c r="A90" s="4" t="s">
        <v>28</v>
      </c>
      <c r="B90" s="4" t="s">
        <v>35</v>
      </c>
      <c r="C90" s="4" t="s">
        <v>36</v>
      </c>
      <c r="D90" s="4" t="s">
        <v>34</v>
      </c>
      <c r="E90" s="4" t="s">
        <v>25</v>
      </c>
      <c r="F90" s="4" t="s">
        <v>25</v>
      </c>
      <c r="G90" s="4" t="s">
        <v>25</v>
      </c>
      <c r="H90" s="4" t="s">
        <v>38</v>
      </c>
      <c r="I90" s="5">
        <v>44713</v>
      </c>
      <c r="J90" s="6">
        <v>0</v>
      </c>
      <c r="K90" s="6">
        <v>0</v>
      </c>
      <c r="L90" s="6">
        <v>21.763999999999999</v>
      </c>
      <c r="M90" s="6">
        <v>21.763999999999999</v>
      </c>
      <c r="N90" s="6">
        <v>21.763999999999999</v>
      </c>
      <c r="O90" s="6">
        <v>21.763999999999999</v>
      </c>
      <c r="P90" s="6">
        <v>0</v>
      </c>
      <c r="Q90" s="4" t="s">
        <v>26</v>
      </c>
      <c r="R90" s="4">
        <v>0</v>
      </c>
      <c r="S90" s="4" t="s">
        <v>137</v>
      </c>
      <c r="T90" s="4" t="s">
        <v>270</v>
      </c>
      <c r="U90" s="4">
        <v>0</v>
      </c>
      <c r="V90" s="4">
        <v>23</v>
      </c>
      <c r="W90" s="4">
        <v>51</v>
      </c>
    </row>
    <row r="91" spans="1:23" ht="11.25" customHeight="1" x14ac:dyDescent="0.25">
      <c r="A91" s="4" t="s">
        <v>21</v>
      </c>
      <c r="B91" s="4" t="s">
        <v>35</v>
      </c>
      <c r="C91" s="4" t="s">
        <v>36</v>
      </c>
      <c r="D91" s="4" t="s">
        <v>34</v>
      </c>
      <c r="E91" s="4" t="s">
        <v>25</v>
      </c>
      <c r="F91" s="4" t="s">
        <v>25</v>
      </c>
      <c r="G91" s="4" t="s">
        <v>25</v>
      </c>
      <c r="H91" s="4" t="s">
        <v>38</v>
      </c>
      <c r="I91" s="5">
        <v>44743</v>
      </c>
      <c r="J91" s="6">
        <v>0</v>
      </c>
      <c r="K91" s="6">
        <v>0</v>
      </c>
      <c r="L91" s="6">
        <v>2324.8240000000001</v>
      </c>
      <c r="M91" s="6">
        <v>2324.8240000000001</v>
      </c>
      <c r="N91" s="6">
        <v>2324.8240000000001</v>
      </c>
      <c r="O91" s="6">
        <v>2324.8240000000001</v>
      </c>
      <c r="P91" s="6">
        <v>0</v>
      </c>
      <c r="Q91" s="4" t="s">
        <v>26</v>
      </c>
      <c r="R91" s="4">
        <v>0</v>
      </c>
      <c r="S91" s="4" t="s">
        <v>138</v>
      </c>
      <c r="T91" s="4" t="s">
        <v>271</v>
      </c>
      <c r="U91" s="4">
        <v>0</v>
      </c>
      <c r="V91" s="4">
        <v>23</v>
      </c>
      <c r="W91" s="4">
        <v>51</v>
      </c>
    </row>
    <row r="92" spans="1:23" ht="11.25" customHeight="1" x14ac:dyDescent="0.25">
      <c r="A92" s="4" t="s">
        <v>21</v>
      </c>
      <c r="B92" s="4" t="s">
        <v>35</v>
      </c>
      <c r="C92" s="4" t="s">
        <v>36</v>
      </c>
      <c r="D92" s="4" t="s">
        <v>34</v>
      </c>
      <c r="E92" s="4" t="s">
        <v>25</v>
      </c>
      <c r="F92" s="4" t="s">
        <v>25</v>
      </c>
      <c r="G92" s="4" t="s">
        <v>25</v>
      </c>
      <c r="H92" s="4" t="s">
        <v>38</v>
      </c>
      <c r="I92" s="5">
        <v>44774</v>
      </c>
      <c r="J92" s="6">
        <v>0</v>
      </c>
      <c r="K92" s="6">
        <v>0</v>
      </c>
      <c r="L92" s="6">
        <v>2422.6669999999999</v>
      </c>
      <c r="M92" s="6">
        <v>2422.6669999999999</v>
      </c>
      <c r="N92" s="6">
        <v>2422.6669999999999</v>
      </c>
      <c r="O92" s="6">
        <v>2422.6669999999999</v>
      </c>
      <c r="P92" s="6">
        <v>0</v>
      </c>
      <c r="Q92" s="4" t="s">
        <v>26</v>
      </c>
      <c r="R92" s="4">
        <v>0</v>
      </c>
      <c r="S92" s="4" t="s">
        <v>139</v>
      </c>
      <c r="T92" s="4" t="s">
        <v>272</v>
      </c>
      <c r="U92" s="4">
        <v>0</v>
      </c>
      <c r="V92" s="4">
        <v>23</v>
      </c>
      <c r="W92" s="4">
        <v>51</v>
      </c>
    </row>
    <row r="93" spans="1:23" ht="11.25" customHeight="1" x14ac:dyDescent="0.25">
      <c r="A93" s="4" t="s">
        <v>28</v>
      </c>
      <c r="B93" s="4" t="s">
        <v>35</v>
      </c>
      <c r="C93" s="4" t="s">
        <v>36</v>
      </c>
      <c r="D93" s="4" t="s">
        <v>34</v>
      </c>
      <c r="E93" s="4" t="s">
        <v>25</v>
      </c>
      <c r="F93" s="4" t="s">
        <v>25</v>
      </c>
      <c r="G93" s="4" t="s">
        <v>25</v>
      </c>
      <c r="H93" s="4" t="s">
        <v>38</v>
      </c>
      <c r="I93" s="5">
        <v>44774</v>
      </c>
      <c r="J93" s="6">
        <v>0</v>
      </c>
      <c r="K93" s="6">
        <v>0</v>
      </c>
      <c r="L93" s="6">
        <v>16.36</v>
      </c>
      <c r="M93" s="6">
        <v>16.36</v>
      </c>
      <c r="N93" s="6">
        <v>16.36</v>
      </c>
      <c r="O93" s="6">
        <v>16.36</v>
      </c>
      <c r="P93" s="6">
        <v>0</v>
      </c>
      <c r="Q93" s="4" t="s">
        <v>26</v>
      </c>
      <c r="R93" s="4">
        <v>0</v>
      </c>
      <c r="S93" s="4" t="s">
        <v>139</v>
      </c>
      <c r="T93" s="4" t="s">
        <v>272</v>
      </c>
      <c r="U93" s="4">
        <v>0</v>
      </c>
      <c r="V93" s="4">
        <v>23</v>
      </c>
      <c r="W93" s="4">
        <v>51</v>
      </c>
    </row>
    <row r="94" spans="1:23" ht="11.25" customHeight="1" x14ac:dyDescent="0.25">
      <c r="A94" s="4" t="s">
        <v>21</v>
      </c>
      <c r="B94" s="4" t="s">
        <v>35</v>
      </c>
      <c r="C94" s="4" t="s">
        <v>36</v>
      </c>
      <c r="D94" s="4" t="s">
        <v>34</v>
      </c>
      <c r="E94" s="4" t="s">
        <v>25</v>
      </c>
      <c r="F94" s="4" t="s">
        <v>25</v>
      </c>
      <c r="G94" s="4" t="s">
        <v>25</v>
      </c>
      <c r="H94" s="4" t="s">
        <v>25</v>
      </c>
      <c r="I94" s="5">
        <v>44440</v>
      </c>
      <c r="J94" s="6">
        <v>9810</v>
      </c>
      <c r="K94" s="6">
        <v>9810</v>
      </c>
      <c r="L94" s="6">
        <v>0</v>
      </c>
      <c r="M94" s="6">
        <v>0</v>
      </c>
      <c r="N94" s="6">
        <v>0</v>
      </c>
      <c r="O94" s="6">
        <v>0</v>
      </c>
      <c r="P94" s="6">
        <v>32</v>
      </c>
      <c r="Q94" s="4" t="s">
        <v>26</v>
      </c>
      <c r="R94" s="4">
        <v>0</v>
      </c>
      <c r="S94" s="4" t="s">
        <v>140</v>
      </c>
      <c r="U94" s="4">
        <v>16</v>
      </c>
      <c r="V94" s="4">
        <v>0</v>
      </c>
      <c r="W94" s="4">
        <v>0</v>
      </c>
    </row>
    <row r="95" spans="1:23" ht="11.25" customHeight="1" x14ac:dyDescent="0.25">
      <c r="A95" s="4" t="s">
        <v>28</v>
      </c>
      <c r="B95" s="4" t="s">
        <v>35</v>
      </c>
      <c r="C95" s="4" t="s">
        <v>36</v>
      </c>
      <c r="D95" s="4" t="s">
        <v>34</v>
      </c>
      <c r="E95" s="4" t="s">
        <v>25</v>
      </c>
      <c r="F95" s="4" t="s">
        <v>25</v>
      </c>
      <c r="G95" s="4" t="s">
        <v>25</v>
      </c>
      <c r="H95" s="4" t="s">
        <v>25</v>
      </c>
      <c r="I95" s="5">
        <v>44440</v>
      </c>
      <c r="J95" s="6">
        <v>190</v>
      </c>
      <c r="K95" s="6">
        <v>190</v>
      </c>
      <c r="L95" s="6">
        <v>0</v>
      </c>
      <c r="M95" s="6">
        <v>0</v>
      </c>
      <c r="N95" s="6">
        <v>0</v>
      </c>
      <c r="O95" s="6">
        <v>0</v>
      </c>
      <c r="P95" s="6">
        <v>1</v>
      </c>
      <c r="Q95" s="4" t="s">
        <v>26</v>
      </c>
      <c r="R95" s="4">
        <v>0</v>
      </c>
      <c r="S95" s="4" t="s">
        <v>140</v>
      </c>
      <c r="U95" s="4">
        <v>16</v>
      </c>
      <c r="V95" s="4">
        <v>0</v>
      </c>
      <c r="W95" s="4">
        <v>0</v>
      </c>
    </row>
    <row r="96" spans="1:23" ht="11.25" customHeight="1" x14ac:dyDescent="0.25">
      <c r="A96" s="4" t="s">
        <v>21</v>
      </c>
      <c r="B96" s="4" t="s">
        <v>35</v>
      </c>
      <c r="C96" s="4" t="s">
        <v>36</v>
      </c>
      <c r="D96" s="4" t="s">
        <v>34</v>
      </c>
      <c r="E96" s="4" t="s">
        <v>25</v>
      </c>
      <c r="F96" s="4" t="s">
        <v>25</v>
      </c>
      <c r="G96" s="4" t="s">
        <v>25</v>
      </c>
      <c r="H96" s="4" t="s">
        <v>25</v>
      </c>
      <c r="I96" s="5">
        <v>44470</v>
      </c>
      <c r="J96" s="6">
        <v>9913</v>
      </c>
      <c r="K96" s="6">
        <v>9913</v>
      </c>
      <c r="L96" s="6">
        <v>0</v>
      </c>
      <c r="M96" s="6">
        <v>0</v>
      </c>
      <c r="N96" s="6">
        <v>0</v>
      </c>
      <c r="O96" s="6">
        <v>0</v>
      </c>
      <c r="P96" s="6">
        <v>32</v>
      </c>
      <c r="Q96" s="4" t="s">
        <v>26</v>
      </c>
      <c r="R96" s="4">
        <v>0</v>
      </c>
      <c r="S96" s="4" t="s">
        <v>141</v>
      </c>
      <c r="U96" s="4">
        <v>16</v>
      </c>
      <c r="V96" s="4">
        <v>0</v>
      </c>
      <c r="W96" s="4">
        <v>0</v>
      </c>
    </row>
    <row r="97" spans="1:23" ht="11.25" customHeight="1" x14ac:dyDescent="0.25">
      <c r="A97" s="4" t="s">
        <v>28</v>
      </c>
      <c r="B97" s="4" t="s">
        <v>35</v>
      </c>
      <c r="C97" s="4" t="s">
        <v>36</v>
      </c>
      <c r="D97" s="4" t="s">
        <v>34</v>
      </c>
      <c r="E97" s="4" t="s">
        <v>25</v>
      </c>
      <c r="F97" s="4" t="s">
        <v>25</v>
      </c>
      <c r="G97" s="4" t="s">
        <v>25</v>
      </c>
      <c r="H97" s="4" t="s">
        <v>25</v>
      </c>
      <c r="I97" s="5">
        <v>44470</v>
      </c>
      <c r="J97" s="6">
        <v>192</v>
      </c>
      <c r="K97" s="6">
        <v>192</v>
      </c>
      <c r="L97" s="6">
        <v>0</v>
      </c>
      <c r="M97" s="6">
        <v>0</v>
      </c>
      <c r="N97" s="6">
        <v>0</v>
      </c>
      <c r="O97" s="6">
        <v>0</v>
      </c>
      <c r="P97" s="6">
        <v>1</v>
      </c>
      <c r="Q97" s="4" t="s">
        <v>26</v>
      </c>
      <c r="R97" s="4">
        <v>0</v>
      </c>
      <c r="S97" s="4" t="s">
        <v>141</v>
      </c>
      <c r="U97" s="4">
        <v>16</v>
      </c>
      <c r="V97" s="4">
        <v>0</v>
      </c>
      <c r="W97" s="4">
        <v>0</v>
      </c>
    </row>
    <row r="98" spans="1:23" ht="11.25" customHeight="1" x14ac:dyDescent="0.25">
      <c r="A98" s="4" t="s">
        <v>21</v>
      </c>
      <c r="B98" s="4" t="s">
        <v>35</v>
      </c>
      <c r="C98" s="4" t="s">
        <v>36</v>
      </c>
      <c r="D98" s="4" t="s">
        <v>34</v>
      </c>
      <c r="E98" s="4" t="s">
        <v>25</v>
      </c>
      <c r="F98" s="4" t="s">
        <v>25</v>
      </c>
      <c r="G98" s="4" t="s">
        <v>25</v>
      </c>
      <c r="H98" s="4" t="s">
        <v>25</v>
      </c>
      <c r="I98" s="5">
        <v>44501</v>
      </c>
      <c r="J98" s="6">
        <v>9750</v>
      </c>
      <c r="K98" s="6">
        <v>9750</v>
      </c>
      <c r="L98" s="6">
        <v>0</v>
      </c>
      <c r="M98" s="6">
        <v>0</v>
      </c>
      <c r="N98" s="6">
        <v>0</v>
      </c>
      <c r="O98" s="6">
        <v>0</v>
      </c>
      <c r="P98" s="6">
        <v>31</v>
      </c>
      <c r="Q98" s="4" t="s">
        <v>26</v>
      </c>
      <c r="R98" s="4">
        <v>0</v>
      </c>
      <c r="S98" s="4" t="s">
        <v>142</v>
      </c>
      <c r="U98" s="4">
        <v>16</v>
      </c>
      <c r="V98" s="4">
        <v>0</v>
      </c>
      <c r="W98" s="4">
        <v>0</v>
      </c>
    </row>
    <row r="99" spans="1:23" ht="11.25" customHeight="1" x14ac:dyDescent="0.25">
      <c r="A99" s="4" t="s">
        <v>28</v>
      </c>
      <c r="B99" s="4" t="s">
        <v>35</v>
      </c>
      <c r="C99" s="4" t="s">
        <v>36</v>
      </c>
      <c r="D99" s="4" t="s">
        <v>34</v>
      </c>
      <c r="E99" s="4" t="s">
        <v>25</v>
      </c>
      <c r="F99" s="4" t="s">
        <v>25</v>
      </c>
      <c r="G99" s="4" t="s">
        <v>25</v>
      </c>
      <c r="H99" s="4" t="s">
        <v>25</v>
      </c>
      <c r="I99" s="5">
        <v>44501</v>
      </c>
      <c r="J99" s="6">
        <v>397</v>
      </c>
      <c r="K99" s="6">
        <v>397</v>
      </c>
      <c r="L99" s="6">
        <v>0</v>
      </c>
      <c r="M99" s="6">
        <v>0</v>
      </c>
      <c r="N99" s="6">
        <v>0</v>
      </c>
      <c r="O99" s="6">
        <v>0</v>
      </c>
      <c r="P99" s="6">
        <v>2</v>
      </c>
      <c r="Q99" s="4" t="s">
        <v>26</v>
      </c>
      <c r="R99" s="4">
        <v>0</v>
      </c>
      <c r="S99" s="4" t="s">
        <v>142</v>
      </c>
      <c r="U99" s="4">
        <v>16</v>
      </c>
      <c r="V99" s="4">
        <v>0</v>
      </c>
      <c r="W99" s="4">
        <v>0</v>
      </c>
    </row>
    <row r="100" spans="1:23" ht="11.25" customHeight="1" x14ac:dyDescent="0.25">
      <c r="A100" s="4" t="s">
        <v>21</v>
      </c>
      <c r="B100" s="4" t="s">
        <v>35</v>
      </c>
      <c r="C100" s="4" t="s">
        <v>36</v>
      </c>
      <c r="D100" s="4" t="s">
        <v>34</v>
      </c>
      <c r="E100" s="4" t="s">
        <v>25</v>
      </c>
      <c r="F100" s="4" t="s">
        <v>25</v>
      </c>
      <c r="G100" s="4" t="s">
        <v>25</v>
      </c>
      <c r="H100" s="4" t="s">
        <v>25</v>
      </c>
      <c r="I100" s="5">
        <v>44531</v>
      </c>
      <c r="J100" s="6">
        <v>9709</v>
      </c>
      <c r="K100" s="6">
        <v>9709</v>
      </c>
      <c r="L100" s="6">
        <v>0</v>
      </c>
      <c r="M100" s="6">
        <v>0</v>
      </c>
      <c r="N100" s="6">
        <v>0</v>
      </c>
      <c r="O100" s="6">
        <v>0</v>
      </c>
      <c r="P100" s="6">
        <v>31</v>
      </c>
      <c r="Q100" s="4" t="s">
        <v>26</v>
      </c>
      <c r="R100" s="4">
        <v>0</v>
      </c>
      <c r="S100" s="4" t="s">
        <v>143</v>
      </c>
      <c r="U100" s="4">
        <v>16</v>
      </c>
      <c r="V100" s="4">
        <v>0</v>
      </c>
      <c r="W100" s="4">
        <v>0</v>
      </c>
    </row>
    <row r="101" spans="1:23" ht="11.25" customHeight="1" x14ac:dyDescent="0.25">
      <c r="A101" s="4" t="s">
        <v>28</v>
      </c>
      <c r="B101" s="4" t="s">
        <v>35</v>
      </c>
      <c r="C101" s="4" t="s">
        <v>36</v>
      </c>
      <c r="D101" s="4" t="s">
        <v>34</v>
      </c>
      <c r="E101" s="4" t="s">
        <v>25</v>
      </c>
      <c r="F101" s="4" t="s">
        <v>25</v>
      </c>
      <c r="G101" s="4" t="s">
        <v>25</v>
      </c>
      <c r="H101" s="4" t="s">
        <v>25</v>
      </c>
      <c r="I101" s="5">
        <v>44531</v>
      </c>
      <c r="J101" s="6">
        <v>440</v>
      </c>
      <c r="K101" s="6">
        <v>440</v>
      </c>
      <c r="L101" s="6">
        <v>0</v>
      </c>
      <c r="M101" s="6">
        <v>0</v>
      </c>
      <c r="N101" s="6">
        <v>0</v>
      </c>
      <c r="O101" s="6">
        <v>0</v>
      </c>
      <c r="P101" s="6">
        <v>2</v>
      </c>
      <c r="Q101" s="4" t="s">
        <v>26</v>
      </c>
      <c r="R101" s="4">
        <v>0</v>
      </c>
      <c r="S101" s="4" t="s">
        <v>143</v>
      </c>
      <c r="U101" s="4">
        <v>16</v>
      </c>
      <c r="V101" s="4">
        <v>0</v>
      </c>
      <c r="W101" s="4">
        <v>0</v>
      </c>
    </row>
    <row r="102" spans="1:23" ht="11.25" customHeight="1" x14ac:dyDescent="0.25">
      <c r="A102" s="4" t="s">
        <v>21</v>
      </c>
      <c r="B102" s="4" t="s">
        <v>35</v>
      </c>
      <c r="C102" s="4" t="s">
        <v>36</v>
      </c>
      <c r="D102" s="4" t="s">
        <v>34</v>
      </c>
      <c r="E102" s="4" t="s">
        <v>25</v>
      </c>
      <c r="F102" s="4" t="s">
        <v>25</v>
      </c>
      <c r="G102" s="4" t="s">
        <v>25</v>
      </c>
      <c r="H102" s="4" t="s">
        <v>25</v>
      </c>
      <c r="I102" s="5">
        <v>44562</v>
      </c>
      <c r="J102" s="6">
        <v>10715</v>
      </c>
      <c r="K102" s="6">
        <v>10715</v>
      </c>
      <c r="L102" s="6">
        <v>0</v>
      </c>
      <c r="M102" s="6">
        <v>0</v>
      </c>
      <c r="N102" s="6">
        <v>0</v>
      </c>
      <c r="O102" s="6">
        <v>0</v>
      </c>
      <c r="P102" s="6">
        <v>31</v>
      </c>
      <c r="Q102" s="4" t="s">
        <v>26</v>
      </c>
      <c r="R102" s="4">
        <v>0</v>
      </c>
      <c r="S102" s="4" t="s">
        <v>144</v>
      </c>
      <c r="U102" s="4">
        <v>16</v>
      </c>
      <c r="V102" s="4">
        <v>0</v>
      </c>
      <c r="W102" s="4">
        <v>0</v>
      </c>
    </row>
    <row r="103" spans="1:23" ht="11.25" customHeight="1" x14ac:dyDescent="0.25">
      <c r="A103" s="4" t="s">
        <v>28</v>
      </c>
      <c r="B103" s="4" t="s">
        <v>35</v>
      </c>
      <c r="C103" s="4" t="s">
        <v>36</v>
      </c>
      <c r="D103" s="4" t="s">
        <v>34</v>
      </c>
      <c r="E103" s="4" t="s">
        <v>25</v>
      </c>
      <c r="F103" s="4" t="s">
        <v>25</v>
      </c>
      <c r="G103" s="4" t="s">
        <v>25</v>
      </c>
      <c r="H103" s="4" t="s">
        <v>25</v>
      </c>
      <c r="I103" s="5">
        <v>44562</v>
      </c>
      <c r="J103" s="6">
        <v>440</v>
      </c>
      <c r="K103" s="6">
        <v>440</v>
      </c>
      <c r="L103" s="6">
        <v>0</v>
      </c>
      <c r="M103" s="6">
        <v>0</v>
      </c>
      <c r="N103" s="6">
        <v>0</v>
      </c>
      <c r="O103" s="6">
        <v>0</v>
      </c>
      <c r="P103" s="6">
        <v>2</v>
      </c>
      <c r="Q103" s="4" t="s">
        <v>26</v>
      </c>
      <c r="R103" s="4">
        <v>0</v>
      </c>
      <c r="S103" s="4" t="s">
        <v>144</v>
      </c>
      <c r="U103" s="4">
        <v>16</v>
      </c>
      <c r="V103" s="4">
        <v>0</v>
      </c>
      <c r="W103" s="4">
        <v>0</v>
      </c>
    </row>
    <row r="104" spans="1:23" ht="11.25" customHeight="1" x14ac:dyDescent="0.25">
      <c r="A104" s="4" t="s">
        <v>21</v>
      </c>
      <c r="B104" s="4" t="s">
        <v>35</v>
      </c>
      <c r="C104" s="4" t="s">
        <v>36</v>
      </c>
      <c r="D104" s="4" t="s">
        <v>34</v>
      </c>
      <c r="E104" s="4" t="s">
        <v>25</v>
      </c>
      <c r="F104" s="4" t="s">
        <v>25</v>
      </c>
      <c r="G104" s="4" t="s">
        <v>25</v>
      </c>
      <c r="H104" s="4" t="s">
        <v>25</v>
      </c>
      <c r="I104" s="5">
        <v>44593</v>
      </c>
      <c r="J104" s="6">
        <v>10888</v>
      </c>
      <c r="K104" s="6">
        <v>10888</v>
      </c>
      <c r="L104" s="6">
        <v>0</v>
      </c>
      <c r="M104" s="6">
        <v>0</v>
      </c>
      <c r="N104" s="6">
        <v>0</v>
      </c>
      <c r="O104" s="6">
        <v>0</v>
      </c>
      <c r="P104" s="6">
        <v>31</v>
      </c>
      <c r="Q104" s="4" t="s">
        <v>26</v>
      </c>
      <c r="R104" s="4">
        <v>0</v>
      </c>
      <c r="S104" s="4" t="s">
        <v>145</v>
      </c>
      <c r="U104" s="4">
        <v>16</v>
      </c>
      <c r="V104" s="4">
        <v>0</v>
      </c>
      <c r="W104" s="4">
        <v>0</v>
      </c>
    </row>
    <row r="105" spans="1:23" ht="11.25" customHeight="1" x14ac:dyDescent="0.25">
      <c r="A105" s="4" t="s">
        <v>28</v>
      </c>
      <c r="B105" s="4" t="s">
        <v>35</v>
      </c>
      <c r="C105" s="4" t="s">
        <v>36</v>
      </c>
      <c r="D105" s="4" t="s">
        <v>34</v>
      </c>
      <c r="E105" s="4" t="s">
        <v>25</v>
      </c>
      <c r="F105" s="4" t="s">
        <v>25</v>
      </c>
      <c r="G105" s="4" t="s">
        <v>25</v>
      </c>
      <c r="H105" s="4" t="s">
        <v>25</v>
      </c>
      <c r="I105" s="5">
        <v>44593</v>
      </c>
      <c r="J105" s="6">
        <v>454</v>
      </c>
      <c r="K105" s="6">
        <v>454</v>
      </c>
      <c r="L105" s="6">
        <v>0</v>
      </c>
      <c r="M105" s="6">
        <v>0</v>
      </c>
      <c r="N105" s="6">
        <v>0</v>
      </c>
      <c r="O105" s="6">
        <v>0</v>
      </c>
      <c r="P105" s="6">
        <v>2</v>
      </c>
      <c r="Q105" s="4" t="s">
        <v>26</v>
      </c>
      <c r="R105" s="4">
        <v>0</v>
      </c>
      <c r="S105" s="4" t="s">
        <v>145</v>
      </c>
      <c r="U105" s="4">
        <v>16</v>
      </c>
      <c r="V105" s="4">
        <v>0</v>
      </c>
      <c r="W105" s="4">
        <v>0</v>
      </c>
    </row>
    <row r="106" spans="1:23" ht="11.25" customHeight="1" x14ac:dyDescent="0.25">
      <c r="A106" s="4" t="s">
        <v>21</v>
      </c>
      <c r="B106" s="4" t="s">
        <v>35</v>
      </c>
      <c r="C106" s="4" t="s">
        <v>36</v>
      </c>
      <c r="D106" s="4" t="s">
        <v>34</v>
      </c>
      <c r="E106" s="4" t="s">
        <v>25</v>
      </c>
      <c r="F106" s="4" t="s">
        <v>25</v>
      </c>
      <c r="G106" s="4" t="s">
        <v>25</v>
      </c>
      <c r="H106" s="4" t="s">
        <v>25</v>
      </c>
      <c r="I106" s="5">
        <v>44621</v>
      </c>
      <c r="J106" s="6">
        <v>10757</v>
      </c>
      <c r="K106" s="6">
        <v>10757</v>
      </c>
      <c r="L106" s="6">
        <v>0</v>
      </c>
      <c r="M106" s="6">
        <v>0</v>
      </c>
      <c r="N106" s="6">
        <v>0</v>
      </c>
      <c r="O106" s="6">
        <v>0</v>
      </c>
      <c r="P106" s="6">
        <v>30</v>
      </c>
      <c r="Q106" s="4" t="s">
        <v>26</v>
      </c>
      <c r="R106" s="4">
        <v>0</v>
      </c>
      <c r="S106" s="4" t="s">
        <v>146</v>
      </c>
      <c r="U106" s="4">
        <v>16</v>
      </c>
      <c r="V106" s="4">
        <v>0</v>
      </c>
      <c r="W106" s="4">
        <v>0</v>
      </c>
    </row>
    <row r="107" spans="1:23" ht="11.25" customHeight="1" x14ac:dyDescent="0.25">
      <c r="A107" s="4" t="s">
        <v>28</v>
      </c>
      <c r="B107" s="4" t="s">
        <v>35</v>
      </c>
      <c r="C107" s="4" t="s">
        <v>36</v>
      </c>
      <c r="D107" s="4" t="s">
        <v>34</v>
      </c>
      <c r="E107" s="4" t="s">
        <v>25</v>
      </c>
      <c r="F107" s="4" t="s">
        <v>25</v>
      </c>
      <c r="G107" s="4" t="s">
        <v>25</v>
      </c>
      <c r="H107" s="4" t="s">
        <v>25</v>
      </c>
      <c r="I107" s="5">
        <v>44621</v>
      </c>
      <c r="J107" s="6">
        <v>446</v>
      </c>
      <c r="K107" s="6">
        <v>446</v>
      </c>
      <c r="L107" s="6">
        <v>0</v>
      </c>
      <c r="M107" s="6">
        <v>0</v>
      </c>
      <c r="N107" s="6">
        <v>0</v>
      </c>
      <c r="O107" s="6">
        <v>0</v>
      </c>
      <c r="P107" s="6">
        <v>2</v>
      </c>
      <c r="Q107" s="4" t="s">
        <v>26</v>
      </c>
      <c r="R107" s="4">
        <v>0</v>
      </c>
      <c r="S107" s="4" t="s">
        <v>146</v>
      </c>
      <c r="U107" s="4">
        <v>16</v>
      </c>
      <c r="V107" s="4">
        <v>0</v>
      </c>
      <c r="W107" s="4">
        <v>0</v>
      </c>
    </row>
    <row r="108" spans="1:23" ht="11.25" customHeight="1" x14ac:dyDescent="0.25">
      <c r="A108" s="4" t="s">
        <v>21</v>
      </c>
      <c r="B108" s="4" t="s">
        <v>35</v>
      </c>
      <c r="C108" s="4" t="s">
        <v>36</v>
      </c>
      <c r="D108" s="4" t="s">
        <v>34</v>
      </c>
      <c r="E108" s="4" t="s">
        <v>25</v>
      </c>
      <c r="F108" s="4" t="s">
        <v>25</v>
      </c>
      <c r="G108" s="4" t="s">
        <v>25</v>
      </c>
      <c r="H108" s="4" t="s">
        <v>25</v>
      </c>
      <c r="I108" s="5">
        <v>44652</v>
      </c>
      <c r="J108" s="6">
        <v>10877</v>
      </c>
      <c r="K108" s="6">
        <v>10877</v>
      </c>
      <c r="L108" s="6">
        <v>0</v>
      </c>
      <c r="M108" s="6">
        <v>0</v>
      </c>
      <c r="N108" s="6">
        <v>0</v>
      </c>
      <c r="O108" s="6">
        <v>0</v>
      </c>
      <c r="P108" s="6">
        <v>30</v>
      </c>
      <c r="Q108" s="4" t="s">
        <v>26</v>
      </c>
      <c r="R108" s="4">
        <v>0</v>
      </c>
      <c r="S108" s="4" t="s">
        <v>147</v>
      </c>
      <c r="U108" s="4">
        <v>16</v>
      </c>
      <c r="V108" s="4">
        <v>0</v>
      </c>
      <c r="W108" s="4">
        <v>0</v>
      </c>
    </row>
    <row r="109" spans="1:23" ht="11.25" customHeight="1" x14ac:dyDescent="0.25">
      <c r="A109" s="4" t="s">
        <v>28</v>
      </c>
      <c r="B109" s="4" t="s">
        <v>35</v>
      </c>
      <c r="C109" s="4" t="s">
        <v>36</v>
      </c>
      <c r="D109" s="4" t="s">
        <v>34</v>
      </c>
      <c r="E109" s="4" t="s">
        <v>25</v>
      </c>
      <c r="F109" s="4" t="s">
        <v>25</v>
      </c>
      <c r="G109" s="4" t="s">
        <v>25</v>
      </c>
      <c r="H109" s="4" t="s">
        <v>25</v>
      </c>
      <c r="I109" s="5">
        <v>44652</v>
      </c>
      <c r="J109" s="6">
        <v>481</v>
      </c>
      <c r="K109" s="6">
        <v>481</v>
      </c>
      <c r="L109" s="6">
        <v>0</v>
      </c>
      <c r="M109" s="6">
        <v>0</v>
      </c>
      <c r="N109" s="6">
        <v>0</v>
      </c>
      <c r="O109" s="6">
        <v>0</v>
      </c>
      <c r="P109" s="6">
        <v>2</v>
      </c>
      <c r="Q109" s="4" t="s">
        <v>26</v>
      </c>
      <c r="R109" s="4">
        <v>0</v>
      </c>
      <c r="S109" s="4" t="s">
        <v>147</v>
      </c>
      <c r="U109" s="4">
        <v>16</v>
      </c>
      <c r="V109" s="4">
        <v>0</v>
      </c>
      <c r="W109" s="4">
        <v>0</v>
      </c>
    </row>
    <row r="110" spans="1:23" ht="11.25" customHeight="1" x14ac:dyDescent="0.25">
      <c r="A110" s="4" t="s">
        <v>21</v>
      </c>
      <c r="B110" s="4" t="s">
        <v>35</v>
      </c>
      <c r="C110" s="4" t="s">
        <v>36</v>
      </c>
      <c r="D110" s="4" t="s">
        <v>34</v>
      </c>
      <c r="E110" s="4" t="s">
        <v>25</v>
      </c>
      <c r="F110" s="4" t="s">
        <v>25</v>
      </c>
      <c r="G110" s="4" t="s">
        <v>25</v>
      </c>
      <c r="H110" s="4" t="s">
        <v>25</v>
      </c>
      <c r="I110" s="5">
        <v>44682</v>
      </c>
      <c r="J110" s="6">
        <v>10896</v>
      </c>
      <c r="K110" s="6">
        <v>10896</v>
      </c>
      <c r="L110" s="6">
        <v>0</v>
      </c>
      <c r="M110" s="6">
        <v>0</v>
      </c>
      <c r="N110" s="6">
        <v>0</v>
      </c>
      <c r="O110" s="6">
        <v>0</v>
      </c>
      <c r="P110" s="6">
        <v>30</v>
      </c>
      <c r="Q110" s="4" t="s">
        <v>26</v>
      </c>
      <c r="R110" s="4">
        <v>0</v>
      </c>
      <c r="S110" s="4" t="s">
        <v>148</v>
      </c>
      <c r="U110" s="4">
        <v>16</v>
      </c>
      <c r="V110" s="4">
        <v>0</v>
      </c>
      <c r="W110" s="4">
        <v>0</v>
      </c>
    </row>
    <row r="111" spans="1:23" ht="11.25" customHeight="1" x14ac:dyDescent="0.25">
      <c r="A111" s="4" t="s">
        <v>28</v>
      </c>
      <c r="B111" s="4" t="s">
        <v>35</v>
      </c>
      <c r="C111" s="4" t="s">
        <v>36</v>
      </c>
      <c r="D111" s="4" t="s">
        <v>34</v>
      </c>
      <c r="E111" s="4" t="s">
        <v>25</v>
      </c>
      <c r="F111" s="4" t="s">
        <v>25</v>
      </c>
      <c r="G111" s="4" t="s">
        <v>25</v>
      </c>
      <c r="H111" s="4" t="s">
        <v>25</v>
      </c>
      <c r="I111" s="5">
        <v>44682</v>
      </c>
      <c r="J111" s="6">
        <v>470</v>
      </c>
      <c r="K111" s="6">
        <v>470</v>
      </c>
      <c r="L111" s="6">
        <v>0</v>
      </c>
      <c r="M111" s="6">
        <v>0</v>
      </c>
      <c r="N111" s="6">
        <v>0</v>
      </c>
      <c r="O111" s="6">
        <v>0</v>
      </c>
      <c r="P111" s="6">
        <v>2</v>
      </c>
      <c r="Q111" s="4" t="s">
        <v>26</v>
      </c>
      <c r="R111" s="4">
        <v>0</v>
      </c>
      <c r="S111" s="4" t="s">
        <v>148</v>
      </c>
      <c r="U111" s="4">
        <v>16</v>
      </c>
      <c r="V111" s="4">
        <v>0</v>
      </c>
      <c r="W111" s="4">
        <v>0</v>
      </c>
    </row>
    <row r="112" spans="1:23" ht="11.25" customHeight="1" x14ac:dyDescent="0.25">
      <c r="A112" s="4" t="s">
        <v>21</v>
      </c>
      <c r="B112" s="4" t="s">
        <v>35</v>
      </c>
      <c r="C112" s="4" t="s">
        <v>36</v>
      </c>
      <c r="D112" s="4" t="s">
        <v>34</v>
      </c>
      <c r="E112" s="4" t="s">
        <v>25</v>
      </c>
      <c r="F112" s="4" t="s">
        <v>25</v>
      </c>
      <c r="G112" s="4" t="s">
        <v>25</v>
      </c>
      <c r="H112" s="4" t="s">
        <v>25</v>
      </c>
      <c r="I112" s="5">
        <v>44713</v>
      </c>
      <c r="J112" s="6">
        <v>10878</v>
      </c>
      <c r="K112" s="6">
        <v>10878</v>
      </c>
      <c r="L112" s="6">
        <v>0</v>
      </c>
      <c r="M112" s="6">
        <v>0</v>
      </c>
      <c r="N112" s="6">
        <v>0</v>
      </c>
      <c r="O112" s="6">
        <v>0</v>
      </c>
      <c r="P112" s="6">
        <v>30</v>
      </c>
      <c r="Q112" s="4" t="s">
        <v>26</v>
      </c>
      <c r="R112" s="4">
        <v>0</v>
      </c>
      <c r="S112" s="4" t="s">
        <v>149</v>
      </c>
      <c r="U112" s="4">
        <v>16</v>
      </c>
      <c r="V112" s="4">
        <v>0</v>
      </c>
      <c r="W112" s="4">
        <v>0</v>
      </c>
    </row>
    <row r="113" spans="1:23" ht="11.25" customHeight="1" x14ac:dyDescent="0.25">
      <c r="A113" s="4" t="s">
        <v>28</v>
      </c>
      <c r="B113" s="4" t="s">
        <v>35</v>
      </c>
      <c r="C113" s="4" t="s">
        <v>36</v>
      </c>
      <c r="D113" s="4" t="s">
        <v>34</v>
      </c>
      <c r="E113" s="4" t="s">
        <v>25</v>
      </c>
      <c r="F113" s="4" t="s">
        <v>25</v>
      </c>
      <c r="G113" s="4" t="s">
        <v>25</v>
      </c>
      <c r="H113" s="4" t="s">
        <v>25</v>
      </c>
      <c r="I113" s="5">
        <v>44713</v>
      </c>
      <c r="J113" s="6">
        <v>440</v>
      </c>
      <c r="K113" s="6">
        <v>440</v>
      </c>
      <c r="L113" s="6">
        <v>0</v>
      </c>
      <c r="M113" s="6">
        <v>0</v>
      </c>
      <c r="N113" s="6">
        <v>0</v>
      </c>
      <c r="O113" s="6">
        <v>0</v>
      </c>
      <c r="P113" s="6">
        <v>2</v>
      </c>
      <c r="Q113" s="4" t="s">
        <v>26</v>
      </c>
      <c r="R113" s="4">
        <v>0</v>
      </c>
      <c r="S113" s="4" t="s">
        <v>149</v>
      </c>
      <c r="U113" s="4">
        <v>16</v>
      </c>
      <c r="V113" s="4">
        <v>0</v>
      </c>
      <c r="W113" s="4">
        <v>0</v>
      </c>
    </row>
    <row r="114" spans="1:23" ht="11.25" customHeight="1" x14ac:dyDescent="0.25">
      <c r="A114" s="4" t="s">
        <v>21</v>
      </c>
      <c r="B114" s="4" t="s">
        <v>35</v>
      </c>
      <c r="C114" s="4" t="s">
        <v>36</v>
      </c>
      <c r="D114" s="4" t="s">
        <v>34</v>
      </c>
      <c r="E114" s="4" t="s">
        <v>25</v>
      </c>
      <c r="F114" s="4" t="s">
        <v>25</v>
      </c>
      <c r="G114" s="4" t="s">
        <v>25</v>
      </c>
      <c r="H114" s="4" t="s">
        <v>25</v>
      </c>
      <c r="I114" s="5">
        <v>44743</v>
      </c>
      <c r="J114" s="6">
        <v>10786</v>
      </c>
      <c r="K114" s="6">
        <v>10786</v>
      </c>
      <c r="L114" s="6">
        <v>0</v>
      </c>
      <c r="M114" s="6">
        <v>0</v>
      </c>
      <c r="N114" s="6">
        <v>0</v>
      </c>
      <c r="O114" s="6">
        <v>0</v>
      </c>
      <c r="P114" s="6">
        <v>30</v>
      </c>
      <c r="Q114" s="4" t="s">
        <v>26</v>
      </c>
      <c r="R114" s="4">
        <v>0</v>
      </c>
      <c r="S114" s="4" t="s">
        <v>150</v>
      </c>
      <c r="U114" s="4">
        <v>16</v>
      </c>
      <c r="V114" s="4">
        <v>0</v>
      </c>
      <c r="W114" s="4">
        <v>0</v>
      </c>
    </row>
    <row r="115" spans="1:23" ht="11.25" customHeight="1" x14ac:dyDescent="0.25">
      <c r="A115" s="4" t="s">
        <v>28</v>
      </c>
      <c r="B115" s="4" t="s">
        <v>35</v>
      </c>
      <c r="C115" s="4" t="s">
        <v>36</v>
      </c>
      <c r="D115" s="4" t="s">
        <v>34</v>
      </c>
      <c r="E115" s="4" t="s">
        <v>25</v>
      </c>
      <c r="F115" s="4" t="s">
        <v>25</v>
      </c>
      <c r="G115" s="4" t="s">
        <v>25</v>
      </c>
      <c r="H115" s="4" t="s">
        <v>25</v>
      </c>
      <c r="I115" s="5">
        <v>44743</v>
      </c>
      <c r="J115" s="6">
        <v>450</v>
      </c>
      <c r="K115" s="6">
        <v>450</v>
      </c>
      <c r="L115" s="6">
        <v>0</v>
      </c>
      <c r="M115" s="6">
        <v>0</v>
      </c>
      <c r="N115" s="6">
        <v>0</v>
      </c>
      <c r="O115" s="6">
        <v>0</v>
      </c>
      <c r="P115" s="6">
        <v>2</v>
      </c>
      <c r="Q115" s="4" t="s">
        <v>26</v>
      </c>
      <c r="R115" s="4">
        <v>0</v>
      </c>
      <c r="S115" s="4" t="s">
        <v>150</v>
      </c>
      <c r="U115" s="4">
        <v>16</v>
      </c>
      <c r="V115" s="4">
        <v>0</v>
      </c>
      <c r="W115" s="4">
        <v>0</v>
      </c>
    </row>
    <row r="116" spans="1:23" ht="11.25" customHeight="1" x14ac:dyDescent="0.25">
      <c r="A116" s="4" t="s">
        <v>21</v>
      </c>
      <c r="B116" s="4" t="s">
        <v>35</v>
      </c>
      <c r="C116" s="4" t="s">
        <v>36</v>
      </c>
      <c r="D116" s="4" t="s">
        <v>34</v>
      </c>
      <c r="E116" s="4" t="s">
        <v>25</v>
      </c>
      <c r="F116" s="4" t="s">
        <v>25</v>
      </c>
      <c r="G116" s="4" t="s">
        <v>25</v>
      </c>
      <c r="H116" s="4" t="s">
        <v>25</v>
      </c>
      <c r="I116" s="5">
        <v>44774</v>
      </c>
      <c r="J116" s="6">
        <v>10756</v>
      </c>
      <c r="K116" s="6">
        <v>10756</v>
      </c>
      <c r="L116" s="6">
        <v>0</v>
      </c>
      <c r="M116" s="6">
        <v>0</v>
      </c>
      <c r="N116" s="6">
        <v>0</v>
      </c>
      <c r="O116" s="6">
        <v>0</v>
      </c>
      <c r="P116" s="6">
        <v>29</v>
      </c>
      <c r="Q116" s="4" t="s">
        <v>26</v>
      </c>
      <c r="R116" s="4">
        <v>0</v>
      </c>
      <c r="S116" s="4" t="s">
        <v>151</v>
      </c>
      <c r="U116" s="4">
        <v>16</v>
      </c>
      <c r="V116" s="4">
        <v>0</v>
      </c>
      <c r="W116" s="4">
        <v>0</v>
      </c>
    </row>
    <row r="117" spans="1:23" ht="11.25" customHeight="1" x14ac:dyDescent="0.25">
      <c r="A117" s="4" t="s">
        <v>28</v>
      </c>
      <c r="B117" s="4" t="s">
        <v>35</v>
      </c>
      <c r="C117" s="4" t="s">
        <v>36</v>
      </c>
      <c r="D117" s="4" t="s">
        <v>34</v>
      </c>
      <c r="E117" s="4" t="s">
        <v>25</v>
      </c>
      <c r="F117" s="4" t="s">
        <v>25</v>
      </c>
      <c r="G117" s="4" t="s">
        <v>25</v>
      </c>
      <c r="H117" s="4" t="s">
        <v>25</v>
      </c>
      <c r="I117" s="5">
        <v>44774</v>
      </c>
      <c r="J117" s="6">
        <v>578</v>
      </c>
      <c r="K117" s="6">
        <v>578</v>
      </c>
      <c r="L117" s="6">
        <v>0</v>
      </c>
      <c r="M117" s="6">
        <v>0</v>
      </c>
      <c r="N117" s="6">
        <v>0</v>
      </c>
      <c r="O117" s="6">
        <v>0</v>
      </c>
      <c r="P117" s="6">
        <v>3</v>
      </c>
      <c r="Q117" s="4" t="s">
        <v>26</v>
      </c>
      <c r="R117" s="4">
        <v>0</v>
      </c>
      <c r="S117" s="4" t="s">
        <v>151</v>
      </c>
      <c r="U117" s="4">
        <v>16</v>
      </c>
      <c r="V117" s="4">
        <v>0</v>
      </c>
      <c r="W117" s="4">
        <v>0</v>
      </c>
    </row>
    <row r="118" spans="1:23" ht="11.25" customHeight="1" x14ac:dyDescent="0.25">
      <c r="A118" s="4" t="s">
        <v>21</v>
      </c>
      <c r="B118" s="4" t="s">
        <v>35</v>
      </c>
      <c r="C118" s="4" t="s">
        <v>36</v>
      </c>
      <c r="D118" s="4" t="s">
        <v>34</v>
      </c>
      <c r="E118" s="4" t="s">
        <v>25</v>
      </c>
      <c r="F118" s="4" t="s">
        <v>25</v>
      </c>
      <c r="G118" s="4" t="s">
        <v>25</v>
      </c>
      <c r="H118" s="4" t="s">
        <v>37</v>
      </c>
      <c r="I118" s="5">
        <v>44440</v>
      </c>
      <c r="J118" s="6">
        <v>0</v>
      </c>
      <c r="K118" s="6">
        <v>0</v>
      </c>
      <c r="L118" s="6">
        <v>52.817999999999998</v>
      </c>
      <c r="M118" s="6">
        <v>52.817999999999998</v>
      </c>
      <c r="N118" s="6">
        <v>52.817999999999998</v>
      </c>
      <c r="O118" s="6">
        <v>52.817999999999998</v>
      </c>
      <c r="P118" s="6">
        <v>0</v>
      </c>
      <c r="Q118" s="4" t="s">
        <v>26</v>
      </c>
      <c r="R118" s="4">
        <v>0</v>
      </c>
      <c r="S118" s="4" t="s">
        <v>152</v>
      </c>
      <c r="T118" s="4" t="s">
        <v>273</v>
      </c>
      <c r="U118" s="4">
        <v>0</v>
      </c>
      <c r="V118" s="4">
        <v>25</v>
      </c>
      <c r="W118" s="4">
        <v>44</v>
      </c>
    </row>
    <row r="119" spans="1:23" ht="11.25" customHeight="1" x14ac:dyDescent="0.25">
      <c r="A119" s="4" t="s">
        <v>28</v>
      </c>
      <c r="B119" s="4" t="s">
        <v>35</v>
      </c>
      <c r="C119" s="4" t="s">
        <v>36</v>
      </c>
      <c r="D119" s="4" t="s">
        <v>34</v>
      </c>
      <c r="E119" s="4" t="s">
        <v>25</v>
      </c>
      <c r="F119" s="4" t="s">
        <v>25</v>
      </c>
      <c r="G119" s="4" t="s">
        <v>25</v>
      </c>
      <c r="H119" s="4" t="s">
        <v>37</v>
      </c>
      <c r="I119" s="5">
        <v>44440</v>
      </c>
      <c r="J119" s="6">
        <v>0</v>
      </c>
      <c r="K119" s="6">
        <v>0</v>
      </c>
      <c r="L119" s="6">
        <v>0.89500000000000002</v>
      </c>
      <c r="M119" s="6">
        <v>0.89500000000000002</v>
      </c>
      <c r="N119" s="6">
        <v>0.89500000000000002</v>
      </c>
      <c r="O119" s="6">
        <v>0.89500000000000002</v>
      </c>
      <c r="P119" s="6">
        <v>0</v>
      </c>
      <c r="Q119" s="4" t="s">
        <v>26</v>
      </c>
      <c r="R119" s="4">
        <v>0</v>
      </c>
      <c r="S119" s="4" t="s">
        <v>152</v>
      </c>
      <c r="T119" s="4" t="s">
        <v>273</v>
      </c>
      <c r="U119" s="4">
        <v>0</v>
      </c>
      <c r="V119" s="4">
        <v>25</v>
      </c>
      <c r="W119" s="4">
        <v>44</v>
      </c>
    </row>
    <row r="120" spans="1:23" ht="11.25" customHeight="1" x14ac:dyDescent="0.25">
      <c r="A120" s="4" t="s">
        <v>21</v>
      </c>
      <c r="B120" s="4" t="s">
        <v>35</v>
      </c>
      <c r="C120" s="4" t="s">
        <v>36</v>
      </c>
      <c r="D120" s="4" t="s">
        <v>34</v>
      </c>
      <c r="E120" s="4" t="s">
        <v>25</v>
      </c>
      <c r="F120" s="4" t="s">
        <v>25</v>
      </c>
      <c r="G120" s="4" t="s">
        <v>25</v>
      </c>
      <c r="H120" s="4" t="s">
        <v>37</v>
      </c>
      <c r="I120" s="5">
        <v>44470</v>
      </c>
      <c r="J120" s="6">
        <v>0</v>
      </c>
      <c r="K120" s="6">
        <v>0</v>
      </c>
      <c r="L120" s="6">
        <v>58.448999999999998</v>
      </c>
      <c r="M120" s="6">
        <v>58.448999999999998</v>
      </c>
      <c r="N120" s="6">
        <v>58.448999999999998</v>
      </c>
      <c r="O120" s="6">
        <v>58.448999999999998</v>
      </c>
      <c r="P120" s="6">
        <v>0</v>
      </c>
      <c r="Q120" s="4" t="s">
        <v>26</v>
      </c>
      <c r="R120" s="4">
        <v>0</v>
      </c>
      <c r="S120" s="4" t="s">
        <v>153</v>
      </c>
      <c r="T120" s="4" t="s">
        <v>274</v>
      </c>
      <c r="U120" s="4">
        <v>0</v>
      </c>
      <c r="V120" s="4">
        <v>25</v>
      </c>
      <c r="W120" s="4">
        <v>44</v>
      </c>
    </row>
    <row r="121" spans="1:23" ht="11.25" customHeight="1" x14ac:dyDescent="0.25">
      <c r="A121" s="4" t="s">
        <v>21</v>
      </c>
      <c r="B121" s="4" t="s">
        <v>35</v>
      </c>
      <c r="C121" s="4" t="s">
        <v>36</v>
      </c>
      <c r="D121" s="4" t="s">
        <v>34</v>
      </c>
      <c r="E121" s="4" t="s">
        <v>25</v>
      </c>
      <c r="F121" s="4" t="s">
        <v>25</v>
      </c>
      <c r="G121" s="4" t="s">
        <v>25</v>
      </c>
      <c r="H121" s="4" t="s">
        <v>37</v>
      </c>
      <c r="I121" s="5">
        <v>44501</v>
      </c>
      <c r="J121" s="6">
        <v>0</v>
      </c>
      <c r="K121" s="6">
        <v>0</v>
      </c>
      <c r="L121" s="6">
        <v>54.72</v>
      </c>
      <c r="M121" s="6">
        <v>54.72</v>
      </c>
      <c r="N121" s="6">
        <v>54.72</v>
      </c>
      <c r="O121" s="6">
        <v>54.72</v>
      </c>
      <c r="P121" s="6">
        <v>0</v>
      </c>
      <c r="Q121" s="4" t="s">
        <v>26</v>
      </c>
      <c r="R121" s="4">
        <v>0</v>
      </c>
      <c r="S121" s="4" t="s">
        <v>154</v>
      </c>
      <c r="T121" s="4" t="s">
        <v>275</v>
      </c>
      <c r="U121" s="4">
        <v>0</v>
      </c>
      <c r="V121" s="4">
        <v>25</v>
      </c>
      <c r="W121" s="4">
        <v>44</v>
      </c>
    </row>
    <row r="122" spans="1:23" ht="11.25" customHeight="1" x14ac:dyDescent="0.25">
      <c r="A122" s="4" t="s">
        <v>28</v>
      </c>
      <c r="B122" s="4" t="s">
        <v>35</v>
      </c>
      <c r="C122" s="4" t="s">
        <v>36</v>
      </c>
      <c r="D122" s="4" t="s">
        <v>34</v>
      </c>
      <c r="E122" s="4" t="s">
        <v>25</v>
      </c>
      <c r="F122" s="4" t="s">
        <v>25</v>
      </c>
      <c r="G122" s="4" t="s">
        <v>25</v>
      </c>
      <c r="H122" s="4" t="s">
        <v>37</v>
      </c>
      <c r="I122" s="5">
        <v>44501</v>
      </c>
      <c r="J122" s="6">
        <v>0</v>
      </c>
      <c r="K122" s="6">
        <v>0</v>
      </c>
      <c r="L122" s="6">
        <v>0.21299999999999999</v>
      </c>
      <c r="M122" s="6">
        <v>0.21299999999999999</v>
      </c>
      <c r="N122" s="6">
        <v>0.21299999999999999</v>
      </c>
      <c r="O122" s="6">
        <v>0.21299999999999999</v>
      </c>
      <c r="P122" s="6">
        <v>0</v>
      </c>
      <c r="Q122" s="4" t="s">
        <v>26</v>
      </c>
      <c r="R122" s="4">
        <v>0</v>
      </c>
      <c r="S122" s="4" t="s">
        <v>154</v>
      </c>
      <c r="T122" s="4" t="s">
        <v>275</v>
      </c>
      <c r="U122" s="4">
        <v>0</v>
      </c>
      <c r="V122" s="4">
        <v>25</v>
      </c>
      <c r="W122" s="4">
        <v>44</v>
      </c>
    </row>
    <row r="123" spans="1:23" ht="11.25" customHeight="1" x14ac:dyDescent="0.25">
      <c r="A123" s="4" t="s">
        <v>21</v>
      </c>
      <c r="B123" s="4" t="s">
        <v>35</v>
      </c>
      <c r="C123" s="4" t="s">
        <v>36</v>
      </c>
      <c r="D123" s="4" t="s">
        <v>34</v>
      </c>
      <c r="E123" s="4" t="s">
        <v>25</v>
      </c>
      <c r="F123" s="4" t="s">
        <v>25</v>
      </c>
      <c r="G123" s="4" t="s">
        <v>25</v>
      </c>
      <c r="H123" s="4" t="s">
        <v>37</v>
      </c>
      <c r="I123" s="5">
        <v>44531</v>
      </c>
      <c r="J123" s="6">
        <v>0</v>
      </c>
      <c r="K123" s="6">
        <v>0</v>
      </c>
      <c r="L123" s="6">
        <v>64.216999999999999</v>
      </c>
      <c r="M123" s="6">
        <v>64.216999999999999</v>
      </c>
      <c r="N123" s="6">
        <v>64.216999999999999</v>
      </c>
      <c r="O123" s="6">
        <v>64.216999999999999</v>
      </c>
      <c r="P123" s="6">
        <v>0</v>
      </c>
      <c r="Q123" s="4" t="s">
        <v>26</v>
      </c>
      <c r="R123" s="4">
        <v>0</v>
      </c>
      <c r="S123" s="4" t="s">
        <v>155</v>
      </c>
      <c r="T123" s="4" t="s">
        <v>276</v>
      </c>
      <c r="U123" s="4">
        <v>0</v>
      </c>
      <c r="V123" s="4">
        <v>25</v>
      </c>
      <c r="W123" s="4">
        <v>44</v>
      </c>
    </row>
    <row r="124" spans="1:23" ht="11.25" customHeight="1" x14ac:dyDescent="0.25">
      <c r="A124" s="4" t="s">
        <v>28</v>
      </c>
      <c r="B124" s="4" t="s">
        <v>35</v>
      </c>
      <c r="C124" s="4" t="s">
        <v>36</v>
      </c>
      <c r="D124" s="4" t="s">
        <v>34</v>
      </c>
      <c r="E124" s="4" t="s">
        <v>25</v>
      </c>
      <c r="F124" s="4" t="s">
        <v>25</v>
      </c>
      <c r="G124" s="4" t="s">
        <v>25</v>
      </c>
      <c r="H124" s="4" t="s">
        <v>37</v>
      </c>
      <c r="I124" s="5">
        <v>44531</v>
      </c>
      <c r="J124" s="6">
        <v>0</v>
      </c>
      <c r="K124" s="6">
        <v>0</v>
      </c>
      <c r="L124" s="6">
        <v>0.17199999999999999</v>
      </c>
      <c r="M124" s="6">
        <v>0.17199999999999999</v>
      </c>
      <c r="N124" s="6">
        <v>0.17199999999999999</v>
      </c>
      <c r="O124" s="6">
        <v>0.17199999999999999</v>
      </c>
      <c r="P124" s="6">
        <v>0</v>
      </c>
      <c r="Q124" s="4" t="s">
        <v>26</v>
      </c>
      <c r="R124" s="4">
        <v>0</v>
      </c>
      <c r="S124" s="4" t="s">
        <v>155</v>
      </c>
      <c r="T124" s="4" t="s">
        <v>276</v>
      </c>
      <c r="U124" s="4">
        <v>0</v>
      </c>
      <c r="V124" s="4">
        <v>25</v>
      </c>
      <c r="W124" s="4">
        <v>44</v>
      </c>
    </row>
    <row r="125" spans="1:23" ht="11.25" customHeight="1" x14ac:dyDescent="0.25">
      <c r="A125" s="4" t="s">
        <v>21</v>
      </c>
      <c r="B125" s="4" t="s">
        <v>35</v>
      </c>
      <c r="C125" s="4" t="s">
        <v>36</v>
      </c>
      <c r="D125" s="4" t="s">
        <v>34</v>
      </c>
      <c r="E125" s="4" t="s">
        <v>25</v>
      </c>
      <c r="F125" s="4" t="s">
        <v>25</v>
      </c>
      <c r="G125" s="4" t="s">
        <v>25</v>
      </c>
      <c r="H125" s="4" t="s">
        <v>37</v>
      </c>
      <c r="I125" s="5">
        <v>44562</v>
      </c>
      <c r="J125" s="6">
        <v>0</v>
      </c>
      <c r="K125" s="6">
        <v>0</v>
      </c>
      <c r="L125" s="6">
        <v>68.721000000000004</v>
      </c>
      <c r="M125" s="6">
        <v>68.721000000000004</v>
      </c>
      <c r="N125" s="6">
        <v>68.721000000000004</v>
      </c>
      <c r="O125" s="6">
        <v>68.721000000000004</v>
      </c>
      <c r="P125" s="6">
        <v>0</v>
      </c>
      <c r="Q125" s="4" t="s">
        <v>26</v>
      </c>
      <c r="R125" s="4">
        <v>0</v>
      </c>
      <c r="S125" s="4" t="s">
        <v>156</v>
      </c>
      <c r="T125" s="4" t="s">
        <v>277</v>
      </c>
      <c r="U125" s="4">
        <v>0</v>
      </c>
      <c r="V125" s="4">
        <v>25</v>
      </c>
      <c r="W125" s="4">
        <v>44</v>
      </c>
    </row>
    <row r="126" spans="1:23" ht="11.25" customHeight="1" x14ac:dyDescent="0.25">
      <c r="A126" s="4" t="s">
        <v>28</v>
      </c>
      <c r="B126" s="4" t="s">
        <v>35</v>
      </c>
      <c r="C126" s="4" t="s">
        <v>36</v>
      </c>
      <c r="D126" s="4" t="s">
        <v>34</v>
      </c>
      <c r="E126" s="4" t="s">
        <v>25</v>
      </c>
      <c r="F126" s="4" t="s">
        <v>25</v>
      </c>
      <c r="G126" s="4" t="s">
        <v>25</v>
      </c>
      <c r="H126" s="4" t="s">
        <v>37</v>
      </c>
      <c r="I126" s="5">
        <v>44562</v>
      </c>
      <c r="J126" s="6">
        <v>0</v>
      </c>
      <c r="K126" s="6">
        <v>0</v>
      </c>
      <c r="L126" s="6">
        <v>0.183</v>
      </c>
      <c r="M126" s="6">
        <v>0.183</v>
      </c>
      <c r="N126" s="6">
        <v>0.183</v>
      </c>
      <c r="O126" s="6">
        <v>0.183</v>
      </c>
      <c r="P126" s="6">
        <v>0</v>
      </c>
      <c r="Q126" s="4" t="s">
        <v>26</v>
      </c>
      <c r="R126" s="4">
        <v>0</v>
      </c>
      <c r="S126" s="4" t="s">
        <v>156</v>
      </c>
      <c r="T126" s="4" t="s">
        <v>277</v>
      </c>
      <c r="U126" s="4">
        <v>0</v>
      </c>
      <c r="V126" s="4">
        <v>25</v>
      </c>
      <c r="W126" s="4">
        <v>44</v>
      </c>
    </row>
    <row r="127" spans="1:23" ht="11.25" customHeight="1" x14ac:dyDescent="0.25">
      <c r="A127" s="4" t="s">
        <v>21</v>
      </c>
      <c r="B127" s="4" t="s">
        <v>35</v>
      </c>
      <c r="C127" s="4" t="s">
        <v>36</v>
      </c>
      <c r="D127" s="4" t="s">
        <v>34</v>
      </c>
      <c r="E127" s="4" t="s">
        <v>25</v>
      </c>
      <c r="F127" s="4" t="s">
        <v>25</v>
      </c>
      <c r="G127" s="4" t="s">
        <v>25</v>
      </c>
      <c r="H127" s="4" t="s">
        <v>37</v>
      </c>
      <c r="I127" s="5">
        <v>44593</v>
      </c>
      <c r="J127" s="6">
        <v>0</v>
      </c>
      <c r="K127" s="6">
        <v>0</v>
      </c>
      <c r="L127" s="6">
        <v>51.87</v>
      </c>
      <c r="M127" s="6">
        <v>51.87</v>
      </c>
      <c r="N127" s="6">
        <v>51.87</v>
      </c>
      <c r="O127" s="6">
        <v>51.87</v>
      </c>
      <c r="P127" s="6">
        <v>0</v>
      </c>
      <c r="Q127" s="4" t="s">
        <v>26</v>
      </c>
      <c r="R127" s="4">
        <v>0</v>
      </c>
      <c r="S127" s="4" t="s">
        <v>157</v>
      </c>
      <c r="T127" s="4" t="s">
        <v>278</v>
      </c>
      <c r="U127" s="4">
        <v>0</v>
      </c>
      <c r="V127" s="4">
        <v>25</v>
      </c>
      <c r="W127" s="4">
        <v>44</v>
      </c>
    </row>
    <row r="128" spans="1:23" ht="11.25" customHeight="1" x14ac:dyDescent="0.25">
      <c r="A128" s="4" t="s">
        <v>21</v>
      </c>
      <c r="B128" s="4" t="s">
        <v>35</v>
      </c>
      <c r="C128" s="4" t="s">
        <v>36</v>
      </c>
      <c r="D128" s="4" t="s">
        <v>34</v>
      </c>
      <c r="E128" s="4" t="s">
        <v>25</v>
      </c>
      <c r="F128" s="4" t="s">
        <v>25</v>
      </c>
      <c r="G128" s="4" t="s">
        <v>25</v>
      </c>
      <c r="H128" s="4" t="s">
        <v>37</v>
      </c>
      <c r="I128" s="5">
        <v>44621</v>
      </c>
      <c r="J128" s="6">
        <v>0</v>
      </c>
      <c r="K128" s="6">
        <v>0</v>
      </c>
      <c r="L128" s="6">
        <v>60.518000000000001</v>
      </c>
      <c r="M128" s="6">
        <v>60.518000000000001</v>
      </c>
      <c r="N128" s="6">
        <v>60.518000000000001</v>
      </c>
      <c r="O128" s="6">
        <v>60.518000000000001</v>
      </c>
      <c r="P128" s="6">
        <v>0</v>
      </c>
      <c r="Q128" s="4" t="s">
        <v>26</v>
      </c>
      <c r="R128" s="4">
        <v>0</v>
      </c>
      <c r="S128" s="4" t="s">
        <v>158</v>
      </c>
      <c r="T128" s="4" t="s">
        <v>279</v>
      </c>
      <c r="U128" s="4">
        <v>0</v>
      </c>
      <c r="V128" s="4">
        <v>25</v>
      </c>
      <c r="W128" s="4">
        <v>44</v>
      </c>
    </row>
    <row r="129" spans="1:23" ht="11.25" customHeight="1" x14ac:dyDescent="0.25">
      <c r="A129" s="4" t="s">
        <v>21</v>
      </c>
      <c r="B129" s="4" t="s">
        <v>35</v>
      </c>
      <c r="C129" s="4" t="s">
        <v>36</v>
      </c>
      <c r="D129" s="4" t="s">
        <v>34</v>
      </c>
      <c r="E129" s="4" t="s">
        <v>25</v>
      </c>
      <c r="F129" s="4" t="s">
        <v>25</v>
      </c>
      <c r="G129" s="4" t="s">
        <v>25</v>
      </c>
      <c r="H129" s="4" t="s">
        <v>37</v>
      </c>
      <c r="I129" s="5">
        <v>44652</v>
      </c>
      <c r="J129" s="6">
        <v>0</v>
      </c>
      <c r="K129" s="6">
        <v>0</v>
      </c>
      <c r="L129" s="6">
        <v>55.094000000000001</v>
      </c>
      <c r="M129" s="6">
        <v>55.094000000000001</v>
      </c>
      <c r="N129" s="6">
        <v>55.094000000000001</v>
      </c>
      <c r="O129" s="6">
        <v>55.094000000000001</v>
      </c>
      <c r="P129" s="6">
        <v>0</v>
      </c>
      <c r="Q129" s="4" t="s">
        <v>26</v>
      </c>
      <c r="R129" s="4">
        <v>0</v>
      </c>
      <c r="S129" s="4" t="s">
        <v>159</v>
      </c>
      <c r="T129" s="4" t="s">
        <v>280</v>
      </c>
      <c r="U129" s="4">
        <v>0</v>
      </c>
      <c r="V129" s="4">
        <v>25</v>
      </c>
      <c r="W129" s="4">
        <v>44</v>
      </c>
    </row>
    <row r="130" spans="1:23" ht="11.25" customHeight="1" x14ac:dyDescent="0.25">
      <c r="A130" s="4" t="s">
        <v>28</v>
      </c>
      <c r="B130" s="4" t="s">
        <v>35</v>
      </c>
      <c r="C130" s="4" t="s">
        <v>36</v>
      </c>
      <c r="D130" s="4" t="s">
        <v>34</v>
      </c>
      <c r="E130" s="4" t="s">
        <v>25</v>
      </c>
      <c r="F130" s="4" t="s">
        <v>25</v>
      </c>
      <c r="G130" s="4" t="s">
        <v>25</v>
      </c>
      <c r="H130" s="4" t="s">
        <v>37</v>
      </c>
      <c r="I130" s="5">
        <v>44652</v>
      </c>
      <c r="J130" s="6">
        <v>0</v>
      </c>
      <c r="K130" s="6">
        <v>0</v>
      </c>
      <c r="L130" s="6">
        <v>0.50800000000000001</v>
      </c>
      <c r="M130" s="6">
        <v>0.50800000000000001</v>
      </c>
      <c r="N130" s="6">
        <v>0.50800000000000001</v>
      </c>
      <c r="O130" s="6">
        <v>0.50800000000000001</v>
      </c>
      <c r="P130" s="6">
        <v>0</v>
      </c>
      <c r="Q130" s="4" t="s">
        <v>26</v>
      </c>
      <c r="R130" s="4">
        <v>0</v>
      </c>
      <c r="S130" s="4" t="s">
        <v>159</v>
      </c>
      <c r="T130" s="4" t="s">
        <v>280</v>
      </c>
      <c r="U130" s="4">
        <v>0</v>
      </c>
      <c r="V130" s="4">
        <v>25</v>
      </c>
      <c r="W130" s="4">
        <v>44</v>
      </c>
    </row>
    <row r="131" spans="1:23" ht="11.25" customHeight="1" x14ac:dyDescent="0.25">
      <c r="A131" s="4" t="s">
        <v>21</v>
      </c>
      <c r="B131" s="4" t="s">
        <v>35</v>
      </c>
      <c r="C131" s="4" t="s">
        <v>36</v>
      </c>
      <c r="D131" s="4" t="s">
        <v>34</v>
      </c>
      <c r="E131" s="4" t="s">
        <v>25</v>
      </c>
      <c r="F131" s="4" t="s">
        <v>25</v>
      </c>
      <c r="G131" s="4" t="s">
        <v>25</v>
      </c>
      <c r="H131" s="4" t="s">
        <v>37</v>
      </c>
      <c r="I131" s="5">
        <v>44682</v>
      </c>
      <c r="J131" s="6">
        <v>0</v>
      </c>
      <c r="K131" s="6">
        <v>0</v>
      </c>
      <c r="L131" s="6">
        <v>90.688999999999993</v>
      </c>
      <c r="M131" s="6">
        <v>90.688999999999993</v>
      </c>
      <c r="N131" s="6">
        <v>90.688999999999993</v>
      </c>
      <c r="O131" s="6">
        <v>90.688999999999993</v>
      </c>
      <c r="P131" s="6">
        <v>0</v>
      </c>
      <c r="Q131" s="4" t="s">
        <v>26</v>
      </c>
      <c r="R131" s="4">
        <v>0</v>
      </c>
      <c r="S131" s="4" t="s">
        <v>160</v>
      </c>
      <c r="T131" s="4" t="s">
        <v>281</v>
      </c>
      <c r="U131" s="4">
        <v>0</v>
      </c>
      <c r="V131" s="4">
        <v>25</v>
      </c>
      <c r="W131" s="4">
        <v>44</v>
      </c>
    </row>
    <row r="132" spans="1:23" ht="11.25" customHeight="1" x14ac:dyDescent="0.25">
      <c r="A132" s="4" t="s">
        <v>28</v>
      </c>
      <c r="B132" s="4" t="s">
        <v>35</v>
      </c>
      <c r="C132" s="4" t="s">
        <v>36</v>
      </c>
      <c r="D132" s="4" t="s">
        <v>34</v>
      </c>
      <c r="E132" s="4" t="s">
        <v>25</v>
      </c>
      <c r="F132" s="4" t="s">
        <v>25</v>
      </c>
      <c r="G132" s="4" t="s">
        <v>25</v>
      </c>
      <c r="H132" s="4" t="s">
        <v>37</v>
      </c>
      <c r="I132" s="5">
        <v>44682</v>
      </c>
      <c r="J132" s="6">
        <v>0</v>
      </c>
      <c r="K132" s="6">
        <v>0</v>
      </c>
      <c r="L132" s="6">
        <v>0.38800000000000001</v>
      </c>
      <c r="M132" s="6">
        <v>0.38800000000000001</v>
      </c>
      <c r="N132" s="6">
        <v>0.38800000000000001</v>
      </c>
      <c r="O132" s="6">
        <v>0.38800000000000001</v>
      </c>
      <c r="P132" s="6">
        <v>0</v>
      </c>
      <c r="Q132" s="4" t="s">
        <v>26</v>
      </c>
      <c r="R132" s="4">
        <v>0</v>
      </c>
      <c r="S132" s="4" t="s">
        <v>160</v>
      </c>
      <c r="T132" s="4" t="s">
        <v>281</v>
      </c>
      <c r="U132" s="4">
        <v>0</v>
      </c>
      <c r="V132" s="4">
        <v>25</v>
      </c>
      <c r="W132" s="4">
        <v>44</v>
      </c>
    </row>
    <row r="133" spans="1:23" ht="11.25" customHeight="1" x14ac:dyDescent="0.25">
      <c r="A133" s="4" t="s">
        <v>21</v>
      </c>
      <c r="B133" s="4" t="s">
        <v>35</v>
      </c>
      <c r="C133" s="4" t="s">
        <v>36</v>
      </c>
      <c r="D133" s="4" t="s">
        <v>34</v>
      </c>
      <c r="E133" s="4" t="s">
        <v>25</v>
      </c>
      <c r="F133" s="4" t="s">
        <v>25</v>
      </c>
      <c r="G133" s="4" t="s">
        <v>25</v>
      </c>
      <c r="H133" s="4" t="s">
        <v>37</v>
      </c>
      <c r="I133" s="5">
        <v>44713</v>
      </c>
      <c r="J133" s="6">
        <v>0</v>
      </c>
      <c r="K133" s="6">
        <v>0</v>
      </c>
      <c r="L133" s="6">
        <v>98.597999999999999</v>
      </c>
      <c r="M133" s="6">
        <v>98.597999999999999</v>
      </c>
      <c r="N133" s="6">
        <v>98.597999999999999</v>
      </c>
      <c r="O133" s="6">
        <v>98.597999999999999</v>
      </c>
      <c r="P133" s="6">
        <v>0</v>
      </c>
      <c r="Q133" s="4" t="s">
        <v>26</v>
      </c>
      <c r="R133" s="4">
        <v>0</v>
      </c>
      <c r="S133" s="4" t="s">
        <v>161</v>
      </c>
      <c r="T133" s="4" t="s">
        <v>282</v>
      </c>
      <c r="U133" s="4">
        <v>0</v>
      </c>
      <c r="V133" s="4">
        <v>25</v>
      </c>
      <c r="W133" s="4">
        <v>44</v>
      </c>
    </row>
    <row r="134" spans="1:23" ht="11.25" customHeight="1" x14ac:dyDescent="0.25">
      <c r="A134" s="4" t="s">
        <v>28</v>
      </c>
      <c r="B134" s="4" t="s">
        <v>35</v>
      </c>
      <c r="C134" s="4" t="s">
        <v>36</v>
      </c>
      <c r="D134" s="4" t="s">
        <v>34</v>
      </c>
      <c r="E134" s="4" t="s">
        <v>25</v>
      </c>
      <c r="F134" s="4" t="s">
        <v>25</v>
      </c>
      <c r="G134" s="4" t="s">
        <v>25</v>
      </c>
      <c r="H134" s="4" t="s">
        <v>37</v>
      </c>
      <c r="I134" s="5">
        <v>44713</v>
      </c>
      <c r="J134" s="6">
        <v>0</v>
      </c>
      <c r="K134" s="6">
        <v>0</v>
      </c>
      <c r="L134" s="6">
        <v>0.34300000000000003</v>
      </c>
      <c r="M134" s="6">
        <v>0.34300000000000003</v>
      </c>
      <c r="N134" s="6">
        <v>0.34300000000000003</v>
      </c>
      <c r="O134" s="6">
        <v>0.34300000000000003</v>
      </c>
      <c r="P134" s="6">
        <v>0</v>
      </c>
      <c r="Q134" s="4" t="s">
        <v>26</v>
      </c>
      <c r="R134" s="4">
        <v>0</v>
      </c>
      <c r="S134" s="4" t="s">
        <v>161</v>
      </c>
      <c r="T134" s="4" t="s">
        <v>282</v>
      </c>
      <c r="U134" s="4">
        <v>0</v>
      </c>
      <c r="V134" s="4">
        <v>25</v>
      </c>
      <c r="W134" s="4">
        <v>44</v>
      </c>
    </row>
    <row r="135" spans="1:23" ht="11.25" customHeight="1" x14ac:dyDescent="0.25">
      <c r="A135" s="4" t="s">
        <v>21</v>
      </c>
      <c r="B135" s="4" t="s">
        <v>35</v>
      </c>
      <c r="C135" s="4" t="s">
        <v>36</v>
      </c>
      <c r="D135" s="4" t="s">
        <v>34</v>
      </c>
      <c r="E135" s="4" t="s">
        <v>25</v>
      </c>
      <c r="F135" s="4" t="s">
        <v>25</v>
      </c>
      <c r="G135" s="4" t="s">
        <v>25</v>
      </c>
      <c r="H135" s="4" t="s">
        <v>37</v>
      </c>
      <c r="I135" s="5">
        <v>44743</v>
      </c>
      <c r="J135" s="6">
        <v>0</v>
      </c>
      <c r="K135" s="6">
        <v>0</v>
      </c>
      <c r="L135" s="6">
        <v>121.75</v>
      </c>
      <c r="M135" s="6">
        <v>121.75</v>
      </c>
      <c r="N135" s="6">
        <v>121.75</v>
      </c>
      <c r="O135" s="6">
        <v>121.75</v>
      </c>
      <c r="P135" s="6">
        <v>0</v>
      </c>
      <c r="Q135" s="4" t="s">
        <v>26</v>
      </c>
      <c r="R135" s="4">
        <v>0</v>
      </c>
      <c r="S135" s="4" t="s">
        <v>162</v>
      </c>
      <c r="T135" s="4" t="s">
        <v>283</v>
      </c>
      <c r="U135" s="4">
        <v>0</v>
      </c>
      <c r="V135" s="4">
        <v>25</v>
      </c>
      <c r="W135" s="4">
        <v>44</v>
      </c>
    </row>
    <row r="136" spans="1:23" ht="11.25" customHeight="1" x14ac:dyDescent="0.25">
      <c r="A136" s="4" t="s">
        <v>21</v>
      </c>
      <c r="B136" s="4" t="s">
        <v>35</v>
      </c>
      <c r="C136" s="4" t="s">
        <v>36</v>
      </c>
      <c r="D136" s="4" t="s">
        <v>34</v>
      </c>
      <c r="E136" s="4" t="s">
        <v>25</v>
      </c>
      <c r="F136" s="4" t="s">
        <v>25</v>
      </c>
      <c r="G136" s="4" t="s">
        <v>25</v>
      </c>
      <c r="H136" s="4" t="s">
        <v>37</v>
      </c>
      <c r="I136" s="5">
        <v>44774</v>
      </c>
      <c r="J136" s="6">
        <v>0</v>
      </c>
      <c r="K136" s="6">
        <v>0</v>
      </c>
      <c r="L136" s="6">
        <v>129.63300000000001</v>
      </c>
      <c r="M136" s="6">
        <v>129.63300000000001</v>
      </c>
      <c r="N136" s="6">
        <v>129.63300000000001</v>
      </c>
      <c r="O136" s="6">
        <v>129.63300000000001</v>
      </c>
      <c r="P136" s="6">
        <v>0</v>
      </c>
      <c r="Q136" s="4" t="s">
        <v>26</v>
      </c>
      <c r="R136" s="4">
        <v>0</v>
      </c>
      <c r="S136" s="4" t="s">
        <v>163</v>
      </c>
      <c r="T136" s="4" t="s">
        <v>284</v>
      </c>
      <c r="U136" s="4">
        <v>0</v>
      </c>
      <c r="V136" s="4">
        <v>25</v>
      </c>
      <c r="W136" s="4">
        <v>44</v>
      </c>
    </row>
    <row r="137" spans="1:23" ht="11.25" customHeight="1" x14ac:dyDescent="0.25">
      <c r="A137" s="4" t="s">
        <v>28</v>
      </c>
      <c r="B137" s="4" t="s">
        <v>35</v>
      </c>
      <c r="C137" s="4" t="s">
        <v>36</v>
      </c>
      <c r="D137" s="4" t="s">
        <v>34</v>
      </c>
      <c r="E137" s="4" t="s">
        <v>25</v>
      </c>
      <c r="F137" s="4" t="s">
        <v>25</v>
      </c>
      <c r="G137" s="4" t="s">
        <v>25</v>
      </c>
      <c r="H137" s="4" t="s">
        <v>37</v>
      </c>
      <c r="I137" s="5">
        <v>44774</v>
      </c>
      <c r="J137" s="6">
        <v>0</v>
      </c>
      <c r="K137" s="6">
        <v>0</v>
      </c>
      <c r="L137" s="6">
        <v>0.998</v>
      </c>
      <c r="M137" s="6">
        <v>0.998</v>
      </c>
      <c r="N137" s="6">
        <v>0.998</v>
      </c>
      <c r="O137" s="6">
        <v>0.998</v>
      </c>
      <c r="P137" s="6">
        <v>0</v>
      </c>
      <c r="Q137" s="4" t="s">
        <v>26</v>
      </c>
      <c r="R137" s="4">
        <v>0</v>
      </c>
      <c r="S137" s="4" t="s">
        <v>163</v>
      </c>
      <c r="T137" s="4" t="s">
        <v>284</v>
      </c>
      <c r="U137" s="4">
        <v>0</v>
      </c>
      <c r="V137" s="4">
        <v>25</v>
      </c>
      <c r="W137" s="4">
        <v>44</v>
      </c>
    </row>
    <row r="138" spans="1:23" ht="11.25" customHeight="1" x14ac:dyDescent="0.25">
      <c r="A138" s="4" t="s">
        <v>21</v>
      </c>
      <c r="B138" s="4" t="s">
        <v>35</v>
      </c>
      <c r="C138" s="4" t="s">
        <v>36</v>
      </c>
      <c r="D138" s="4" t="s">
        <v>41</v>
      </c>
      <c r="E138" s="4" t="s">
        <v>25</v>
      </c>
      <c r="F138" s="4" t="s">
        <v>25</v>
      </c>
      <c r="G138" s="4" t="s">
        <v>25</v>
      </c>
      <c r="H138" s="4" t="s">
        <v>38</v>
      </c>
      <c r="I138" s="5">
        <v>44440</v>
      </c>
      <c r="J138" s="6">
        <v>0</v>
      </c>
      <c r="K138" s="6">
        <v>0</v>
      </c>
      <c r="L138" s="6">
        <v>24.815999999999999</v>
      </c>
      <c r="M138" s="6">
        <v>23.823360000000001</v>
      </c>
      <c r="N138" s="6">
        <v>24.815999999999999</v>
      </c>
      <c r="O138" s="6">
        <v>23.823360000000001</v>
      </c>
      <c r="P138" s="6">
        <v>0</v>
      </c>
      <c r="Q138" s="4" t="s">
        <v>26</v>
      </c>
      <c r="R138" s="4">
        <v>0</v>
      </c>
      <c r="S138" s="4" t="s">
        <v>128</v>
      </c>
      <c r="T138" s="4" t="s">
        <v>261</v>
      </c>
      <c r="U138" s="4">
        <v>0</v>
      </c>
      <c r="V138" s="4">
        <v>23</v>
      </c>
      <c r="W138" s="4">
        <v>51</v>
      </c>
    </row>
    <row r="139" spans="1:23" ht="11.25" customHeight="1" x14ac:dyDescent="0.25">
      <c r="A139" s="4" t="s">
        <v>28</v>
      </c>
      <c r="B139" s="4" t="s">
        <v>35</v>
      </c>
      <c r="C139" s="4" t="s">
        <v>36</v>
      </c>
      <c r="D139" s="4" t="s">
        <v>41</v>
      </c>
      <c r="E139" s="4" t="s">
        <v>25</v>
      </c>
      <c r="F139" s="4" t="s">
        <v>25</v>
      </c>
      <c r="G139" s="4" t="s">
        <v>25</v>
      </c>
      <c r="H139" s="4" t="s">
        <v>38</v>
      </c>
      <c r="I139" s="5">
        <v>44440</v>
      </c>
      <c r="J139" s="6">
        <v>0</v>
      </c>
      <c r="K139" s="6">
        <v>0</v>
      </c>
      <c r="L139" s="6">
        <v>36.305999999999997</v>
      </c>
      <c r="M139" s="6">
        <v>34.853759999999994</v>
      </c>
      <c r="N139" s="6">
        <v>36.305999999999997</v>
      </c>
      <c r="O139" s="6">
        <v>34.853759999999994</v>
      </c>
      <c r="P139" s="6">
        <v>0</v>
      </c>
      <c r="Q139" s="4" t="s">
        <v>26</v>
      </c>
      <c r="R139" s="4">
        <v>0</v>
      </c>
      <c r="S139" s="4" t="s">
        <v>128</v>
      </c>
      <c r="T139" s="4" t="s">
        <v>261</v>
      </c>
      <c r="U139" s="4">
        <v>0</v>
      </c>
      <c r="V139" s="4">
        <v>23</v>
      </c>
      <c r="W139" s="4">
        <v>51</v>
      </c>
    </row>
    <row r="140" spans="1:23" ht="11.25" customHeight="1" x14ac:dyDescent="0.25">
      <c r="A140" s="4" t="s">
        <v>21</v>
      </c>
      <c r="B140" s="4" t="s">
        <v>35</v>
      </c>
      <c r="C140" s="4" t="s">
        <v>36</v>
      </c>
      <c r="D140" s="4" t="s">
        <v>41</v>
      </c>
      <c r="E140" s="4" t="s">
        <v>25</v>
      </c>
      <c r="F140" s="4" t="s">
        <v>25</v>
      </c>
      <c r="G140" s="4" t="s">
        <v>25</v>
      </c>
      <c r="H140" s="4" t="s">
        <v>38</v>
      </c>
      <c r="I140" s="5">
        <v>44470</v>
      </c>
      <c r="J140" s="6">
        <v>0</v>
      </c>
      <c r="K140" s="6">
        <v>0</v>
      </c>
      <c r="L140" s="6">
        <v>11.069000000000001</v>
      </c>
      <c r="M140" s="6">
        <v>10.626239999999999</v>
      </c>
      <c r="N140" s="6">
        <v>11.069000000000001</v>
      </c>
      <c r="O140" s="6">
        <v>10.626239999999999</v>
      </c>
      <c r="P140" s="6">
        <v>0</v>
      </c>
      <c r="Q140" s="4" t="s">
        <v>26</v>
      </c>
      <c r="R140" s="4">
        <v>0</v>
      </c>
      <c r="S140" s="4" t="s">
        <v>129</v>
      </c>
      <c r="T140" s="4" t="s">
        <v>262</v>
      </c>
      <c r="U140" s="4">
        <v>0</v>
      </c>
      <c r="V140" s="4">
        <v>23</v>
      </c>
      <c r="W140" s="4">
        <v>51</v>
      </c>
    </row>
    <row r="141" spans="1:23" ht="11.25" customHeight="1" x14ac:dyDescent="0.25">
      <c r="A141" s="4" t="s">
        <v>28</v>
      </c>
      <c r="B141" s="4" t="s">
        <v>35</v>
      </c>
      <c r="C141" s="4" t="s">
        <v>36</v>
      </c>
      <c r="D141" s="4" t="s">
        <v>41</v>
      </c>
      <c r="E141" s="4" t="s">
        <v>25</v>
      </c>
      <c r="F141" s="4" t="s">
        <v>25</v>
      </c>
      <c r="G141" s="4" t="s">
        <v>25</v>
      </c>
      <c r="H141" s="4" t="s">
        <v>38</v>
      </c>
      <c r="I141" s="5">
        <v>44470</v>
      </c>
      <c r="J141" s="6">
        <v>0</v>
      </c>
      <c r="K141" s="6">
        <v>0</v>
      </c>
      <c r="L141" s="6">
        <v>33.93</v>
      </c>
      <c r="M141" s="6">
        <v>32.572800000000001</v>
      </c>
      <c r="N141" s="6">
        <v>33.93</v>
      </c>
      <c r="O141" s="6">
        <v>32.572800000000001</v>
      </c>
      <c r="P141" s="6">
        <v>0</v>
      </c>
      <c r="Q141" s="4" t="s">
        <v>26</v>
      </c>
      <c r="R141" s="4">
        <v>0</v>
      </c>
      <c r="S141" s="4" t="s">
        <v>129</v>
      </c>
      <c r="T141" s="4" t="s">
        <v>262</v>
      </c>
      <c r="U141" s="4">
        <v>0</v>
      </c>
      <c r="V141" s="4">
        <v>23</v>
      </c>
      <c r="W141" s="4">
        <v>51</v>
      </c>
    </row>
    <row r="142" spans="1:23" ht="11.25" customHeight="1" x14ac:dyDescent="0.25">
      <c r="A142" s="4" t="s">
        <v>21</v>
      </c>
      <c r="B142" s="4" t="s">
        <v>35</v>
      </c>
      <c r="C142" s="4" t="s">
        <v>36</v>
      </c>
      <c r="D142" s="4" t="s">
        <v>41</v>
      </c>
      <c r="E142" s="4" t="s">
        <v>25</v>
      </c>
      <c r="F142" s="4" t="s">
        <v>25</v>
      </c>
      <c r="G142" s="4" t="s">
        <v>25</v>
      </c>
      <c r="H142" s="4" t="s">
        <v>38</v>
      </c>
      <c r="I142" s="5">
        <v>44501</v>
      </c>
      <c r="J142" s="6">
        <v>0</v>
      </c>
      <c r="K142" s="6">
        <v>0</v>
      </c>
      <c r="L142" s="6">
        <v>24.327999999999999</v>
      </c>
      <c r="M142" s="6">
        <v>23.354880000000001</v>
      </c>
      <c r="N142" s="6">
        <v>24.327999999999999</v>
      </c>
      <c r="O142" s="6">
        <v>23.354880000000001</v>
      </c>
      <c r="P142" s="6">
        <v>0</v>
      </c>
      <c r="Q142" s="4" t="s">
        <v>26</v>
      </c>
      <c r="R142" s="4">
        <v>0</v>
      </c>
      <c r="S142" s="4" t="s">
        <v>130</v>
      </c>
      <c r="T142" s="4" t="s">
        <v>263</v>
      </c>
      <c r="U142" s="4">
        <v>0</v>
      </c>
      <c r="V142" s="4">
        <v>23</v>
      </c>
      <c r="W142" s="4">
        <v>51</v>
      </c>
    </row>
    <row r="143" spans="1:23" ht="11.25" customHeight="1" x14ac:dyDescent="0.25">
      <c r="A143" s="4" t="s">
        <v>28</v>
      </c>
      <c r="B143" s="4" t="s">
        <v>35</v>
      </c>
      <c r="C143" s="4" t="s">
        <v>36</v>
      </c>
      <c r="D143" s="4" t="s">
        <v>41</v>
      </c>
      <c r="E143" s="4" t="s">
        <v>25</v>
      </c>
      <c r="F143" s="4" t="s">
        <v>25</v>
      </c>
      <c r="G143" s="4" t="s">
        <v>25</v>
      </c>
      <c r="H143" s="4" t="s">
        <v>38</v>
      </c>
      <c r="I143" s="5">
        <v>44501</v>
      </c>
      <c r="J143" s="6">
        <v>0</v>
      </c>
      <c r="K143" s="6">
        <v>0</v>
      </c>
      <c r="L143" s="6">
        <v>32.448</v>
      </c>
      <c r="M143" s="6">
        <v>31.150079999999999</v>
      </c>
      <c r="N143" s="6">
        <v>32.448</v>
      </c>
      <c r="O143" s="6">
        <v>31.150079999999999</v>
      </c>
      <c r="P143" s="6">
        <v>0</v>
      </c>
      <c r="Q143" s="4" t="s">
        <v>26</v>
      </c>
      <c r="R143" s="4">
        <v>0</v>
      </c>
      <c r="S143" s="4" t="s">
        <v>130</v>
      </c>
      <c r="T143" s="4" t="s">
        <v>263</v>
      </c>
      <c r="U143" s="4">
        <v>0</v>
      </c>
      <c r="V143" s="4">
        <v>23</v>
      </c>
      <c r="W143" s="4">
        <v>51</v>
      </c>
    </row>
    <row r="144" spans="1:23" ht="11.25" customHeight="1" x14ac:dyDescent="0.25">
      <c r="A144" s="4" t="s">
        <v>21</v>
      </c>
      <c r="B144" s="4" t="s">
        <v>35</v>
      </c>
      <c r="C144" s="4" t="s">
        <v>36</v>
      </c>
      <c r="D144" s="4" t="s">
        <v>41</v>
      </c>
      <c r="E144" s="4" t="s">
        <v>25</v>
      </c>
      <c r="F144" s="4" t="s">
        <v>25</v>
      </c>
      <c r="G144" s="4" t="s">
        <v>25</v>
      </c>
      <c r="H144" s="4" t="s">
        <v>38</v>
      </c>
      <c r="I144" s="5">
        <v>44531</v>
      </c>
      <c r="J144" s="6">
        <v>0</v>
      </c>
      <c r="K144" s="6">
        <v>0</v>
      </c>
      <c r="L144" s="6">
        <v>1.9530000000000001</v>
      </c>
      <c r="M144" s="6">
        <v>1.8748800000000001</v>
      </c>
      <c r="N144" s="6">
        <v>1.9530000000000001</v>
      </c>
      <c r="O144" s="6">
        <v>1.8748800000000001</v>
      </c>
      <c r="P144" s="6">
        <v>0</v>
      </c>
      <c r="Q144" s="4" t="s">
        <v>26</v>
      </c>
      <c r="R144" s="4">
        <v>0</v>
      </c>
      <c r="S144" s="4" t="s">
        <v>131</v>
      </c>
      <c r="T144" s="4" t="s">
        <v>264</v>
      </c>
      <c r="U144" s="4">
        <v>0</v>
      </c>
      <c r="V144" s="4">
        <v>23</v>
      </c>
      <c r="W144" s="4">
        <v>51</v>
      </c>
    </row>
    <row r="145" spans="1:23" ht="11.25" customHeight="1" x14ac:dyDescent="0.25">
      <c r="A145" s="4" t="s">
        <v>28</v>
      </c>
      <c r="B145" s="4" t="s">
        <v>35</v>
      </c>
      <c r="C145" s="4" t="s">
        <v>36</v>
      </c>
      <c r="D145" s="4" t="s">
        <v>41</v>
      </c>
      <c r="E145" s="4" t="s">
        <v>25</v>
      </c>
      <c r="F145" s="4" t="s">
        <v>25</v>
      </c>
      <c r="G145" s="4" t="s">
        <v>25</v>
      </c>
      <c r="H145" s="4" t="s">
        <v>38</v>
      </c>
      <c r="I145" s="5">
        <v>44531</v>
      </c>
      <c r="J145" s="6">
        <v>0</v>
      </c>
      <c r="K145" s="6">
        <v>0</v>
      </c>
      <c r="L145" s="6">
        <v>41.04</v>
      </c>
      <c r="M145" s="6">
        <v>39.398400000000002</v>
      </c>
      <c r="N145" s="6">
        <v>41.04</v>
      </c>
      <c r="O145" s="6">
        <v>39.398400000000002</v>
      </c>
      <c r="P145" s="6">
        <v>0</v>
      </c>
      <c r="Q145" s="4" t="s">
        <v>26</v>
      </c>
      <c r="R145" s="4">
        <v>0</v>
      </c>
      <c r="S145" s="4" t="s">
        <v>131</v>
      </c>
      <c r="T145" s="4" t="s">
        <v>264</v>
      </c>
      <c r="U145" s="4">
        <v>0</v>
      </c>
      <c r="V145" s="4">
        <v>23</v>
      </c>
      <c r="W145" s="4">
        <v>51</v>
      </c>
    </row>
    <row r="146" spans="1:23" ht="11.25" customHeight="1" x14ac:dyDescent="0.25">
      <c r="A146" s="4" t="s">
        <v>21</v>
      </c>
      <c r="B146" s="4" t="s">
        <v>35</v>
      </c>
      <c r="C146" s="4" t="s">
        <v>36</v>
      </c>
      <c r="D146" s="4" t="s">
        <v>41</v>
      </c>
      <c r="E146" s="4" t="s">
        <v>25</v>
      </c>
      <c r="F146" s="4" t="s">
        <v>25</v>
      </c>
      <c r="G146" s="4" t="s">
        <v>25</v>
      </c>
      <c r="H146" s="4" t="s">
        <v>38</v>
      </c>
      <c r="I146" s="5">
        <v>44562</v>
      </c>
      <c r="J146" s="6">
        <v>0</v>
      </c>
      <c r="K146" s="6">
        <v>0</v>
      </c>
      <c r="L146" s="6">
        <v>23.11</v>
      </c>
      <c r="M146" s="6">
        <v>22.185600000000001</v>
      </c>
      <c r="N146" s="6">
        <v>23.11</v>
      </c>
      <c r="O146" s="6">
        <v>22.185600000000001</v>
      </c>
      <c r="P146" s="6">
        <v>0</v>
      </c>
      <c r="Q146" s="4" t="s">
        <v>26</v>
      </c>
      <c r="R146" s="4">
        <v>0</v>
      </c>
      <c r="S146" s="4" t="s">
        <v>132</v>
      </c>
      <c r="T146" s="4" t="s">
        <v>265</v>
      </c>
      <c r="U146" s="4">
        <v>0</v>
      </c>
      <c r="V146" s="4">
        <v>23</v>
      </c>
      <c r="W146" s="4">
        <v>51</v>
      </c>
    </row>
    <row r="147" spans="1:23" ht="11.25" customHeight="1" x14ac:dyDescent="0.25">
      <c r="A147" s="4" t="s">
        <v>28</v>
      </c>
      <c r="B147" s="4" t="s">
        <v>35</v>
      </c>
      <c r="C147" s="4" t="s">
        <v>36</v>
      </c>
      <c r="D147" s="4" t="s">
        <v>41</v>
      </c>
      <c r="E147" s="4" t="s">
        <v>25</v>
      </c>
      <c r="F147" s="4" t="s">
        <v>25</v>
      </c>
      <c r="G147" s="4" t="s">
        <v>25</v>
      </c>
      <c r="H147" s="4" t="s">
        <v>38</v>
      </c>
      <c r="I147" s="5">
        <v>44562</v>
      </c>
      <c r="J147" s="6">
        <v>0</v>
      </c>
      <c r="K147" s="6">
        <v>0</v>
      </c>
      <c r="L147" s="6">
        <v>38.734999999999999</v>
      </c>
      <c r="M147" s="6">
        <v>37.185600000000001</v>
      </c>
      <c r="N147" s="6">
        <v>38.734999999999999</v>
      </c>
      <c r="O147" s="6">
        <v>37.185600000000001</v>
      </c>
      <c r="P147" s="6">
        <v>0</v>
      </c>
      <c r="Q147" s="4" t="s">
        <v>26</v>
      </c>
      <c r="R147" s="4">
        <v>0</v>
      </c>
      <c r="S147" s="4" t="s">
        <v>132</v>
      </c>
      <c r="T147" s="4" t="s">
        <v>265</v>
      </c>
      <c r="U147" s="4">
        <v>0</v>
      </c>
      <c r="V147" s="4">
        <v>23</v>
      </c>
      <c r="W147" s="4">
        <v>51</v>
      </c>
    </row>
    <row r="148" spans="1:23" ht="11.25" customHeight="1" x14ac:dyDescent="0.25">
      <c r="A148" s="4" t="s">
        <v>21</v>
      </c>
      <c r="B148" s="4" t="s">
        <v>35</v>
      </c>
      <c r="C148" s="4" t="s">
        <v>36</v>
      </c>
      <c r="D148" s="4" t="s">
        <v>41</v>
      </c>
      <c r="E148" s="4" t="s">
        <v>25</v>
      </c>
      <c r="F148" s="4" t="s">
        <v>25</v>
      </c>
      <c r="G148" s="4" t="s">
        <v>25</v>
      </c>
      <c r="H148" s="4" t="s">
        <v>38</v>
      </c>
      <c r="I148" s="5">
        <v>44593</v>
      </c>
      <c r="J148" s="6">
        <v>0</v>
      </c>
      <c r="K148" s="6">
        <v>0</v>
      </c>
      <c r="L148" s="6">
        <v>20.693000000000001</v>
      </c>
      <c r="M148" s="6">
        <v>19.865279999999998</v>
      </c>
      <c r="N148" s="6">
        <v>20.693000000000001</v>
      </c>
      <c r="O148" s="6">
        <v>19.865279999999998</v>
      </c>
      <c r="P148" s="6">
        <v>0</v>
      </c>
      <c r="Q148" s="4" t="s">
        <v>26</v>
      </c>
      <c r="R148" s="4">
        <v>0</v>
      </c>
      <c r="S148" s="4" t="s">
        <v>133</v>
      </c>
      <c r="T148" s="4" t="s">
        <v>266</v>
      </c>
      <c r="U148" s="4">
        <v>0</v>
      </c>
      <c r="V148" s="4">
        <v>23</v>
      </c>
      <c r="W148" s="4">
        <v>51</v>
      </c>
    </row>
    <row r="149" spans="1:23" ht="11.25" customHeight="1" x14ac:dyDescent="0.25">
      <c r="A149" s="4" t="s">
        <v>28</v>
      </c>
      <c r="B149" s="4" t="s">
        <v>35</v>
      </c>
      <c r="C149" s="4" t="s">
        <v>36</v>
      </c>
      <c r="D149" s="4" t="s">
        <v>41</v>
      </c>
      <c r="E149" s="4" t="s">
        <v>25</v>
      </c>
      <c r="F149" s="4" t="s">
        <v>25</v>
      </c>
      <c r="G149" s="4" t="s">
        <v>25</v>
      </c>
      <c r="H149" s="4" t="s">
        <v>38</v>
      </c>
      <c r="I149" s="5">
        <v>44593</v>
      </c>
      <c r="J149" s="6">
        <v>0</v>
      </c>
      <c r="K149" s="6">
        <v>0</v>
      </c>
      <c r="L149" s="6">
        <v>32.728000000000002</v>
      </c>
      <c r="M149" s="6">
        <v>31.418880000000001</v>
      </c>
      <c r="N149" s="6">
        <v>32.728000000000002</v>
      </c>
      <c r="O149" s="6">
        <v>31.418880000000001</v>
      </c>
      <c r="P149" s="6">
        <v>0</v>
      </c>
      <c r="Q149" s="4" t="s">
        <v>26</v>
      </c>
      <c r="R149" s="4">
        <v>0</v>
      </c>
      <c r="S149" s="4" t="s">
        <v>133</v>
      </c>
      <c r="T149" s="4" t="s">
        <v>266</v>
      </c>
      <c r="U149" s="4">
        <v>0</v>
      </c>
      <c r="V149" s="4">
        <v>23</v>
      </c>
      <c r="W149" s="4">
        <v>51</v>
      </c>
    </row>
    <row r="150" spans="1:23" ht="11.25" customHeight="1" x14ac:dyDescent="0.25">
      <c r="A150" s="4" t="s">
        <v>21</v>
      </c>
      <c r="B150" s="4" t="s">
        <v>35</v>
      </c>
      <c r="C150" s="4" t="s">
        <v>36</v>
      </c>
      <c r="D150" s="4" t="s">
        <v>41</v>
      </c>
      <c r="E150" s="4" t="s">
        <v>25</v>
      </c>
      <c r="F150" s="4" t="s">
        <v>25</v>
      </c>
      <c r="G150" s="4" t="s">
        <v>25</v>
      </c>
      <c r="H150" s="4" t="s">
        <v>38</v>
      </c>
      <c r="I150" s="5">
        <v>44621</v>
      </c>
      <c r="J150" s="6">
        <v>0</v>
      </c>
      <c r="K150" s="6">
        <v>0</v>
      </c>
      <c r="L150" s="6">
        <v>18.538</v>
      </c>
      <c r="M150" s="6">
        <v>17.796479999999999</v>
      </c>
      <c r="N150" s="6">
        <v>18.538</v>
      </c>
      <c r="O150" s="6">
        <v>17.796479999999999</v>
      </c>
      <c r="P150" s="6">
        <v>0</v>
      </c>
      <c r="Q150" s="4" t="s">
        <v>26</v>
      </c>
      <c r="R150" s="4">
        <v>0</v>
      </c>
      <c r="S150" s="4" t="s">
        <v>134</v>
      </c>
      <c r="T150" s="4" t="s">
        <v>267</v>
      </c>
      <c r="U150" s="4">
        <v>0</v>
      </c>
      <c r="V150" s="4">
        <v>23</v>
      </c>
      <c r="W150" s="4">
        <v>51</v>
      </c>
    </row>
    <row r="151" spans="1:23" ht="11.25" customHeight="1" x14ac:dyDescent="0.25">
      <c r="A151" s="4" t="s">
        <v>28</v>
      </c>
      <c r="B151" s="4" t="s">
        <v>35</v>
      </c>
      <c r="C151" s="4" t="s">
        <v>36</v>
      </c>
      <c r="D151" s="4" t="s">
        <v>41</v>
      </c>
      <c r="E151" s="4" t="s">
        <v>25</v>
      </c>
      <c r="F151" s="4" t="s">
        <v>25</v>
      </c>
      <c r="G151" s="4" t="s">
        <v>25</v>
      </c>
      <c r="H151" s="4" t="s">
        <v>38</v>
      </c>
      <c r="I151" s="5">
        <v>44621</v>
      </c>
      <c r="J151" s="6">
        <v>0</v>
      </c>
      <c r="K151" s="6">
        <v>0</v>
      </c>
      <c r="L151" s="6">
        <v>47.869</v>
      </c>
      <c r="M151" s="6">
        <v>45.954239999999999</v>
      </c>
      <c r="N151" s="6">
        <v>47.869</v>
      </c>
      <c r="O151" s="6">
        <v>45.954239999999999</v>
      </c>
      <c r="P151" s="6">
        <v>0</v>
      </c>
      <c r="Q151" s="4" t="s">
        <v>26</v>
      </c>
      <c r="R151" s="4">
        <v>0</v>
      </c>
      <c r="S151" s="4" t="s">
        <v>134</v>
      </c>
      <c r="T151" s="4" t="s">
        <v>267</v>
      </c>
      <c r="U151" s="4">
        <v>0</v>
      </c>
      <c r="V151" s="4">
        <v>23</v>
      </c>
      <c r="W151" s="4">
        <v>51</v>
      </c>
    </row>
    <row r="152" spans="1:23" ht="11.25" customHeight="1" x14ac:dyDescent="0.25">
      <c r="A152" s="4" t="s">
        <v>21</v>
      </c>
      <c r="B152" s="4" t="s">
        <v>35</v>
      </c>
      <c r="C152" s="4" t="s">
        <v>36</v>
      </c>
      <c r="D152" s="4" t="s">
        <v>41</v>
      </c>
      <c r="E152" s="4" t="s">
        <v>25</v>
      </c>
      <c r="F152" s="4" t="s">
        <v>25</v>
      </c>
      <c r="G152" s="4" t="s">
        <v>25</v>
      </c>
      <c r="H152" s="4" t="s">
        <v>38</v>
      </c>
      <c r="I152" s="5">
        <v>44652</v>
      </c>
      <c r="J152" s="6">
        <v>0</v>
      </c>
      <c r="K152" s="6">
        <v>0</v>
      </c>
      <c r="L152" s="6">
        <v>13.742000000000001</v>
      </c>
      <c r="M152" s="6">
        <v>13.19232</v>
      </c>
      <c r="N152" s="6">
        <v>13.742000000000001</v>
      </c>
      <c r="O152" s="6">
        <v>13.19232</v>
      </c>
      <c r="P152" s="6">
        <v>0</v>
      </c>
      <c r="Q152" s="4" t="s">
        <v>26</v>
      </c>
      <c r="R152" s="4">
        <v>0</v>
      </c>
      <c r="S152" s="4" t="s">
        <v>135</v>
      </c>
      <c r="T152" s="4" t="s">
        <v>268</v>
      </c>
      <c r="U152" s="4">
        <v>0</v>
      </c>
      <c r="V152" s="4">
        <v>23</v>
      </c>
      <c r="W152" s="4">
        <v>51</v>
      </c>
    </row>
    <row r="153" spans="1:23" ht="11.25" customHeight="1" x14ac:dyDescent="0.25">
      <c r="A153" s="4" t="s">
        <v>28</v>
      </c>
      <c r="B153" s="4" t="s">
        <v>35</v>
      </c>
      <c r="C153" s="4" t="s">
        <v>36</v>
      </c>
      <c r="D153" s="4" t="s">
        <v>41</v>
      </c>
      <c r="E153" s="4" t="s">
        <v>25</v>
      </c>
      <c r="F153" s="4" t="s">
        <v>25</v>
      </c>
      <c r="G153" s="4" t="s">
        <v>25</v>
      </c>
      <c r="H153" s="4" t="s">
        <v>38</v>
      </c>
      <c r="I153" s="5">
        <v>44652</v>
      </c>
      <c r="J153" s="6">
        <v>0</v>
      </c>
      <c r="K153" s="6">
        <v>0</v>
      </c>
      <c r="L153" s="6">
        <v>43.215000000000003</v>
      </c>
      <c r="M153" s="6">
        <v>41.486400000000003</v>
      </c>
      <c r="N153" s="6">
        <v>43.215000000000003</v>
      </c>
      <c r="O153" s="6">
        <v>41.486400000000003</v>
      </c>
      <c r="P153" s="6">
        <v>0</v>
      </c>
      <c r="Q153" s="4" t="s">
        <v>26</v>
      </c>
      <c r="R153" s="4">
        <v>0</v>
      </c>
      <c r="S153" s="4" t="s">
        <v>135</v>
      </c>
      <c r="T153" s="4" t="s">
        <v>268</v>
      </c>
      <c r="U153" s="4">
        <v>0</v>
      </c>
      <c r="V153" s="4">
        <v>23</v>
      </c>
      <c r="W153" s="4">
        <v>51</v>
      </c>
    </row>
    <row r="154" spans="1:23" ht="11.25" customHeight="1" x14ac:dyDescent="0.25">
      <c r="A154" s="4" t="s">
        <v>21</v>
      </c>
      <c r="B154" s="4" t="s">
        <v>35</v>
      </c>
      <c r="C154" s="4" t="s">
        <v>36</v>
      </c>
      <c r="D154" s="4" t="s">
        <v>41</v>
      </c>
      <c r="E154" s="4" t="s">
        <v>25</v>
      </c>
      <c r="F154" s="4" t="s">
        <v>25</v>
      </c>
      <c r="G154" s="4" t="s">
        <v>25</v>
      </c>
      <c r="H154" s="4" t="s">
        <v>38</v>
      </c>
      <c r="I154" s="5">
        <v>44682</v>
      </c>
      <c r="J154" s="6">
        <v>0</v>
      </c>
      <c r="K154" s="6">
        <v>0</v>
      </c>
      <c r="L154" s="6">
        <v>21.577000000000002</v>
      </c>
      <c r="M154" s="6">
        <v>20.713920000000002</v>
      </c>
      <c r="N154" s="6">
        <v>21.577000000000002</v>
      </c>
      <c r="O154" s="6">
        <v>20.713920000000002</v>
      </c>
      <c r="P154" s="6">
        <v>0</v>
      </c>
      <c r="Q154" s="4" t="s">
        <v>26</v>
      </c>
      <c r="R154" s="4">
        <v>0</v>
      </c>
      <c r="S154" s="4" t="s">
        <v>136</v>
      </c>
      <c r="T154" s="4" t="s">
        <v>269</v>
      </c>
      <c r="U154" s="4">
        <v>0</v>
      </c>
      <c r="V154" s="4">
        <v>23</v>
      </c>
      <c r="W154" s="4">
        <v>51</v>
      </c>
    </row>
    <row r="155" spans="1:23" ht="11.25" customHeight="1" x14ac:dyDescent="0.25">
      <c r="A155" s="4" t="s">
        <v>28</v>
      </c>
      <c r="B155" s="4" t="s">
        <v>35</v>
      </c>
      <c r="C155" s="4" t="s">
        <v>36</v>
      </c>
      <c r="D155" s="4" t="s">
        <v>41</v>
      </c>
      <c r="E155" s="4" t="s">
        <v>25</v>
      </c>
      <c r="F155" s="4" t="s">
        <v>25</v>
      </c>
      <c r="G155" s="4" t="s">
        <v>25</v>
      </c>
      <c r="H155" s="4" t="s">
        <v>38</v>
      </c>
      <c r="I155" s="5">
        <v>44682</v>
      </c>
      <c r="J155" s="6">
        <v>0</v>
      </c>
      <c r="K155" s="6">
        <v>0</v>
      </c>
      <c r="L155" s="6">
        <v>23.762</v>
      </c>
      <c r="M155" s="6">
        <v>22.811520000000002</v>
      </c>
      <c r="N155" s="6">
        <v>23.762</v>
      </c>
      <c r="O155" s="6">
        <v>22.811520000000002</v>
      </c>
      <c r="P155" s="6">
        <v>0</v>
      </c>
      <c r="Q155" s="4" t="s">
        <v>26</v>
      </c>
      <c r="R155" s="4">
        <v>0</v>
      </c>
      <c r="S155" s="4" t="s">
        <v>136</v>
      </c>
      <c r="T155" s="4" t="s">
        <v>269</v>
      </c>
      <c r="U155" s="4">
        <v>0</v>
      </c>
      <c r="V155" s="4">
        <v>23</v>
      </c>
      <c r="W155" s="4">
        <v>51</v>
      </c>
    </row>
    <row r="156" spans="1:23" ht="11.25" customHeight="1" x14ac:dyDescent="0.25">
      <c r="A156" s="4" t="s">
        <v>21</v>
      </c>
      <c r="B156" s="4" t="s">
        <v>35</v>
      </c>
      <c r="C156" s="4" t="s">
        <v>36</v>
      </c>
      <c r="D156" s="4" t="s">
        <v>41</v>
      </c>
      <c r="E156" s="4" t="s">
        <v>25</v>
      </c>
      <c r="F156" s="4" t="s">
        <v>25</v>
      </c>
      <c r="G156" s="4" t="s">
        <v>25</v>
      </c>
      <c r="H156" s="4" t="s">
        <v>38</v>
      </c>
      <c r="I156" s="5">
        <v>44713</v>
      </c>
      <c r="J156" s="6">
        <v>0</v>
      </c>
      <c r="K156" s="6">
        <v>0</v>
      </c>
      <c r="L156" s="6">
        <v>2.1389999999999998</v>
      </c>
      <c r="M156" s="6">
        <v>2.0534400000000002</v>
      </c>
      <c r="N156" s="6">
        <v>2.1389999999999998</v>
      </c>
      <c r="O156" s="6">
        <v>2.0534400000000002</v>
      </c>
      <c r="P156" s="6">
        <v>0</v>
      </c>
      <c r="Q156" s="4" t="s">
        <v>26</v>
      </c>
      <c r="R156" s="4">
        <v>0</v>
      </c>
      <c r="S156" s="4" t="s">
        <v>137</v>
      </c>
      <c r="T156" s="4" t="s">
        <v>270</v>
      </c>
      <c r="U156" s="4">
        <v>0</v>
      </c>
      <c r="V156" s="4">
        <v>23</v>
      </c>
      <c r="W156" s="4">
        <v>51</v>
      </c>
    </row>
    <row r="157" spans="1:23" ht="11.25" customHeight="1" x14ac:dyDescent="0.25">
      <c r="A157" s="4" t="s">
        <v>28</v>
      </c>
      <c r="B157" s="4" t="s">
        <v>35</v>
      </c>
      <c r="C157" s="4" t="s">
        <v>36</v>
      </c>
      <c r="D157" s="4" t="s">
        <v>41</v>
      </c>
      <c r="E157" s="4" t="s">
        <v>25</v>
      </c>
      <c r="F157" s="4" t="s">
        <v>25</v>
      </c>
      <c r="G157" s="4" t="s">
        <v>25</v>
      </c>
      <c r="H157" s="4" t="s">
        <v>38</v>
      </c>
      <c r="I157" s="5">
        <v>44713</v>
      </c>
      <c r="J157" s="6">
        <v>0</v>
      </c>
      <c r="K157" s="6">
        <v>0</v>
      </c>
      <c r="L157" s="6">
        <v>35.104999999999997</v>
      </c>
      <c r="M157" s="6">
        <v>33.700800000000001</v>
      </c>
      <c r="N157" s="6">
        <v>35.104999999999997</v>
      </c>
      <c r="O157" s="6">
        <v>33.700800000000001</v>
      </c>
      <c r="P157" s="6">
        <v>0</v>
      </c>
      <c r="Q157" s="4" t="s">
        <v>26</v>
      </c>
      <c r="R157" s="4">
        <v>0</v>
      </c>
      <c r="S157" s="4" t="s">
        <v>137</v>
      </c>
      <c r="T157" s="4" t="s">
        <v>270</v>
      </c>
      <c r="U157" s="4">
        <v>0</v>
      </c>
      <c r="V157" s="4">
        <v>23</v>
      </c>
      <c r="W157" s="4">
        <v>51</v>
      </c>
    </row>
    <row r="158" spans="1:23" ht="11.25" customHeight="1" x14ac:dyDescent="0.25">
      <c r="A158" s="4" t="s">
        <v>21</v>
      </c>
      <c r="B158" s="4" t="s">
        <v>35</v>
      </c>
      <c r="C158" s="4" t="s">
        <v>36</v>
      </c>
      <c r="D158" s="4" t="s">
        <v>41</v>
      </c>
      <c r="E158" s="4" t="s">
        <v>25</v>
      </c>
      <c r="F158" s="4" t="s">
        <v>25</v>
      </c>
      <c r="G158" s="4" t="s">
        <v>25</v>
      </c>
      <c r="H158" s="4" t="s">
        <v>38</v>
      </c>
      <c r="I158" s="5">
        <v>44743</v>
      </c>
      <c r="J158" s="6">
        <v>0</v>
      </c>
      <c r="K158" s="6">
        <v>0</v>
      </c>
      <c r="L158" s="6">
        <v>0.872</v>
      </c>
      <c r="M158" s="6">
        <v>0.83711999999999998</v>
      </c>
      <c r="N158" s="6">
        <v>0.872</v>
      </c>
      <c r="O158" s="6">
        <v>0.83711999999999998</v>
      </c>
      <c r="P158" s="6">
        <v>0</v>
      </c>
      <c r="Q158" s="4" t="s">
        <v>26</v>
      </c>
      <c r="R158" s="4">
        <v>0</v>
      </c>
      <c r="S158" s="4" t="s">
        <v>138</v>
      </c>
      <c r="T158" s="4" t="s">
        <v>271</v>
      </c>
      <c r="U158" s="4">
        <v>0</v>
      </c>
      <c r="V158" s="4">
        <v>23</v>
      </c>
      <c r="W158" s="4">
        <v>51</v>
      </c>
    </row>
    <row r="159" spans="1:23" ht="11.25" customHeight="1" x14ac:dyDescent="0.25">
      <c r="A159" s="4" t="s">
        <v>21</v>
      </c>
      <c r="B159" s="4" t="s">
        <v>35</v>
      </c>
      <c r="C159" s="4" t="s">
        <v>36</v>
      </c>
      <c r="D159" s="4" t="s">
        <v>41</v>
      </c>
      <c r="E159" s="4" t="s">
        <v>25</v>
      </c>
      <c r="F159" s="4" t="s">
        <v>25</v>
      </c>
      <c r="G159" s="4" t="s">
        <v>25</v>
      </c>
      <c r="H159" s="4" t="s">
        <v>38</v>
      </c>
      <c r="I159" s="5">
        <v>44774</v>
      </c>
      <c r="J159" s="6">
        <v>0</v>
      </c>
      <c r="K159" s="6">
        <v>0</v>
      </c>
      <c r="L159" s="6">
        <v>15.085000000000001</v>
      </c>
      <c r="M159" s="6">
        <v>14.4816</v>
      </c>
      <c r="N159" s="6">
        <v>15.085000000000001</v>
      </c>
      <c r="O159" s="6">
        <v>14.4816</v>
      </c>
      <c r="P159" s="6">
        <v>0</v>
      </c>
      <c r="Q159" s="4" t="s">
        <v>26</v>
      </c>
      <c r="R159" s="4">
        <v>0</v>
      </c>
      <c r="S159" s="4" t="s">
        <v>139</v>
      </c>
      <c r="T159" s="4" t="s">
        <v>272</v>
      </c>
      <c r="U159" s="4">
        <v>0</v>
      </c>
      <c r="V159" s="4">
        <v>23</v>
      </c>
      <c r="W159" s="4">
        <v>51</v>
      </c>
    </row>
    <row r="160" spans="1:23" ht="11.25" customHeight="1" x14ac:dyDescent="0.25">
      <c r="A160" s="4" t="s">
        <v>28</v>
      </c>
      <c r="B160" s="4" t="s">
        <v>35</v>
      </c>
      <c r="C160" s="4" t="s">
        <v>36</v>
      </c>
      <c r="D160" s="4" t="s">
        <v>41</v>
      </c>
      <c r="E160" s="4" t="s">
        <v>25</v>
      </c>
      <c r="F160" s="4" t="s">
        <v>25</v>
      </c>
      <c r="G160" s="4" t="s">
        <v>25</v>
      </c>
      <c r="H160" s="4" t="s">
        <v>38</v>
      </c>
      <c r="I160" s="5">
        <v>44774</v>
      </c>
      <c r="J160" s="6">
        <v>0</v>
      </c>
      <c r="K160" s="6">
        <v>0</v>
      </c>
      <c r="L160" s="6">
        <v>56.241</v>
      </c>
      <c r="M160" s="6">
        <v>53.99136</v>
      </c>
      <c r="N160" s="6">
        <v>56.241</v>
      </c>
      <c r="O160" s="6">
        <v>53.99136</v>
      </c>
      <c r="P160" s="6">
        <v>0</v>
      </c>
      <c r="Q160" s="4" t="s">
        <v>26</v>
      </c>
      <c r="R160" s="4">
        <v>0</v>
      </c>
      <c r="S160" s="4" t="s">
        <v>139</v>
      </c>
      <c r="T160" s="4" t="s">
        <v>272</v>
      </c>
      <c r="U160" s="4">
        <v>0</v>
      </c>
      <c r="V160" s="4">
        <v>23</v>
      </c>
      <c r="W160" s="4">
        <v>51</v>
      </c>
    </row>
    <row r="161" spans="1:23" ht="11.25" customHeight="1" x14ac:dyDescent="0.25">
      <c r="A161" s="4" t="s">
        <v>21</v>
      </c>
      <c r="B161" s="4" t="s">
        <v>35</v>
      </c>
      <c r="C161" s="4" t="s">
        <v>36</v>
      </c>
      <c r="D161" s="4" t="s">
        <v>41</v>
      </c>
      <c r="E161" s="4" t="s">
        <v>25</v>
      </c>
      <c r="F161" s="4" t="s">
        <v>25</v>
      </c>
      <c r="G161" s="4" t="s">
        <v>25</v>
      </c>
      <c r="H161" s="4" t="s">
        <v>25</v>
      </c>
      <c r="I161" s="5">
        <v>44440</v>
      </c>
      <c r="J161" s="6">
        <v>90</v>
      </c>
      <c r="K161" s="6">
        <v>86.4</v>
      </c>
      <c r="L161" s="6">
        <v>0</v>
      </c>
      <c r="M161" s="6">
        <v>0</v>
      </c>
      <c r="N161" s="6">
        <v>0</v>
      </c>
      <c r="O161" s="6">
        <v>0</v>
      </c>
      <c r="P161" s="6">
        <v>1</v>
      </c>
      <c r="Q161" s="4" t="s">
        <v>26</v>
      </c>
      <c r="R161" s="4">
        <v>0</v>
      </c>
      <c r="S161" s="4" t="s">
        <v>140</v>
      </c>
      <c r="U161" s="4">
        <v>16</v>
      </c>
      <c r="V161" s="4">
        <v>0</v>
      </c>
      <c r="W161" s="4">
        <v>0</v>
      </c>
    </row>
    <row r="162" spans="1:23" ht="11.25" customHeight="1" x14ac:dyDescent="0.25">
      <c r="A162" s="4" t="s">
        <v>28</v>
      </c>
      <c r="B162" s="4" t="s">
        <v>35</v>
      </c>
      <c r="C162" s="4" t="s">
        <v>36</v>
      </c>
      <c r="D162" s="4" t="s">
        <v>41</v>
      </c>
      <c r="E162" s="4" t="s">
        <v>25</v>
      </c>
      <c r="F162" s="4" t="s">
        <v>25</v>
      </c>
      <c r="G162" s="4" t="s">
        <v>25</v>
      </c>
      <c r="H162" s="4" t="s">
        <v>25</v>
      </c>
      <c r="I162" s="5">
        <v>44440</v>
      </c>
      <c r="J162" s="6">
        <v>264</v>
      </c>
      <c r="K162" s="6">
        <v>253.44</v>
      </c>
      <c r="L162" s="6">
        <v>0</v>
      </c>
      <c r="M162" s="6">
        <v>0</v>
      </c>
      <c r="N162" s="6">
        <v>0</v>
      </c>
      <c r="O162" s="6">
        <v>0</v>
      </c>
      <c r="P162" s="6">
        <v>2</v>
      </c>
      <c r="Q162" s="4" t="s">
        <v>26</v>
      </c>
      <c r="R162" s="4">
        <v>0</v>
      </c>
      <c r="S162" s="4" t="s">
        <v>140</v>
      </c>
      <c r="U162" s="4">
        <v>16</v>
      </c>
      <c r="V162" s="4">
        <v>0</v>
      </c>
      <c r="W162" s="4">
        <v>0</v>
      </c>
    </row>
    <row r="163" spans="1:23" ht="11.25" customHeight="1" x14ac:dyDescent="0.25">
      <c r="A163" s="4" t="s">
        <v>21</v>
      </c>
      <c r="B163" s="4" t="s">
        <v>35</v>
      </c>
      <c r="C163" s="4" t="s">
        <v>36</v>
      </c>
      <c r="D163" s="4" t="s">
        <v>41</v>
      </c>
      <c r="E163" s="4" t="s">
        <v>25</v>
      </c>
      <c r="F163" s="4" t="s">
        <v>25</v>
      </c>
      <c r="G163" s="4" t="s">
        <v>25</v>
      </c>
      <c r="H163" s="4" t="s">
        <v>25</v>
      </c>
      <c r="I163" s="5">
        <v>44470</v>
      </c>
      <c r="J163" s="6">
        <v>90</v>
      </c>
      <c r="K163" s="6">
        <v>86.4</v>
      </c>
      <c r="L163" s="6">
        <v>0</v>
      </c>
      <c r="M163" s="6">
        <v>0</v>
      </c>
      <c r="N163" s="6">
        <v>0</v>
      </c>
      <c r="O163" s="6">
        <v>0</v>
      </c>
      <c r="P163" s="6">
        <v>1</v>
      </c>
      <c r="Q163" s="4" t="s">
        <v>26</v>
      </c>
      <c r="R163" s="4">
        <v>0</v>
      </c>
      <c r="S163" s="4" t="s">
        <v>141</v>
      </c>
      <c r="U163" s="4">
        <v>16</v>
      </c>
      <c r="V163" s="4">
        <v>0</v>
      </c>
      <c r="W163" s="4">
        <v>0</v>
      </c>
    </row>
    <row r="164" spans="1:23" ht="11.25" customHeight="1" x14ac:dyDescent="0.25">
      <c r="A164" s="4" t="s">
        <v>28</v>
      </c>
      <c r="B164" s="4" t="s">
        <v>35</v>
      </c>
      <c r="C164" s="4" t="s">
        <v>36</v>
      </c>
      <c r="D164" s="4" t="s">
        <v>41</v>
      </c>
      <c r="E164" s="4" t="s">
        <v>25</v>
      </c>
      <c r="F164" s="4" t="s">
        <v>25</v>
      </c>
      <c r="G164" s="4" t="s">
        <v>25</v>
      </c>
      <c r="H164" s="4" t="s">
        <v>25</v>
      </c>
      <c r="I164" s="5">
        <v>44470</v>
      </c>
      <c r="J164" s="6">
        <v>254</v>
      </c>
      <c r="K164" s="6">
        <v>243.84</v>
      </c>
      <c r="L164" s="6">
        <v>0</v>
      </c>
      <c r="M164" s="6">
        <v>0</v>
      </c>
      <c r="N164" s="6">
        <v>0</v>
      </c>
      <c r="O164" s="6">
        <v>0</v>
      </c>
      <c r="P164" s="6">
        <v>2</v>
      </c>
      <c r="Q164" s="4" t="s">
        <v>26</v>
      </c>
      <c r="R164" s="4">
        <v>0</v>
      </c>
      <c r="S164" s="4" t="s">
        <v>141</v>
      </c>
      <c r="U164" s="4">
        <v>16</v>
      </c>
      <c r="V164" s="4">
        <v>0</v>
      </c>
      <c r="W164" s="4">
        <v>0</v>
      </c>
    </row>
    <row r="165" spans="1:23" ht="11.25" customHeight="1" x14ac:dyDescent="0.25">
      <c r="A165" s="4" t="s">
        <v>21</v>
      </c>
      <c r="B165" s="4" t="s">
        <v>35</v>
      </c>
      <c r="C165" s="4" t="s">
        <v>36</v>
      </c>
      <c r="D165" s="4" t="s">
        <v>41</v>
      </c>
      <c r="E165" s="4" t="s">
        <v>25</v>
      </c>
      <c r="F165" s="4" t="s">
        <v>25</v>
      </c>
      <c r="G165" s="4" t="s">
        <v>25</v>
      </c>
      <c r="H165" s="4" t="s">
        <v>25</v>
      </c>
      <c r="I165" s="5">
        <v>44501</v>
      </c>
      <c r="J165" s="6">
        <v>90</v>
      </c>
      <c r="K165" s="6">
        <v>86.4</v>
      </c>
      <c r="L165" s="6">
        <v>0</v>
      </c>
      <c r="M165" s="6">
        <v>0</v>
      </c>
      <c r="N165" s="6">
        <v>0</v>
      </c>
      <c r="O165" s="6">
        <v>0</v>
      </c>
      <c r="P165" s="6">
        <v>1</v>
      </c>
      <c r="Q165" s="4" t="s">
        <v>26</v>
      </c>
      <c r="R165" s="4">
        <v>0</v>
      </c>
      <c r="S165" s="4" t="s">
        <v>142</v>
      </c>
      <c r="U165" s="4">
        <v>16</v>
      </c>
      <c r="V165" s="4">
        <v>0</v>
      </c>
      <c r="W165" s="4">
        <v>0</v>
      </c>
    </row>
    <row r="166" spans="1:23" ht="11.25" customHeight="1" x14ac:dyDescent="0.25">
      <c r="A166" s="4" t="s">
        <v>28</v>
      </c>
      <c r="B166" s="4" t="s">
        <v>35</v>
      </c>
      <c r="C166" s="4" t="s">
        <v>36</v>
      </c>
      <c r="D166" s="4" t="s">
        <v>41</v>
      </c>
      <c r="E166" s="4" t="s">
        <v>25</v>
      </c>
      <c r="F166" s="4" t="s">
        <v>25</v>
      </c>
      <c r="G166" s="4" t="s">
        <v>25</v>
      </c>
      <c r="H166" s="4" t="s">
        <v>25</v>
      </c>
      <c r="I166" s="5">
        <v>44501</v>
      </c>
      <c r="J166" s="6">
        <v>259</v>
      </c>
      <c r="K166" s="6">
        <v>248.64</v>
      </c>
      <c r="L166" s="6">
        <v>0</v>
      </c>
      <c r="M166" s="6">
        <v>0</v>
      </c>
      <c r="N166" s="6">
        <v>0</v>
      </c>
      <c r="O166" s="6">
        <v>0</v>
      </c>
      <c r="P166" s="6">
        <v>2</v>
      </c>
      <c r="Q166" s="4" t="s">
        <v>26</v>
      </c>
      <c r="R166" s="4">
        <v>0</v>
      </c>
      <c r="S166" s="4" t="s">
        <v>142</v>
      </c>
      <c r="U166" s="4">
        <v>16</v>
      </c>
      <c r="V166" s="4">
        <v>0</v>
      </c>
      <c r="W166" s="4">
        <v>0</v>
      </c>
    </row>
    <row r="167" spans="1:23" ht="11.25" customHeight="1" x14ac:dyDescent="0.25">
      <c r="A167" s="4" t="s">
        <v>21</v>
      </c>
      <c r="B167" s="4" t="s">
        <v>35</v>
      </c>
      <c r="C167" s="4" t="s">
        <v>36</v>
      </c>
      <c r="D167" s="4" t="s">
        <v>41</v>
      </c>
      <c r="E167" s="4" t="s">
        <v>25</v>
      </c>
      <c r="F167" s="4" t="s">
        <v>25</v>
      </c>
      <c r="G167" s="4" t="s">
        <v>25</v>
      </c>
      <c r="H167" s="4" t="s">
        <v>25</v>
      </c>
      <c r="I167" s="5">
        <v>44531</v>
      </c>
      <c r="J167" s="6">
        <v>90</v>
      </c>
      <c r="K167" s="6">
        <v>86.4</v>
      </c>
      <c r="L167" s="6">
        <v>0</v>
      </c>
      <c r="M167" s="6">
        <v>0</v>
      </c>
      <c r="N167" s="6">
        <v>0</v>
      </c>
      <c r="O167" s="6">
        <v>0</v>
      </c>
      <c r="P167" s="6">
        <v>1</v>
      </c>
      <c r="Q167" s="4" t="s">
        <v>26</v>
      </c>
      <c r="R167" s="4">
        <v>0</v>
      </c>
      <c r="S167" s="4" t="s">
        <v>143</v>
      </c>
      <c r="U167" s="4">
        <v>16</v>
      </c>
      <c r="V167" s="4">
        <v>0</v>
      </c>
      <c r="W167" s="4">
        <v>0</v>
      </c>
    </row>
    <row r="168" spans="1:23" ht="11.25" customHeight="1" x14ac:dyDescent="0.25">
      <c r="A168" s="4" t="s">
        <v>28</v>
      </c>
      <c r="B168" s="4" t="s">
        <v>35</v>
      </c>
      <c r="C168" s="4" t="s">
        <v>36</v>
      </c>
      <c r="D168" s="4" t="s">
        <v>41</v>
      </c>
      <c r="E168" s="4" t="s">
        <v>25</v>
      </c>
      <c r="F168" s="4" t="s">
        <v>25</v>
      </c>
      <c r="G168" s="4" t="s">
        <v>25</v>
      </c>
      <c r="H168" s="4" t="s">
        <v>25</v>
      </c>
      <c r="I168" s="5">
        <v>44531</v>
      </c>
      <c r="J168" s="6">
        <v>279</v>
      </c>
      <c r="K168" s="6">
        <v>267.83999999999997</v>
      </c>
      <c r="L168" s="6">
        <v>0</v>
      </c>
      <c r="M168" s="6">
        <v>0</v>
      </c>
      <c r="N168" s="6">
        <v>0</v>
      </c>
      <c r="O168" s="6">
        <v>0</v>
      </c>
      <c r="P168" s="6">
        <v>2</v>
      </c>
      <c r="Q168" s="4" t="s">
        <v>26</v>
      </c>
      <c r="R168" s="4">
        <v>0</v>
      </c>
      <c r="S168" s="4" t="s">
        <v>143</v>
      </c>
      <c r="U168" s="4">
        <v>16</v>
      </c>
      <c r="V168" s="4">
        <v>0</v>
      </c>
      <c r="W168" s="4">
        <v>0</v>
      </c>
    </row>
    <row r="169" spans="1:23" ht="11.25" customHeight="1" x14ac:dyDescent="0.25">
      <c r="A169" s="4" t="s">
        <v>21</v>
      </c>
      <c r="B169" s="4" t="s">
        <v>35</v>
      </c>
      <c r="C169" s="4" t="s">
        <v>36</v>
      </c>
      <c r="D169" s="4" t="s">
        <v>41</v>
      </c>
      <c r="E169" s="4" t="s">
        <v>25</v>
      </c>
      <c r="F169" s="4" t="s">
        <v>25</v>
      </c>
      <c r="G169" s="4" t="s">
        <v>25</v>
      </c>
      <c r="H169" s="4" t="s">
        <v>25</v>
      </c>
      <c r="I169" s="5">
        <v>44562</v>
      </c>
      <c r="J169" s="6">
        <v>90</v>
      </c>
      <c r="K169" s="6">
        <v>86.4</v>
      </c>
      <c r="L169" s="6">
        <v>0</v>
      </c>
      <c r="M169" s="6">
        <v>0</v>
      </c>
      <c r="N169" s="6">
        <v>0</v>
      </c>
      <c r="O169" s="6">
        <v>0</v>
      </c>
      <c r="P169" s="6">
        <v>1</v>
      </c>
      <c r="Q169" s="4" t="s">
        <v>26</v>
      </c>
      <c r="R169" s="4">
        <v>0</v>
      </c>
      <c r="S169" s="4" t="s">
        <v>144</v>
      </c>
      <c r="U169" s="4">
        <v>16</v>
      </c>
      <c r="V169" s="4">
        <v>0</v>
      </c>
      <c r="W169" s="4">
        <v>0</v>
      </c>
    </row>
    <row r="170" spans="1:23" ht="11.25" customHeight="1" x14ac:dyDescent="0.25">
      <c r="A170" s="4" t="s">
        <v>28</v>
      </c>
      <c r="B170" s="4" t="s">
        <v>35</v>
      </c>
      <c r="C170" s="4" t="s">
        <v>36</v>
      </c>
      <c r="D170" s="4" t="s">
        <v>41</v>
      </c>
      <c r="E170" s="4" t="s">
        <v>25</v>
      </c>
      <c r="F170" s="4" t="s">
        <v>25</v>
      </c>
      <c r="G170" s="4" t="s">
        <v>25</v>
      </c>
      <c r="H170" s="4" t="s">
        <v>25</v>
      </c>
      <c r="I170" s="5">
        <v>44562</v>
      </c>
      <c r="J170" s="6">
        <v>255</v>
      </c>
      <c r="K170" s="6">
        <v>244.8</v>
      </c>
      <c r="L170" s="6">
        <v>0</v>
      </c>
      <c r="M170" s="6">
        <v>0</v>
      </c>
      <c r="N170" s="6">
        <v>0</v>
      </c>
      <c r="O170" s="6">
        <v>0</v>
      </c>
      <c r="P170" s="6">
        <v>2</v>
      </c>
      <c r="Q170" s="4" t="s">
        <v>26</v>
      </c>
      <c r="R170" s="4">
        <v>0</v>
      </c>
      <c r="S170" s="4" t="s">
        <v>144</v>
      </c>
      <c r="U170" s="4">
        <v>16</v>
      </c>
      <c r="V170" s="4">
        <v>0</v>
      </c>
      <c r="W170" s="4">
        <v>0</v>
      </c>
    </row>
    <row r="171" spans="1:23" ht="11.25" customHeight="1" x14ac:dyDescent="0.25">
      <c r="A171" s="4" t="s">
        <v>21</v>
      </c>
      <c r="B171" s="4" t="s">
        <v>35</v>
      </c>
      <c r="C171" s="4" t="s">
        <v>36</v>
      </c>
      <c r="D171" s="4" t="s">
        <v>41</v>
      </c>
      <c r="E171" s="4" t="s">
        <v>25</v>
      </c>
      <c r="F171" s="4" t="s">
        <v>25</v>
      </c>
      <c r="G171" s="4" t="s">
        <v>25</v>
      </c>
      <c r="H171" s="4" t="s">
        <v>25</v>
      </c>
      <c r="I171" s="5">
        <v>44593</v>
      </c>
      <c r="J171" s="6">
        <v>90</v>
      </c>
      <c r="K171" s="6">
        <v>86.4</v>
      </c>
      <c r="L171" s="6">
        <v>0</v>
      </c>
      <c r="M171" s="6">
        <v>0</v>
      </c>
      <c r="N171" s="6">
        <v>0</v>
      </c>
      <c r="O171" s="6">
        <v>0</v>
      </c>
      <c r="P171" s="6">
        <v>1</v>
      </c>
      <c r="Q171" s="4" t="s">
        <v>26</v>
      </c>
      <c r="R171" s="4">
        <v>0</v>
      </c>
      <c r="S171" s="4" t="s">
        <v>145</v>
      </c>
      <c r="U171" s="4">
        <v>16</v>
      </c>
      <c r="V171" s="4">
        <v>0</v>
      </c>
      <c r="W171" s="4">
        <v>0</v>
      </c>
    </row>
    <row r="172" spans="1:23" ht="11.25" customHeight="1" x14ac:dyDescent="0.25">
      <c r="A172" s="4" t="s">
        <v>28</v>
      </c>
      <c r="B172" s="4" t="s">
        <v>35</v>
      </c>
      <c r="C172" s="4" t="s">
        <v>36</v>
      </c>
      <c r="D172" s="4" t="s">
        <v>41</v>
      </c>
      <c r="E172" s="4" t="s">
        <v>25</v>
      </c>
      <c r="F172" s="4" t="s">
        <v>25</v>
      </c>
      <c r="G172" s="4" t="s">
        <v>25</v>
      </c>
      <c r="H172" s="4" t="s">
        <v>25</v>
      </c>
      <c r="I172" s="5">
        <v>44593</v>
      </c>
      <c r="J172" s="6">
        <v>269</v>
      </c>
      <c r="K172" s="6">
        <v>258.24</v>
      </c>
      <c r="L172" s="6">
        <v>0</v>
      </c>
      <c r="M172" s="6">
        <v>0</v>
      </c>
      <c r="N172" s="6">
        <v>0</v>
      </c>
      <c r="O172" s="6">
        <v>0</v>
      </c>
      <c r="P172" s="6">
        <v>2</v>
      </c>
      <c r="Q172" s="4" t="s">
        <v>26</v>
      </c>
      <c r="R172" s="4">
        <v>0</v>
      </c>
      <c r="S172" s="4" t="s">
        <v>145</v>
      </c>
      <c r="U172" s="4">
        <v>16</v>
      </c>
      <c r="V172" s="4">
        <v>0</v>
      </c>
      <c r="W172" s="4">
        <v>0</v>
      </c>
    </row>
    <row r="173" spans="1:23" ht="11.25" customHeight="1" x14ac:dyDescent="0.25">
      <c r="A173" s="4" t="s">
        <v>21</v>
      </c>
      <c r="B173" s="4" t="s">
        <v>35</v>
      </c>
      <c r="C173" s="4" t="s">
        <v>36</v>
      </c>
      <c r="D173" s="4" t="s">
        <v>41</v>
      </c>
      <c r="E173" s="4" t="s">
        <v>25</v>
      </c>
      <c r="F173" s="4" t="s">
        <v>25</v>
      </c>
      <c r="G173" s="4" t="s">
        <v>25</v>
      </c>
      <c r="H173" s="4" t="s">
        <v>25</v>
      </c>
      <c r="I173" s="5">
        <v>44621</v>
      </c>
      <c r="J173" s="6">
        <v>90</v>
      </c>
      <c r="K173" s="6">
        <v>86.4</v>
      </c>
      <c r="L173" s="6">
        <v>0</v>
      </c>
      <c r="M173" s="6">
        <v>0</v>
      </c>
      <c r="N173" s="6">
        <v>0</v>
      </c>
      <c r="O173" s="6">
        <v>0</v>
      </c>
      <c r="P173" s="6">
        <v>1</v>
      </c>
      <c r="Q173" s="4" t="s">
        <v>26</v>
      </c>
      <c r="R173" s="4">
        <v>0</v>
      </c>
      <c r="S173" s="4" t="s">
        <v>146</v>
      </c>
      <c r="U173" s="4">
        <v>16</v>
      </c>
      <c r="V173" s="4">
        <v>0</v>
      </c>
      <c r="W173" s="4">
        <v>0</v>
      </c>
    </row>
    <row r="174" spans="1:23" ht="11.25" customHeight="1" x14ac:dyDescent="0.25">
      <c r="A174" s="4" t="s">
        <v>28</v>
      </c>
      <c r="B174" s="4" t="s">
        <v>35</v>
      </c>
      <c r="C174" s="4" t="s">
        <v>36</v>
      </c>
      <c r="D174" s="4" t="s">
        <v>41</v>
      </c>
      <c r="E174" s="4" t="s">
        <v>25</v>
      </c>
      <c r="F174" s="4" t="s">
        <v>25</v>
      </c>
      <c r="G174" s="4" t="s">
        <v>25</v>
      </c>
      <c r="H174" s="4" t="s">
        <v>25</v>
      </c>
      <c r="I174" s="5">
        <v>44621</v>
      </c>
      <c r="J174" s="6">
        <v>295</v>
      </c>
      <c r="K174" s="6">
        <v>283.2</v>
      </c>
      <c r="L174" s="6">
        <v>0</v>
      </c>
      <c r="M174" s="6">
        <v>0</v>
      </c>
      <c r="N174" s="6">
        <v>0</v>
      </c>
      <c r="O174" s="6">
        <v>0</v>
      </c>
      <c r="P174" s="6">
        <v>2</v>
      </c>
      <c r="Q174" s="4" t="s">
        <v>26</v>
      </c>
      <c r="R174" s="4">
        <v>0</v>
      </c>
      <c r="S174" s="4" t="s">
        <v>146</v>
      </c>
      <c r="U174" s="4">
        <v>16</v>
      </c>
      <c r="V174" s="4">
        <v>0</v>
      </c>
      <c r="W174" s="4">
        <v>0</v>
      </c>
    </row>
    <row r="175" spans="1:23" ht="11.25" customHeight="1" x14ac:dyDescent="0.25">
      <c r="A175" s="4" t="s">
        <v>21</v>
      </c>
      <c r="B175" s="4" t="s">
        <v>35</v>
      </c>
      <c r="C175" s="4" t="s">
        <v>36</v>
      </c>
      <c r="D175" s="4" t="s">
        <v>41</v>
      </c>
      <c r="E175" s="4" t="s">
        <v>25</v>
      </c>
      <c r="F175" s="4" t="s">
        <v>25</v>
      </c>
      <c r="G175" s="4" t="s">
        <v>25</v>
      </c>
      <c r="H175" s="4" t="s">
        <v>25</v>
      </c>
      <c r="I175" s="5">
        <v>44652</v>
      </c>
      <c r="J175" s="6">
        <v>90</v>
      </c>
      <c r="K175" s="6">
        <v>86.4</v>
      </c>
      <c r="L175" s="6">
        <v>0</v>
      </c>
      <c r="M175" s="6">
        <v>0</v>
      </c>
      <c r="N175" s="6">
        <v>0</v>
      </c>
      <c r="O175" s="6">
        <v>0</v>
      </c>
      <c r="P175" s="6">
        <v>1</v>
      </c>
      <c r="Q175" s="4" t="s">
        <v>26</v>
      </c>
      <c r="R175" s="4">
        <v>0</v>
      </c>
      <c r="S175" s="4" t="s">
        <v>147</v>
      </c>
      <c r="U175" s="4">
        <v>16</v>
      </c>
      <c r="V175" s="4">
        <v>0</v>
      </c>
      <c r="W175" s="4">
        <v>0</v>
      </c>
    </row>
    <row r="176" spans="1:23" ht="11.25" customHeight="1" x14ac:dyDescent="0.25">
      <c r="A176" s="4" t="s">
        <v>28</v>
      </c>
      <c r="B176" s="4" t="s">
        <v>35</v>
      </c>
      <c r="C176" s="4" t="s">
        <v>36</v>
      </c>
      <c r="D176" s="4" t="s">
        <v>41</v>
      </c>
      <c r="E176" s="4" t="s">
        <v>25</v>
      </c>
      <c r="F176" s="4" t="s">
        <v>25</v>
      </c>
      <c r="G176" s="4" t="s">
        <v>25</v>
      </c>
      <c r="H176" s="4" t="s">
        <v>25</v>
      </c>
      <c r="I176" s="5">
        <v>44652</v>
      </c>
      <c r="J176" s="6">
        <v>270</v>
      </c>
      <c r="K176" s="6">
        <v>259.2</v>
      </c>
      <c r="L176" s="6">
        <v>0</v>
      </c>
      <c r="M176" s="6">
        <v>0</v>
      </c>
      <c r="N176" s="6">
        <v>0</v>
      </c>
      <c r="O176" s="6">
        <v>0</v>
      </c>
      <c r="P176" s="6">
        <v>2</v>
      </c>
      <c r="Q176" s="4" t="s">
        <v>26</v>
      </c>
      <c r="R176" s="4">
        <v>0</v>
      </c>
      <c r="S176" s="4" t="s">
        <v>147</v>
      </c>
      <c r="U176" s="4">
        <v>16</v>
      </c>
      <c r="V176" s="4">
        <v>0</v>
      </c>
      <c r="W176" s="4">
        <v>0</v>
      </c>
    </row>
    <row r="177" spans="1:23" ht="11.25" customHeight="1" x14ac:dyDescent="0.25">
      <c r="A177" s="4" t="s">
        <v>21</v>
      </c>
      <c r="B177" s="4" t="s">
        <v>35</v>
      </c>
      <c r="C177" s="4" t="s">
        <v>36</v>
      </c>
      <c r="D177" s="4" t="s">
        <v>41</v>
      </c>
      <c r="E177" s="4" t="s">
        <v>25</v>
      </c>
      <c r="F177" s="4" t="s">
        <v>25</v>
      </c>
      <c r="G177" s="4" t="s">
        <v>25</v>
      </c>
      <c r="H177" s="4" t="s">
        <v>25</v>
      </c>
      <c r="I177" s="5">
        <v>44682</v>
      </c>
      <c r="J177" s="6">
        <v>90</v>
      </c>
      <c r="K177" s="6">
        <v>86.4</v>
      </c>
      <c r="L177" s="6">
        <v>0</v>
      </c>
      <c r="M177" s="6">
        <v>0</v>
      </c>
      <c r="N177" s="6">
        <v>0</v>
      </c>
      <c r="O177" s="6">
        <v>0</v>
      </c>
      <c r="P177" s="6">
        <v>1</v>
      </c>
      <c r="Q177" s="4" t="s">
        <v>26</v>
      </c>
      <c r="R177" s="4">
        <v>0</v>
      </c>
      <c r="S177" s="4" t="s">
        <v>148</v>
      </c>
      <c r="U177" s="4">
        <v>16</v>
      </c>
      <c r="V177" s="4">
        <v>0</v>
      </c>
      <c r="W177" s="4">
        <v>0</v>
      </c>
    </row>
    <row r="178" spans="1:23" ht="11.25" customHeight="1" x14ac:dyDescent="0.25">
      <c r="A178" s="4" t="s">
        <v>28</v>
      </c>
      <c r="B178" s="4" t="s">
        <v>35</v>
      </c>
      <c r="C178" s="4" t="s">
        <v>36</v>
      </c>
      <c r="D178" s="4" t="s">
        <v>41</v>
      </c>
      <c r="E178" s="4" t="s">
        <v>25</v>
      </c>
      <c r="F178" s="4" t="s">
        <v>25</v>
      </c>
      <c r="G178" s="4" t="s">
        <v>25</v>
      </c>
      <c r="H178" s="4" t="s">
        <v>25</v>
      </c>
      <c r="I178" s="5">
        <v>44682</v>
      </c>
      <c r="J178" s="6">
        <v>250</v>
      </c>
      <c r="K178" s="6">
        <v>240</v>
      </c>
      <c r="L178" s="6">
        <v>0</v>
      </c>
      <c r="M178" s="6">
        <v>0</v>
      </c>
      <c r="N178" s="6">
        <v>0</v>
      </c>
      <c r="O178" s="6">
        <v>0</v>
      </c>
      <c r="P178" s="6">
        <v>2</v>
      </c>
      <c r="Q178" s="4" t="s">
        <v>26</v>
      </c>
      <c r="R178" s="4">
        <v>0</v>
      </c>
      <c r="S178" s="4" t="s">
        <v>148</v>
      </c>
      <c r="U178" s="4">
        <v>16</v>
      </c>
      <c r="V178" s="4">
        <v>0</v>
      </c>
      <c r="W178" s="4">
        <v>0</v>
      </c>
    </row>
    <row r="179" spans="1:23" ht="11.25" customHeight="1" x14ac:dyDescent="0.25">
      <c r="A179" s="4" t="s">
        <v>21</v>
      </c>
      <c r="B179" s="4" t="s">
        <v>35</v>
      </c>
      <c r="C179" s="4" t="s">
        <v>36</v>
      </c>
      <c r="D179" s="4" t="s">
        <v>41</v>
      </c>
      <c r="E179" s="4" t="s">
        <v>25</v>
      </c>
      <c r="F179" s="4" t="s">
        <v>25</v>
      </c>
      <c r="G179" s="4" t="s">
        <v>25</v>
      </c>
      <c r="H179" s="4" t="s">
        <v>25</v>
      </c>
      <c r="I179" s="5">
        <v>44713</v>
      </c>
      <c r="J179" s="6">
        <v>90</v>
      </c>
      <c r="K179" s="6">
        <v>86.4</v>
      </c>
      <c r="L179" s="6">
        <v>0</v>
      </c>
      <c r="M179" s="6">
        <v>0</v>
      </c>
      <c r="N179" s="6">
        <v>0</v>
      </c>
      <c r="O179" s="6">
        <v>0</v>
      </c>
      <c r="P179" s="6">
        <v>1</v>
      </c>
      <c r="Q179" s="4" t="s">
        <v>26</v>
      </c>
      <c r="R179" s="4">
        <v>0</v>
      </c>
      <c r="S179" s="4" t="s">
        <v>149</v>
      </c>
      <c r="U179" s="4">
        <v>16</v>
      </c>
      <c r="V179" s="4">
        <v>0</v>
      </c>
      <c r="W179" s="4">
        <v>0</v>
      </c>
    </row>
    <row r="180" spans="1:23" ht="11.25" customHeight="1" x14ac:dyDescent="0.25">
      <c r="A180" s="4" t="s">
        <v>28</v>
      </c>
      <c r="B180" s="4" t="s">
        <v>35</v>
      </c>
      <c r="C180" s="4" t="s">
        <v>36</v>
      </c>
      <c r="D180" s="4" t="s">
        <v>41</v>
      </c>
      <c r="E180" s="4" t="s">
        <v>25</v>
      </c>
      <c r="F180" s="4" t="s">
        <v>25</v>
      </c>
      <c r="G180" s="4" t="s">
        <v>25</v>
      </c>
      <c r="H180" s="4" t="s">
        <v>25</v>
      </c>
      <c r="I180" s="5">
        <v>44713</v>
      </c>
      <c r="J180" s="6">
        <v>259</v>
      </c>
      <c r="K180" s="6">
        <v>248.64</v>
      </c>
      <c r="L180" s="6">
        <v>0</v>
      </c>
      <c r="M180" s="6">
        <v>0</v>
      </c>
      <c r="N180" s="6">
        <v>0</v>
      </c>
      <c r="O180" s="6">
        <v>0</v>
      </c>
      <c r="P180" s="6">
        <v>2</v>
      </c>
      <c r="Q180" s="4" t="s">
        <v>26</v>
      </c>
      <c r="R180" s="4">
        <v>0</v>
      </c>
      <c r="S180" s="4" t="s">
        <v>149</v>
      </c>
      <c r="U180" s="4">
        <v>16</v>
      </c>
      <c r="V180" s="4">
        <v>0</v>
      </c>
      <c r="W180" s="4">
        <v>0</v>
      </c>
    </row>
    <row r="181" spans="1:23" ht="11.25" customHeight="1" x14ac:dyDescent="0.25">
      <c r="A181" s="4" t="s">
        <v>21</v>
      </c>
      <c r="B181" s="4" t="s">
        <v>35</v>
      </c>
      <c r="C181" s="4" t="s">
        <v>36</v>
      </c>
      <c r="D181" s="4" t="s">
        <v>41</v>
      </c>
      <c r="E181" s="4" t="s">
        <v>25</v>
      </c>
      <c r="F181" s="4" t="s">
        <v>25</v>
      </c>
      <c r="G181" s="4" t="s">
        <v>25</v>
      </c>
      <c r="H181" s="4" t="s">
        <v>25</v>
      </c>
      <c r="I181" s="5">
        <v>44743</v>
      </c>
      <c r="J181" s="6">
        <v>90</v>
      </c>
      <c r="K181" s="6">
        <v>86.4</v>
      </c>
      <c r="L181" s="6">
        <v>0</v>
      </c>
      <c r="M181" s="6">
        <v>0</v>
      </c>
      <c r="N181" s="6">
        <v>0</v>
      </c>
      <c r="O181" s="6">
        <v>0</v>
      </c>
      <c r="P181" s="6">
        <v>1</v>
      </c>
      <c r="Q181" s="4" t="s">
        <v>26</v>
      </c>
      <c r="R181" s="4">
        <v>0</v>
      </c>
      <c r="S181" s="4" t="s">
        <v>150</v>
      </c>
      <c r="U181" s="4">
        <v>16</v>
      </c>
      <c r="V181" s="4">
        <v>0</v>
      </c>
      <c r="W181" s="4">
        <v>0</v>
      </c>
    </row>
    <row r="182" spans="1:23" ht="11.25" customHeight="1" x14ac:dyDescent="0.25">
      <c r="A182" s="4" t="s">
        <v>28</v>
      </c>
      <c r="B182" s="4" t="s">
        <v>35</v>
      </c>
      <c r="C182" s="4" t="s">
        <v>36</v>
      </c>
      <c r="D182" s="4" t="s">
        <v>41</v>
      </c>
      <c r="E182" s="4" t="s">
        <v>25</v>
      </c>
      <c r="F182" s="4" t="s">
        <v>25</v>
      </c>
      <c r="G182" s="4" t="s">
        <v>25</v>
      </c>
      <c r="H182" s="4" t="s">
        <v>25</v>
      </c>
      <c r="I182" s="5">
        <v>44743</v>
      </c>
      <c r="J182" s="6">
        <v>100</v>
      </c>
      <c r="K182" s="6">
        <v>96</v>
      </c>
      <c r="L182" s="6">
        <v>0</v>
      </c>
      <c r="M182" s="6">
        <v>0</v>
      </c>
      <c r="N182" s="6">
        <v>0</v>
      </c>
      <c r="O182" s="6">
        <v>0</v>
      </c>
      <c r="P182" s="6">
        <v>1</v>
      </c>
      <c r="Q182" s="4" t="s">
        <v>26</v>
      </c>
      <c r="R182" s="4">
        <v>0</v>
      </c>
      <c r="S182" s="4" t="s">
        <v>150</v>
      </c>
      <c r="U182" s="4">
        <v>16</v>
      </c>
      <c r="V182" s="4">
        <v>0</v>
      </c>
      <c r="W182" s="4">
        <v>0</v>
      </c>
    </row>
    <row r="183" spans="1:23" ht="11.25" customHeight="1" x14ac:dyDescent="0.25">
      <c r="A183" s="4" t="s">
        <v>21</v>
      </c>
      <c r="B183" s="4" t="s">
        <v>35</v>
      </c>
      <c r="C183" s="4" t="s">
        <v>36</v>
      </c>
      <c r="D183" s="4" t="s">
        <v>41</v>
      </c>
      <c r="E183" s="4" t="s">
        <v>25</v>
      </c>
      <c r="F183" s="4" t="s">
        <v>25</v>
      </c>
      <c r="G183" s="4" t="s">
        <v>25</v>
      </c>
      <c r="H183" s="4" t="s">
        <v>25</v>
      </c>
      <c r="I183" s="5">
        <v>44774</v>
      </c>
      <c r="J183" s="6">
        <v>90</v>
      </c>
      <c r="K183" s="6">
        <v>86.4</v>
      </c>
      <c r="L183" s="6">
        <v>0</v>
      </c>
      <c r="M183" s="6">
        <v>0</v>
      </c>
      <c r="N183" s="6">
        <v>0</v>
      </c>
      <c r="O183" s="6">
        <v>0</v>
      </c>
      <c r="P183" s="6">
        <v>1</v>
      </c>
      <c r="Q183" s="4" t="s">
        <v>26</v>
      </c>
      <c r="R183" s="4">
        <v>0</v>
      </c>
      <c r="S183" s="4" t="s">
        <v>151</v>
      </c>
      <c r="U183" s="4">
        <v>16</v>
      </c>
      <c r="V183" s="4">
        <v>0</v>
      </c>
      <c r="W183" s="4">
        <v>0</v>
      </c>
    </row>
    <row r="184" spans="1:23" ht="11.25" customHeight="1" x14ac:dyDescent="0.25">
      <c r="A184" s="4" t="s">
        <v>28</v>
      </c>
      <c r="B184" s="4" t="s">
        <v>35</v>
      </c>
      <c r="C184" s="4" t="s">
        <v>36</v>
      </c>
      <c r="D184" s="4" t="s">
        <v>41</v>
      </c>
      <c r="E184" s="4" t="s">
        <v>25</v>
      </c>
      <c r="F184" s="4" t="s">
        <v>25</v>
      </c>
      <c r="G184" s="4" t="s">
        <v>25</v>
      </c>
      <c r="H184" s="4" t="s">
        <v>25</v>
      </c>
      <c r="I184" s="5">
        <v>44774</v>
      </c>
      <c r="J184" s="6">
        <v>250</v>
      </c>
      <c r="K184" s="6">
        <v>240</v>
      </c>
      <c r="L184" s="6">
        <v>0</v>
      </c>
      <c r="M184" s="6">
        <v>0</v>
      </c>
      <c r="N184" s="6">
        <v>0</v>
      </c>
      <c r="O184" s="6">
        <v>0</v>
      </c>
      <c r="P184" s="6">
        <v>2</v>
      </c>
      <c r="Q184" s="4" t="s">
        <v>26</v>
      </c>
      <c r="R184" s="4">
        <v>0</v>
      </c>
      <c r="S184" s="4" t="s">
        <v>151</v>
      </c>
      <c r="U184" s="4">
        <v>16</v>
      </c>
      <c r="V184" s="4">
        <v>0</v>
      </c>
      <c r="W184" s="4">
        <v>0</v>
      </c>
    </row>
    <row r="185" spans="1:23" ht="11.25" customHeight="1" x14ac:dyDescent="0.25">
      <c r="A185" s="4" t="s">
        <v>21</v>
      </c>
      <c r="B185" s="4" t="s">
        <v>35</v>
      </c>
      <c r="C185" s="4" t="s">
        <v>36</v>
      </c>
      <c r="D185" s="4" t="s">
        <v>41</v>
      </c>
      <c r="E185" s="4" t="s">
        <v>25</v>
      </c>
      <c r="F185" s="4" t="s">
        <v>25</v>
      </c>
      <c r="G185" s="4" t="s">
        <v>25</v>
      </c>
      <c r="H185" s="4" t="s">
        <v>37</v>
      </c>
      <c r="I185" s="5">
        <v>44440</v>
      </c>
      <c r="J185" s="6">
        <v>0</v>
      </c>
      <c r="K185" s="6">
        <v>0</v>
      </c>
      <c r="L185" s="6">
        <v>2.2890000000000001</v>
      </c>
      <c r="M185" s="6">
        <v>2.1974399999999998</v>
      </c>
      <c r="N185" s="6">
        <v>2.2890000000000001</v>
      </c>
      <c r="O185" s="6">
        <v>2.1974399999999998</v>
      </c>
      <c r="P185" s="6">
        <v>0</v>
      </c>
      <c r="Q185" s="4" t="s">
        <v>26</v>
      </c>
      <c r="R185" s="4">
        <v>0</v>
      </c>
      <c r="S185" s="4" t="s">
        <v>152</v>
      </c>
      <c r="T185" s="4" t="s">
        <v>273</v>
      </c>
      <c r="U185" s="4">
        <v>0</v>
      </c>
      <c r="V185" s="4">
        <v>25</v>
      </c>
      <c r="W185" s="4">
        <v>44</v>
      </c>
    </row>
    <row r="186" spans="1:23" ht="11.25" customHeight="1" x14ac:dyDescent="0.25">
      <c r="A186" s="4" t="s">
        <v>28</v>
      </c>
      <c r="B186" s="4" t="s">
        <v>35</v>
      </c>
      <c r="C186" s="4" t="s">
        <v>36</v>
      </c>
      <c r="D186" s="4" t="s">
        <v>41</v>
      </c>
      <c r="E186" s="4" t="s">
        <v>25</v>
      </c>
      <c r="F186" s="4" t="s">
        <v>25</v>
      </c>
      <c r="G186" s="4" t="s">
        <v>25</v>
      </c>
      <c r="H186" s="4" t="s">
        <v>37</v>
      </c>
      <c r="I186" s="5">
        <v>44440</v>
      </c>
      <c r="J186" s="6">
        <v>0</v>
      </c>
      <c r="K186" s="6">
        <v>0</v>
      </c>
      <c r="L186" s="6">
        <v>2.2869999999999999</v>
      </c>
      <c r="M186" s="6">
        <v>2.1955199999999997</v>
      </c>
      <c r="N186" s="6">
        <v>2.2869999999999999</v>
      </c>
      <c r="O186" s="6">
        <v>2.1955199999999997</v>
      </c>
      <c r="P186" s="6">
        <v>0</v>
      </c>
      <c r="Q186" s="4" t="s">
        <v>26</v>
      </c>
      <c r="R186" s="4">
        <v>0</v>
      </c>
      <c r="S186" s="4" t="s">
        <v>152</v>
      </c>
      <c r="T186" s="4" t="s">
        <v>273</v>
      </c>
      <c r="U186" s="4">
        <v>0</v>
      </c>
      <c r="V186" s="4">
        <v>25</v>
      </c>
      <c r="W186" s="4">
        <v>44</v>
      </c>
    </row>
    <row r="187" spans="1:23" ht="11.25" customHeight="1" x14ac:dyDescent="0.25">
      <c r="A187" s="4" t="s">
        <v>21</v>
      </c>
      <c r="B187" s="4" t="s">
        <v>35</v>
      </c>
      <c r="C187" s="4" t="s">
        <v>36</v>
      </c>
      <c r="D187" s="4" t="s">
        <v>41</v>
      </c>
      <c r="E187" s="4" t="s">
        <v>25</v>
      </c>
      <c r="F187" s="4" t="s">
        <v>25</v>
      </c>
      <c r="G187" s="4" t="s">
        <v>25</v>
      </c>
      <c r="H187" s="4" t="s">
        <v>37</v>
      </c>
      <c r="I187" s="5">
        <v>44470</v>
      </c>
      <c r="J187" s="6">
        <v>0</v>
      </c>
      <c r="K187" s="6">
        <v>0</v>
      </c>
      <c r="L187" s="6">
        <v>0.97499999999999998</v>
      </c>
      <c r="M187" s="6">
        <v>0.93600000000000005</v>
      </c>
      <c r="N187" s="6">
        <v>0.97499999999999998</v>
      </c>
      <c r="O187" s="6">
        <v>0.93600000000000005</v>
      </c>
      <c r="P187" s="6">
        <v>0</v>
      </c>
      <c r="Q187" s="4" t="s">
        <v>26</v>
      </c>
      <c r="R187" s="4">
        <v>0</v>
      </c>
      <c r="S187" s="4" t="s">
        <v>153</v>
      </c>
      <c r="T187" s="4" t="s">
        <v>274</v>
      </c>
      <c r="U187" s="4">
        <v>0</v>
      </c>
      <c r="V187" s="4">
        <v>25</v>
      </c>
      <c r="W187" s="4">
        <v>44</v>
      </c>
    </row>
    <row r="188" spans="1:23" ht="11.25" customHeight="1" x14ac:dyDescent="0.25">
      <c r="A188" s="4" t="s">
        <v>28</v>
      </c>
      <c r="B188" s="4" t="s">
        <v>35</v>
      </c>
      <c r="C188" s="4" t="s">
        <v>36</v>
      </c>
      <c r="D188" s="4" t="s">
        <v>41</v>
      </c>
      <c r="E188" s="4" t="s">
        <v>25</v>
      </c>
      <c r="F188" s="4" t="s">
        <v>25</v>
      </c>
      <c r="G188" s="4" t="s">
        <v>25</v>
      </c>
      <c r="H188" s="4" t="s">
        <v>37</v>
      </c>
      <c r="I188" s="5">
        <v>44470</v>
      </c>
      <c r="J188" s="6">
        <v>0</v>
      </c>
      <c r="K188" s="6">
        <v>0</v>
      </c>
      <c r="L188" s="6">
        <v>2.0619999999999998</v>
      </c>
      <c r="M188" s="6">
        <v>1.9795199999999999</v>
      </c>
      <c r="N188" s="6">
        <v>2.0619999999999998</v>
      </c>
      <c r="O188" s="6">
        <v>1.9795199999999999</v>
      </c>
      <c r="P188" s="6">
        <v>0</v>
      </c>
      <c r="Q188" s="4" t="s">
        <v>26</v>
      </c>
      <c r="R188" s="4">
        <v>0</v>
      </c>
      <c r="S188" s="4" t="s">
        <v>153</v>
      </c>
      <c r="T188" s="4" t="s">
        <v>274</v>
      </c>
      <c r="U188" s="4">
        <v>0</v>
      </c>
      <c r="V188" s="4">
        <v>25</v>
      </c>
      <c r="W188" s="4">
        <v>44</v>
      </c>
    </row>
    <row r="189" spans="1:23" ht="11.25" customHeight="1" x14ac:dyDescent="0.25">
      <c r="A189" s="4" t="s">
        <v>21</v>
      </c>
      <c r="B189" s="4" t="s">
        <v>35</v>
      </c>
      <c r="C189" s="4" t="s">
        <v>36</v>
      </c>
      <c r="D189" s="4" t="s">
        <v>41</v>
      </c>
      <c r="E189" s="4" t="s">
        <v>25</v>
      </c>
      <c r="F189" s="4" t="s">
        <v>25</v>
      </c>
      <c r="G189" s="4" t="s">
        <v>25</v>
      </c>
      <c r="H189" s="4" t="s">
        <v>37</v>
      </c>
      <c r="I189" s="5">
        <v>44501</v>
      </c>
      <c r="J189" s="6">
        <v>0</v>
      </c>
      <c r="K189" s="6">
        <v>0</v>
      </c>
      <c r="L189" s="6">
        <v>2.1949999999999998</v>
      </c>
      <c r="M189" s="6">
        <v>2.1072000000000002</v>
      </c>
      <c r="N189" s="6">
        <v>2.1949999999999998</v>
      </c>
      <c r="O189" s="6">
        <v>2.1072000000000002</v>
      </c>
      <c r="P189" s="6">
        <v>0</v>
      </c>
      <c r="Q189" s="4" t="s">
        <v>26</v>
      </c>
      <c r="R189" s="4">
        <v>0</v>
      </c>
      <c r="S189" s="4" t="s">
        <v>154</v>
      </c>
      <c r="T189" s="4" t="s">
        <v>275</v>
      </c>
      <c r="U189" s="4">
        <v>0</v>
      </c>
      <c r="V189" s="4">
        <v>25</v>
      </c>
      <c r="W189" s="4">
        <v>44</v>
      </c>
    </row>
    <row r="190" spans="1:23" ht="11.25" customHeight="1" x14ac:dyDescent="0.25">
      <c r="A190" s="4" t="s">
        <v>28</v>
      </c>
      <c r="B190" s="4" t="s">
        <v>35</v>
      </c>
      <c r="C190" s="4" t="s">
        <v>36</v>
      </c>
      <c r="D190" s="4" t="s">
        <v>41</v>
      </c>
      <c r="E190" s="4" t="s">
        <v>25</v>
      </c>
      <c r="F190" s="4" t="s">
        <v>25</v>
      </c>
      <c r="G190" s="4" t="s">
        <v>25</v>
      </c>
      <c r="H190" s="4" t="s">
        <v>37</v>
      </c>
      <c r="I190" s="5">
        <v>44501</v>
      </c>
      <c r="J190" s="6">
        <v>0</v>
      </c>
      <c r="K190" s="6">
        <v>0</v>
      </c>
      <c r="L190" s="6">
        <v>2.226</v>
      </c>
      <c r="M190" s="6">
        <v>2.1369600000000002</v>
      </c>
      <c r="N190" s="6">
        <v>2.226</v>
      </c>
      <c r="O190" s="6">
        <v>2.1369600000000002</v>
      </c>
      <c r="P190" s="6">
        <v>0</v>
      </c>
      <c r="Q190" s="4" t="s">
        <v>26</v>
      </c>
      <c r="R190" s="4">
        <v>0</v>
      </c>
      <c r="S190" s="4" t="s">
        <v>154</v>
      </c>
      <c r="T190" s="4" t="s">
        <v>275</v>
      </c>
      <c r="U190" s="4">
        <v>0</v>
      </c>
      <c r="V190" s="4">
        <v>25</v>
      </c>
      <c r="W190" s="4">
        <v>44</v>
      </c>
    </row>
    <row r="191" spans="1:23" ht="11.25" customHeight="1" x14ac:dyDescent="0.25">
      <c r="A191" s="4" t="s">
        <v>21</v>
      </c>
      <c r="B191" s="4" t="s">
        <v>35</v>
      </c>
      <c r="C191" s="4" t="s">
        <v>36</v>
      </c>
      <c r="D191" s="4" t="s">
        <v>41</v>
      </c>
      <c r="E191" s="4" t="s">
        <v>25</v>
      </c>
      <c r="F191" s="4" t="s">
        <v>25</v>
      </c>
      <c r="G191" s="4" t="s">
        <v>25</v>
      </c>
      <c r="H191" s="4" t="s">
        <v>37</v>
      </c>
      <c r="I191" s="5">
        <v>44531</v>
      </c>
      <c r="J191" s="6">
        <v>0</v>
      </c>
      <c r="K191" s="6">
        <v>0</v>
      </c>
      <c r="L191" s="6">
        <v>0.248</v>
      </c>
      <c r="M191" s="6">
        <v>0.23808000000000001</v>
      </c>
      <c r="N191" s="6">
        <v>0.248</v>
      </c>
      <c r="O191" s="6">
        <v>0.23808000000000001</v>
      </c>
      <c r="P191" s="6">
        <v>0</v>
      </c>
      <c r="Q191" s="4" t="s">
        <v>26</v>
      </c>
      <c r="R191" s="4">
        <v>0</v>
      </c>
      <c r="S191" s="4" t="s">
        <v>155</v>
      </c>
      <c r="T191" s="4" t="s">
        <v>276</v>
      </c>
      <c r="U191" s="4">
        <v>0</v>
      </c>
      <c r="V191" s="4">
        <v>25</v>
      </c>
      <c r="W191" s="4">
        <v>44</v>
      </c>
    </row>
    <row r="192" spans="1:23" ht="11.25" customHeight="1" x14ac:dyDescent="0.25">
      <c r="A192" s="4" t="s">
        <v>28</v>
      </c>
      <c r="B192" s="4" t="s">
        <v>35</v>
      </c>
      <c r="C192" s="4" t="s">
        <v>36</v>
      </c>
      <c r="D192" s="4" t="s">
        <v>41</v>
      </c>
      <c r="E192" s="4" t="s">
        <v>25</v>
      </c>
      <c r="F192" s="4" t="s">
        <v>25</v>
      </c>
      <c r="G192" s="4" t="s">
        <v>25</v>
      </c>
      <c r="H192" s="4" t="s">
        <v>37</v>
      </c>
      <c r="I192" s="5">
        <v>44531</v>
      </c>
      <c r="J192" s="6">
        <v>0</v>
      </c>
      <c r="K192" s="6">
        <v>0</v>
      </c>
      <c r="L192" s="6">
        <v>2.8319999999999999</v>
      </c>
      <c r="M192" s="6">
        <v>2.7187199999999998</v>
      </c>
      <c r="N192" s="6">
        <v>2.8319999999999999</v>
      </c>
      <c r="O192" s="6">
        <v>2.7187199999999998</v>
      </c>
      <c r="P192" s="6">
        <v>0</v>
      </c>
      <c r="Q192" s="4" t="s">
        <v>26</v>
      </c>
      <c r="R192" s="4">
        <v>0</v>
      </c>
      <c r="S192" s="4" t="s">
        <v>155</v>
      </c>
      <c r="T192" s="4" t="s">
        <v>276</v>
      </c>
      <c r="U192" s="4">
        <v>0</v>
      </c>
      <c r="V192" s="4">
        <v>25</v>
      </c>
      <c r="W192" s="4">
        <v>44</v>
      </c>
    </row>
    <row r="193" spans="1:23" ht="11.25" customHeight="1" x14ac:dyDescent="0.25">
      <c r="A193" s="4" t="s">
        <v>21</v>
      </c>
      <c r="B193" s="4" t="s">
        <v>35</v>
      </c>
      <c r="C193" s="4" t="s">
        <v>36</v>
      </c>
      <c r="D193" s="4" t="s">
        <v>41</v>
      </c>
      <c r="E193" s="4" t="s">
        <v>25</v>
      </c>
      <c r="F193" s="4" t="s">
        <v>25</v>
      </c>
      <c r="G193" s="4" t="s">
        <v>25</v>
      </c>
      <c r="H193" s="4" t="s">
        <v>37</v>
      </c>
      <c r="I193" s="5">
        <v>44562</v>
      </c>
      <c r="J193" s="6">
        <v>0</v>
      </c>
      <c r="K193" s="6">
        <v>0</v>
      </c>
      <c r="L193" s="6">
        <v>2.1789999999999998</v>
      </c>
      <c r="M193" s="6">
        <v>2.0918399999999999</v>
      </c>
      <c r="N193" s="6">
        <v>2.1789999999999998</v>
      </c>
      <c r="O193" s="6">
        <v>2.0918399999999999</v>
      </c>
      <c r="P193" s="6">
        <v>0</v>
      </c>
      <c r="Q193" s="4" t="s">
        <v>26</v>
      </c>
      <c r="R193" s="4">
        <v>0</v>
      </c>
      <c r="S193" s="4" t="s">
        <v>156</v>
      </c>
      <c r="T193" s="4" t="s">
        <v>277</v>
      </c>
      <c r="U193" s="4">
        <v>0</v>
      </c>
      <c r="V193" s="4">
        <v>25</v>
      </c>
      <c r="W193" s="4">
        <v>44</v>
      </c>
    </row>
    <row r="194" spans="1:23" ht="11.25" customHeight="1" x14ac:dyDescent="0.25">
      <c r="A194" s="4" t="s">
        <v>28</v>
      </c>
      <c r="B194" s="4" t="s">
        <v>35</v>
      </c>
      <c r="C194" s="4" t="s">
        <v>36</v>
      </c>
      <c r="D194" s="4" t="s">
        <v>41</v>
      </c>
      <c r="E194" s="4" t="s">
        <v>25</v>
      </c>
      <c r="F194" s="4" t="s">
        <v>25</v>
      </c>
      <c r="G194" s="4" t="s">
        <v>25</v>
      </c>
      <c r="H194" s="4" t="s">
        <v>37</v>
      </c>
      <c r="I194" s="5">
        <v>44562</v>
      </c>
      <c r="J194" s="6">
        <v>0</v>
      </c>
      <c r="K194" s="6">
        <v>0</v>
      </c>
      <c r="L194" s="6">
        <v>2.5579999999999998</v>
      </c>
      <c r="M194" s="6">
        <v>2.4556800000000001</v>
      </c>
      <c r="N194" s="6">
        <v>2.5579999999999998</v>
      </c>
      <c r="O194" s="6">
        <v>2.4556800000000001</v>
      </c>
      <c r="P194" s="6">
        <v>0</v>
      </c>
      <c r="Q194" s="4" t="s">
        <v>26</v>
      </c>
      <c r="R194" s="4">
        <v>0</v>
      </c>
      <c r="S194" s="4" t="s">
        <v>156</v>
      </c>
      <c r="T194" s="4" t="s">
        <v>277</v>
      </c>
      <c r="U194" s="4">
        <v>0</v>
      </c>
      <c r="V194" s="4">
        <v>25</v>
      </c>
      <c r="W194" s="4">
        <v>44</v>
      </c>
    </row>
    <row r="195" spans="1:23" ht="11.25" customHeight="1" x14ac:dyDescent="0.25">
      <c r="A195" s="4" t="s">
        <v>21</v>
      </c>
      <c r="B195" s="4" t="s">
        <v>35</v>
      </c>
      <c r="C195" s="4" t="s">
        <v>36</v>
      </c>
      <c r="D195" s="4" t="s">
        <v>41</v>
      </c>
      <c r="E195" s="4" t="s">
        <v>25</v>
      </c>
      <c r="F195" s="4" t="s">
        <v>25</v>
      </c>
      <c r="G195" s="4" t="s">
        <v>25</v>
      </c>
      <c r="H195" s="4" t="s">
        <v>37</v>
      </c>
      <c r="I195" s="5">
        <v>44593</v>
      </c>
      <c r="J195" s="6">
        <v>0</v>
      </c>
      <c r="K195" s="6">
        <v>0</v>
      </c>
      <c r="L195" s="6">
        <v>2.2130000000000001</v>
      </c>
      <c r="M195" s="6">
        <v>2.1244800000000001</v>
      </c>
      <c r="N195" s="6">
        <v>2.2130000000000001</v>
      </c>
      <c r="O195" s="6">
        <v>2.1244800000000001</v>
      </c>
      <c r="P195" s="6">
        <v>0</v>
      </c>
      <c r="Q195" s="4" t="s">
        <v>26</v>
      </c>
      <c r="R195" s="4">
        <v>0</v>
      </c>
      <c r="S195" s="4" t="s">
        <v>157</v>
      </c>
      <c r="T195" s="4" t="s">
        <v>278</v>
      </c>
      <c r="U195" s="4">
        <v>0</v>
      </c>
      <c r="V195" s="4">
        <v>25</v>
      </c>
      <c r="W195" s="4">
        <v>44</v>
      </c>
    </row>
    <row r="196" spans="1:23" ht="11.25" customHeight="1" x14ac:dyDescent="0.25">
      <c r="A196" s="4" t="s">
        <v>28</v>
      </c>
      <c r="B196" s="4" t="s">
        <v>35</v>
      </c>
      <c r="C196" s="4" t="s">
        <v>36</v>
      </c>
      <c r="D196" s="4" t="s">
        <v>41</v>
      </c>
      <c r="E196" s="4" t="s">
        <v>25</v>
      </c>
      <c r="F196" s="4" t="s">
        <v>25</v>
      </c>
      <c r="G196" s="4" t="s">
        <v>25</v>
      </c>
      <c r="H196" s="4" t="s">
        <v>37</v>
      </c>
      <c r="I196" s="5">
        <v>44593</v>
      </c>
      <c r="J196" s="6">
        <v>0</v>
      </c>
      <c r="K196" s="6">
        <v>0</v>
      </c>
      <c r="L196" s="6">
        <v>2.504</v>
      </c>
      <c r="M196" s="6">
        <v>2.4038400000000002</v>
      </c>
      <c r="N196" s="6">
        <v>2.504</v>
      </c>
      <c r="O196" s="6">
        <v>2.4038400000000002</v>
      </c>
      <c r="P196" s="6">
        <v>0</v>
      </c>
      <c r="Q196" s="4" t="s">
        <v>26</v>
      </c>
      <c r="R196" s="4">
        <v>0</v>
      </c>
      <c r="S196" s="4" t="s">
        <v>157</v>
      </c>
      <c r="T196" s="4" t="s">
        <v>278</v>
      </c>
      <c r="U196" s="4">
        <v>0</v>
      </c>
      <c r="V196" s="4">
        <v>25</v>
      </c>
      <c r="W196" s="4">
        <v>44</v>
      </c>
    </row>
    <row r="197" spans="1:23" ht="11.25" customHeight="1" x14ac:dyDescent="0.25">
      <c r="A197" s="4" t="s">
        <v>21</v>
      </c>
      <c r="B197" s="4" t="s">
        <v>35</v>
      </c>
      <c r="C197" s="4" t="s">
        <v>36</v>
      </c>
      <c r="D197" s="4" t="s">
        <v>41</v>
      </c>
      <c r="E197" s="4" t="s">
        <v>25</v>
      </c>
      <c r="F197" s="4" t="s">
        <v>25</v>
      </c>
      <c r="G197" s="4" t="s">
        <v>25</v>
      </c>
      <c r="H197" s="4" t="s">
        <v>37</v>
      </c>
      <c r="I197" s="5">
        <v>44621</v>
      </c>
      <c r="J197" s="6">
        <v>0</v>
      </c>
      <c r="K197" s="6">
        <v>0</v>
      </c>
      <c r="L197" s="6">
        <v>1.9279999999999999</v>
      </c>
      <c r="M197" s="6">
        <v>1.8508800000000001</v>
      </c>
      <c r="N197" s="6">
        <v>1.9279999999999999</v>
      </c>
      <c r="O197" s="6">
        <v>1.8508800000000001</v>
      </c>
      <c r="P197" s="6">
        <v>0</v>
      </c>
      <c r="Q197" s="4" t="s">
        <v>26</v>
      </c>
      <c r="R197" s="4">
        <v>0</v>
      </c>
      <c r="S197" s="4" t="s">
        <v>158</v>
      </c>
      <c r="T197" s="4" t="s">
        <v>279</v>
      </c>
      <c r="U197" s="4">
        <v>0</v>
      </c>
      <c r="V197" s="4">
        <v>25</v>
      </c>
      <c r="W197" s="4">
        <v>44</v>
      </c>
    </row>
    <row r="198" spans="1:23" ht="11.25" customHeight="1" x14ac:dyDescent="0.25">
      <c r="A198" s="4" t="s">
        <v>28</v>
      </c>
      <c r="B198" s="4" t="s">
        <v>35</v>
      </c>
      <c r="C198" s="4" t="s">
        <v>36</v>
      </c>
      <c r="D198" s="4" t="s">
        <v>41</v>
      </c>
      <c r="E198" s="4" t="s">
        <v>25</v>
      </c>
      <c r="F198" s="4" t="s">
        <v>25</v>
      </c>
      <c r="G198" s="4" t="s">
        <v>25</v>
      </c>
      <c r="H198" s="4" t="s">
        <v>37</v>
      </c>
      <c r="I198" s="5">
        <v>44621</v>
      </c>
      <c r="J198" s="6">
        <v>0</v>
      </c>
      <c r="K198" s="6">
        <v>0</v>
      </c>
      <c r="L198" s="6">
        <v>3.9529999999999998</v>
      </c>
      <c r="M198" s="6">
        <v>3.79488</v>
      </c>
      <c r="N198" s="6">
        <v>3.9529999999999998</v>
      </c>
      <c r="O198" s="6">
        <v>3.79488</v>
      </c>
      <c r="P198" s="6">
        <v>0</v>
      </c>
      <c r="Q198" s="4" t="s">
        <v>26</v>
      </c>
      <c r="R198" s="4">
        <v>0</v>
      </c>
      <c r="S198" s="4" t="s">
        <v>158</v>
      </c>
      <c r="T198" s="4" t="s">
        <v>279</v>
      </c>
      <c r="U198" s="4">
        <v>0</v>
      </c>
      <c r="V198" s="4">
        <v>25</v>
      </c>
      <c r="W198" s="4">
        <v>44</v>
      </c>
    </row>
    <row r="199" spans="1:23" ht="11.25" customHeight="1" x14ac:dyDescent="0.25">
      <c r="A199" s="4" t="s">
        <v>21</v>
      </c>
      <c r="B199" s="4" t="s">
        <v>35</v>
      </c>
      <c r="C199" s="4" t="s">
        <v>36</v>
      </c>
      <c r="D199" s="4" t="s">
        <v>41</v>
      </c>
      <c r="E199" s="4" t="s">
        <v>25</v>
      </c>
      <c r="F199" s="4" t="s">
        <v>25</v>
      </c>
      <c r="G199" s="4" t="s">
        <v>25</v>
      </c>
      <c r="H199" s="4" t="s">
        <v>37</v>
      </c>
      <c r="I199" s="5">
        <v>44652</v>
      </c>
      <c r="J199" s="6">
        <v>0</v>
      </c>
      <c r="K199" s="6">
        <v>0</v>
      </c>
      <c r="L199" s="6">
        <v>1.222</v>
      </c>
      <c r="M199" s="6">
        <v>1.1731199999999999</v>
      </c>
      <c r="N199" s="6">
        <v>1.222</v>
      </c>
      <c r="O199" s="6">
        <v>1.1731199999999999</v>
      </c>
      <c r="P199" s="6">
        <v>0</v>
      </c>
      <c r="Q199" s="4" t="s">
        <v>26</v>
      </c>
      <c r="R199" s="4">
        <v>0</v>
      </c>
      <c r="S199" s="4" t="s">
        <v>159</v>
      </c>
      <c r="T199" s="4" t="s">
        <v>280</v>
      </c>
      <c r="U199" s="4">
        <v>0</v>
      </c>
      <c r="V199" s="4">
        <v>25</v>
      </c>
      <c r="W199" s="4">
        <v>44</v>
      </c>
    </row>
    <row r="200" spans="1:23" ht="11.25" customHeight="1" x14ac:dyDescent="0.25">
      <c r="A200" s="4" t="s">
        <v>28</v>
      </c>
      <c r="B200" s="4" t="s">
        <v>35</v>
      </c>
      <c r="C200" s="4" t="s">
        <v>36</v>
      </c>
      <c r="D200" s="4" t="s">
        <v>41</v>
      </c>
      <c r="E200" s="4" t="s">
        <v>25</v>
      </c>
      <c r="F200" s="4" t="s">
        <v>25</v>
      </c>
      <c r="G200" s="4" t="s">
        <v>25</v>
      </c>
      <c r="H200" s="4" t="s">
        <v>37</v>
      </c>
      <c r="I200" s="5">
        <v>44652</v>
      </c>
      <c r="J200" s="6">
        <v>0</v>
      </c>
      <c r="K200" s="6">
        <v>0</v>
      </c>
      <c r="L200" s="6">
        <v>3.1920000000000002</v>
      </c>
      <c r="M200" s="6">
        <v>3.0643199999999999</v>
      </c>
      <c r="N200" s="6">
        <v>3.1920000000000002</v>
      </c>
      <c r="O200" s="6">
        <v>3.0643199999999999</v>
      </c>
      <c r="P200" s="6">
        <v>0</v>
      </c>
      <c r="Q200" s="4" t="s">
        <v>26</v>
      </c>
      <c r="R200" s="4">
        <v>0</v>
      </c>
      <c r="S200" s="4" t="s">
        <v>159</v>
      </c>
      <c r="T200" s="4" t="s">
        <v>280</v>
      </c>
      <c r="U200" s="4">
        <v>0</v>
      </c>
      <c r="V200" s="4">
        <v>25</v>
      </c>
      <c r="W200" s="4">
        <v>44</v>
      </c>
    </row>
    <row r="201" spans="1:23" ht="11.25" customHeight="1" x14ac:dyDescent="0.25">
      <c r="A201" s="4" t="s">
        <v>21</v>
      </c>
      <c r="B201" s="4" t="s">
        <v>35</v>
      </c>
      <c r="C201" s="4" t="s">
        <v>36</v>
      </c>
      <c r="D201" s="4" t="s">
        <v>41</v>
      </c>
      <c r="E201" s="4" t="s">
        <v>25</v>
      </c>
      <c r="F201" s="4" t="s">
        <v>25</v>
      </c>
      <c r="G201" s="4" t="s">
        <v>25</v>
      </c>
      <c r="H201" s="4" t="s">
        <v>37</v>
      </c>
      <c r="I201" s="5">
        <v>44682</v>
      </c>
      <c r="J201" s="6">
        <v>0</v>
      </c>
      <c r="K201" s="6">
        <v>0</v>
      </c>
      <c r="L201" s="6">
        <v>2.1120000000000001</v>
      </c>
      <c r="M201" s="6">
        <v>2.02752</v>
      </c>
      <c r="N201" s="6">
        <v>2.1120000000000001</v>
      </c>
      <c r="O201" s="6">
        <v>2.02752</v>
      </c>
      <c r="P201" s="6">
        <v>0</v>
      </c>
      <c r="Q201" s="4" t="s">
        <v>26</v>
      </c>
      <c r="R201" s="4">
        <v>0</v>
      </c>
      <c r="S201" s="4" t="s">
        <v>160</v>
      </c>
      <c r="T201" s="4" t="s">
        <v>281</v>
      </c>
      <c r="U201" s="4">
        <v>0</v>
      </c>
      <c r="V201" s="4">
        <v>25</v>
      </c>
      <c r="W201" s="4">
        <v>44</v>
      </c>
    </row>
    <row r="202" spans="1:23" ht="11.25" customHeight="1" x14ac:dyDescent="0.25">
      <c r="A202" s="4" t="s">
        <v>28</v>
      </c>
      <c r="B202" s="4" t="s">
        <v>35</v>
      </c>
      <c r="C202" s="4" t="s">
        <v>36</v>
      </c>
      <c r="D202" s="4" t="s">
        <v>41</v>
      </c>
      <c r="E202" s="4" t="s">
        <v>25</v>
      </c>
      <c r="F202" s="4" t="s">
        <v>25</v>
      </c>
      <c r="G202" s="4" t="s">
        <v>25</v>
      </c>
      <c r="H202" s="4" t="s">
        <v>37</v>
      </c>
      <c r="I202" s="5">
        <v>44682</v>
      </c>
      <c r="J202" s="6">
        <v>0</v>
      </c>
      <c r="K202" s="6">
        <v>0</v>
      </c>
      <c r="L202" s="6">
        <v>1.974</v>
      </c>
      <c r="M202" s="6">
        <v>1.8950400000000001</v>
      </c>
      <c r="N202" s="6">
        <v>1.974</v>
      </c>
      <c r="O202" s="6">
        <v>1.8950400000000001</v>
      </c>
      <c r="P202" s="6">
        <v>0</v>
      </c>
      <c r="Q202" s="4" t="s">
        <v>26</v>
      </c>
      <c r="R202" s="4">
        <v>0</v>
      </c>
      <c r="S202" s="4" t="s">
        <v>160</v>
      </c>
      <c r="T202" s="4" t="s">
        <v>281</v>
      </c>
      <c r="U202" s="4">
        <v>0</v>
      </c>
      <c r="V202" s="4">
        <v>25</v>
      </c>
      <c r="W202" s="4">
        <v>44</v>
      </c>
    </row>
    <row r="203" spans="1:23" ht="11.25" customHeight="1" x14ac:dyDescent="0.25">
      <c r="A203" s="4" t="s">
        <v>21</v>
      </c>
      <c r="B203" s="4" t="s">
        <v>35</v>
      </c>
      <c r="C203" s="4" t="s">
        <v>36</v>
      </c>
      <c r="D203" s="4" t="s">
        <v>41</v>
      </c>
      <c r="E203" s="4" t="s">
        <v>25</v>
      </c>
      <c r="F203" s="4" t="s">
        <v>25</v>
      </c>
      <c r="G203" s="4" t="s">
        <v>25</v>
      </c>
      <c r="H203" s="4" t="s">
        <v>37</v>
      </c>
      <c r="I203" s="5">
        <v>44713</v>
      </c>
      <c r="J203" s="6">
        <v>0</v>
      </c>
      <c r="K203" s="6">
        <v>0</v>
      </c>
      <c r="L203" s="6">
        <v>0.19900000000000001</v>
      </c>
      <c r="M203" s="6">
        <v>0.19103999999999999</v>
      </c>
      <c r="N203" s="6">
        <v>0.19900000000000001</v>
      </c>
      <c r="O203" s="6">
        <v>0.19103999999999999</v>
      </c>
      <c r="P203" s="6">
        <v>0</v>
      </c>
      <c r="Q203" s="4" t="s">
        <v>26</v>
      </c>
      <c r="R203" s="4">
        <v>0</v>
      </c>
      <c r="S203" s="4" t="s">
        <v>161</v>
      </c>
      <c r="T203" s="4" t="s">
        <v>282</v>
      </c>
      <c r="U203" s="4">
        <v>0</v>
      </c>
      <c r="V203" s="4">
        <v>25</v>
      </c>
      <c r="W203" s="4">
        <v>44</v>
      </c>
    </row>
    <row r="204" spans="1:23" ht="11.25" customHeight="1" x14ac:dyDescent="0.25">
      <c r="A204" s="4" t="s">
        <v>28</v>
      </c>
      <c r="B204" s="4" t="s">
        <v>35</v>
      </c>
      <c r="C204" s="4" t="s">
        <v>36</v>
      </c>
      <c r="D204" s="4" t="s">
        <v>41</v>
      </c>
      <c r="E204" s="4" t="s">
        <v>25</v>
      </c>
      <c r="F204" s="4" t="s">
        <v>25</v>
      </c>
      <c r="G204" s="4" t="s">
        <v>25</v>
      </c>
      <c r="H204" s="4" t="s">
        <v>37</v>
      </c>
      <c r="I204" s="5">
        <v>44713</v>
      </c>
      <c r="J204" s="6">
        <v>0</v>
      </c>
      <c r="K204" s="6">
        <v>0</v>
      </c>
      <c r="L204" s="6">
        <v>2.44</v>
      </c>
      <c r="M204" s="6">
        <v>2.3424</v>
      </c>
      <c r="N204" s="6">
        <v>2.44</v>
      </c>
      <c r="O204" s="6">
        <v>2.3424</v>
      </c>
      <c r="P204" s="6">
        <v>0</v>
      </c>
      <c r="Q204" s="4" t="s">
        <v>26</v>
      </c>
      <c r="R204" s="4">
        <v>0</v>
      </c>
      <c r="S204" s="4" t="s">
        <v>161</v>
      </c>
      <c r="T204" s="4" t="s">
        <v>282</v>
      </c>
      <c r="U204" s="4">
        <v>0</v>
      </c>
      <c r="V204" s="4">
        <v>25</v>
      </c>
      <c r="W204" s="4">
        <v>44</v>
      </c>
    </row>
    <row r="205" spans="1:23" ht="11.25" customHeight="1" x14ac:dyDescent="0.25">
      <c r="A205" s="4" t="s">
        <v>21</v>
      </c>
      <c r="B205" s="4" t="s">
        <v>35</v>
      </c>
      <c r="C205" s="4" t="s">
        <v>36</v>
      </c>
      <c r="D205" s="4" t="s">
        <v>41</v>
      </c>
      <c r="E205" s="4" t="s">
        <v>25</v>
      </c>
      <c r="F205" s="4" t="s">
        <v>25</v>
      </c>
      <c r="G205" s="4" t="s">
        <v>25</v>
      </c>
      <c r="H205" s="4" t="s">
        <v>37</v>
      </c>
      <c r="I205" s="5">
        <v>44743</v>
      </c>
      <c r="J205" s="6">
        <v>0</v>
      </c>
      <c r="K205" s="6">
        <v>0</v>
      </c>
      <c r="L205" s="6">
        <v>0.11899999999999999</v>
      </c>
      <c r="M205" s="6">
        <v>0.11423999999999999</v>
      </c>
      <c r="N205" s="6">
        <v>0.11899999999999999</v>
      </c>
      <c r="O205" s="6">
        <v>0.11423999999999999</v>
      </c>
      <c r="P205" s="6">
        <v>0</v>
      </c>
      <c r="Q205" s="4" t="s">
        <v>26</v>
      </c>
      <c r="R205" s="4">
        <v>0</v>
      </c>
      <c r="S205" s="4" t="s">
        <v>162</v>
      </c>
      <c r="T205" s="4" t="s">
        <v>283</v>
      </c>
      <c r="U205" s="4">
        <v>0</v>
      </c>
      <c r="V205" s="4">
        <v>25</v>
      </c>
      <c r="W205" s="4">
        <v>44</v>
      </c>
    </row>
    <row r="206" spans="1:23" ht="11.25" customHeight="1" x14ac:dyDescent="0.25">
      <c r="A206" s="4" t="s">
        <v>21</v>
      </c>
      <c r="B206" s="4" t="s">
        <v>35</v>
      </c>
      <c r="C206" s="4" t="s">
        <v>36</v>
      </c>
      <c r="D206" s="4" t="s">
        <v>41</v>
      </c>
      <c r="E206" s="4" t="s">
        <v>25</v>
      </c>
      <c r="F206" s="4" t="s">
        <v>25</v>
      </c>
      <c r="G206" s="4" t="s">
        <v>25</v>
      </c>
      <c r="H206" s="4" t="s">
        <v>37</v>
      </c>
      <c r="I206" s="5">
        <v>44774</v>
      </c>
      <c r="J206" s="6">
        <v>0</v>
      </c>
      <c r="K206" s="6">
        <v>0</v>
      </c>
      <c r="L206" s="6">
        <v>1.5349999999999999</v>
      </c>
      <c r="M206" s="6">
        <v>1.4736</v>
      </c>
      <c r="N206" s="6">
        <v>1.5349999999999999</v>
      </c>
      <c r="O206" s="6">
        <v>1.4736</v>
      </c>
      <c r="P206" s="6">
        <v>0</v>
      </c>
      <c r="Q206" s="4" t="s">
        <v>26</v>
      </c>
      <c r="R206" s="4">
        <v>0</v>
      </c>
      <c r="S206" s="4" t="s">
        <v>163</v>
      </c>
      <c r="T206" s="4" t="s">
        <v>284</v>
      </c>
      <c r="U206" s="4">
        <v>0</v>
      </c>
      <c r="V206" s="4">
        <v>25</v>
      </c>
      <c r="W206" s="4">
        <v>44</v>
      </c>
    </row>
    <row r="207" spans="1:23" ht="11.25" customHeight="1" x14ac:dyDescent="0.25">
      <c r="A207" s="4" t="s">
        <v>21</v>
      </c>
      <c r="B207" s="4" t="s">
        <v>35</v>
      </c>
      <c r="C207" s="4" t="s">
        <v>36</v>
      </c>
      <c r="D207" s="4" t="s">
        <v>46</v>
      </c>
      <c r="E207" s="4" t="s">
        <v>47</v>
      </c>
      <c r="F207" s="4" t="s">
        <v>25</v>
      </c>
      <c r="G207" s="4" t="s">
        <v>25</v>
      </c>
      <c r="H207" s="4" t="s">
        <v>38</v>
      </c>
      <c r="I207" s="5">
        <v>44440</v>
      </c>
      <c r="J207" s="6">
        <v>0</v>
      </c>
      <c r="K207" s="6">
        <v>0</v>
      </c>
      <c r="L207" s="6">
        <v>8.99</v>
      </c>
      <c r="M207" s="6">
        <v>8.4505999999999997</v>
      </c>
      <c r="N207" s="6">
        <v>8.99</v>
      </c>
      <c r="O207" s="6">
        <v>8.4505999999999997</v>
      </c>
      <c r="P207" s="6">
        <v>0</v>
      </c>
      <c r="Q207" s="4" t="s">
        <v>26</v>
      </c>
      <c r="R207" s="4">
        <v>0</v>
      </c>
      <c r="S207" s="4" t="s">
        <v>128</v>
      </c>
      <c r="T207" s="4" t="s">
        <v>261</v>
      </c>
      <c r="U207" s="4">
        <v>0</v>
      </c>
      <c r="V207" s="4">
        <v>23</v>
      </c>
      <c r="W207" s="4">
        <v>51</v>
      </c>
    </row>
    <row r="208" spans="1:23" ht="11.25" customHeight="1" x14ac:dyDescent="0.25">
      <c r="A208" s="4" t="s">
        <v>21</v>
      </c>
      <c r="B208" s="4" t="s">
        <v>35</v>
      </c>
      <c r="C208" s="4" t="s">
        <v>36</v>
      </c>
      <c r="D208" s="4" t="s">
        <v>46</v>
      </c>
      <c r="E208" s="4" t="s">
        <v>47</v>
      </c>
      <c r="F208" s="4" t="s">
        <v>25</v>
      </c>
      <c r="G208" s="4" t="s">
        <v>25</v>
      </c>
      <c r="H208" s="4" t="s">
        <v>38</v>
      </c>
      <c r="I208" s="5">
        <v>44470</v>
      </c>
      <c r="J208" s="6">
        <v>0</v>
      </c>
      <c r="K208" s="6">
        <v>0</v>
      </c>
      <c r="L208" s="6">
        <v>20.884</v>
      </c>
      <c r="M208" s="6">
        <v>19.630960000000002</v>
      </c>
      <c r="N208" s="6">
        <v>20.884</v>
      </c>
      <c r="O208" s="6">
        <v>19.630960000000002</v>
      </c>
      <c r="P208" s="6">
        <v>0</v>
      </c>
      <c r="Q208" s="4" t="s">
        <v>26</v>
      </c>
      <c r="R208" s="4">
        <v>0</v>
      </c>
      <c r="S208" s="4" t="s">
        <v>129</v>
      </c>
      <c r="T208" s="4" t="s">
        <v>262</v>
      </c>
      <c r="U208" s="4">
        <v>0</v>
      </c>
      <c r="V208" s="4">
        <v>23</v>
      </c>
      <c r="W208" s="4">
        <v>51</v>
      </c>
    </row>
    <row r="209" spans="1:23" ht="11.25" customHeight="1" x14ac:dyDescent="0.25">
      <c r="A209" s="4" t="s">
        <v>21</v>
      </c>
      <c r="B209" s="4" t="s">
        <v>35</v>
      </c>
      <c r="C209" s="4" t="s">
        <v>36</v>
      </c>
      <c r="D209" s="4" t="s">
        <v>46</v>
      </c>
      <c r="E209" s="4" t="s">
        <v>47</v>
      </c>
      <c r="F209" s="4" t="s">
        <v>25</v>
      </c>
      <c r="G209" s="4" t="s">
        <v>25</v>
      </c>
      <c r="H209" s="4" t="s">
        <v>38</v>
      </c>
      <c r="I209" s="5">
        <v>44501</v>
      </c>
      <c r="J209" s="6">
        <v>0</v>
      </c>
      <c r="K209" s="6">
        <v>0</v>
      </c>
      <c r="L209" s="6">
        <v>42.347999999999999</v>
      </c>
      <c r="M209" s="6">
        <v>39.807119999999998</v>
      </c>
      <c r="N209" s="6">
        <v>42.347999999999999</v>
      </c>
      <c r="O209" s="6">
        <v>39.807119999999998</v>
      </c>
      <c r="P209" s="6">
        <v>0</v>
      </c>
      <c r="Q209" s="4" t="s">
        <v>26</v>
      </c>
      <c r="R209" s="4">
        <v>0</v>
      </c>
      <c r="S209" s="4" t="s">
        <v>130</v>
      </c>
      <c r="T209" s="4" t="s">
        <v>263</v>
      </c>
      <c r="U209" s="4">
        <v>0</v>
      </c>
      <c r="V209" s="4">
        <v>23</v>
      </c>
      <c r="W209" s="4">
        <v>51</v>
      </c>
    </row>
    <row r="210" spans="1:23" ht="11.25" customHeight="1" x14ac:dyDescent="0.25">
      <c r="A210" s="4" t="s">
        <v>21</v>
      </c>
      <c r="B210" s="4" t="s">
        <v>35</v>
      </c>
      <c r="C210" s="4" t="s">
        <v>36</v>
      </c>
      <c r="D210" s="4" t="s">
        <v>46</v>
      </c>
      <c r="E210" s="4" t="s">
        <v>47</v>
      </c>
      <c r="F210" s="4" t="s">
        <v>25</v>
      </c>
      <c r="G210" s="4" t="s">
        <v>25</v>
      </c>
      <c r="H210" s="4" t="s">
        <v>38</v>
      </c>
      <c r="I210" s="5">
        <v>44531</v>
      </c>
      <c r="J210" s="6">
        <v>0</v>
      </c>
      <c r="K210" s="6">
        <v>0</v>
      </c>
      <c r="L210" s="6">
        <v>44.311999999999998</v>
      </c>
      <c r="M210" s="6">
        <v>41.653280000000002</v>
      </c>
      <c r="N210" s="6">
        <v>44.311999999999998</v>
      </c>
      <c r="O210" s="6">
        <v>41.653280000000002</v>
      </c>
      <c r="P210" s="6">
        <v>0</v>
      </c>
      <c r="Q210" s="4" t="s">
        <v>26</v>
      </c>
      <c r="R210" s="4">
        <v>0</v>
      </c>
      <c r="S210" s="4" t="s">
        <v>131</v>
      </c>
      <c r="T210" s="4" t="s">
        <v>264</v>
      </c>
      <c r="U210" s="4">
        <v>0</v>
      </c>
      <c r="V210" s="4">
        <v>23</v>
      </c>
      <c r="W210" s="4">
        <v>51</v>
      </c>
    </row>
    <row r="211" spans="1:23" ht="11.25" customHeight="1" x14ac:dyDescent="0.25">
      <c r="A211" s="4" t="s">
        <v>21</v>
      </c>
      <c r="B211" s="4" t="s">
        <v>35</v>
      </c>
      <c r="C211" s="4" t="s">
        <v>36</v>
      </c>
      <c r="D211" s="4" t="s">
        <v>46</v>
      </c>
      <c r="E211" s="4" t="s">
        <v>47</v>
      </c>
      <c r="F211" s="4" t="s">
        <v>25</v>
      </c>
      <c r="G211" s="4" t="s">
        <v>25</v>
      </c>
      <c r="H211" s="4" t="s">
        <v>38</v>
      </c>
      <c r="I211" s="5">
        <v>44562</v>
      </c>
      <c r="J211" s="6">
        <v>0</v>
      </c>
      <c r="K211" s="6">
        <v>0</v>
      </c>
      <c r="L211" s="6">
        <v>46.517000000000003</v>
      </c>
      <c r="M211" s="6">
        <v>43.72598</v>
      </c>
      <c r="N211" s="6">
        <v>46.517000000000003</v>
      </c>
      <c r="O211" s="6">
        <v>43.72598</v>
      </c>
      <c r="P211" s="6">
        <v>0</v>
      </c>
      <c r="Q211" s="4" t="s">
        <v>26</v>
      </c>
      <c r="R211" s="4">
        <v>0</v>
      </c>
      <c r="S211" s="4" t="s">
        <v>132</v>
      </c>
      <c r="T211" s="4" t="s">
        <v>265</v>
      </c>
      <c r="U211" s="4">
        <v>0</v>
      </c>
      <c r="V211" s="4">
        <v>23</v>
      </c>
      <c r="W211" s="4">
        <v>51</v>
      </c>
    </row>
    <row r="212" spans="1:23" ht="11.25" customHeight="1" x14ac:dyDescent="0.25">
      <c r="A212" s="4" t="s">
        <v>21</v>
      </c>
      <c r="B212" s="4" t="s">
        <v>35</v>
      </c>
      <c r="C212" s="4" t="s">
        <v>36</v>
      </c>
      <c r="D212" s="4" t="s">
        <v>46</v>
      </c>
      <c r="E212" s="4" t="s">
        <v>47</v>
      </c>
      <c r="F212" s="4" t="s">
        <v>25</v>
      </c>
      <c r="G212" s="4" t="s">
        <v>25</v>
      </c>
      <c r="H212" s="4" t="s">
        <v>38</v>
      </c>
      <c r="I212" s="5">
        <v>44593</v>
      </c>
      <c r="J212" s="6">
        <v>0</v>
      </c>
      <c r="K212" s="6">
        <v>0</v>
      </c>
      <c r="L212" s="6">
        <v>38.237000000000002</v>
      </c>
      <c r="M212" s="6">
        <v>35.942779999999999</v>
      </c>
      <c r="N212" s="6">
        <v>38.237000000000002</v>
      </c>
      <c r="O212" s="6">
        <v>35.942779999999999</v>
      </c>
      <c r="P212" s="6">
        <v>0</v>
      </c>
      <c r="Q212" s="4" t="s">
        <v>26</v>
      </c>
      <c r="R212" s="4">
        <v>0</v>
      </c>
      <c r="S212" s="4" t="s">
        <v>133</v>
      </c>
      <c r="T212" s="4" t="s">
        <v>266</v>
      </c>
      <c r="U212" s="4">
        <v>0</v>
      </c>
      <c r="V212" s="4">
        <v>23</v>
      </c>
      <c r="W212" s="4">
        <v>51</v>
      </c>
    </row>
    <row r="213" spans="1:23" ht="11.25" customHeight="1" x14ac:dyDescent="0.25">
      <c r="A213" s="4" t="s">
        <v>21</v>
      </c>
      <c r="B213" s="4" t="s">
        <v>35</v>
      </c>
      <c r="C213" s="4" t="s">
        <v>36</v>
      </c>
      <c r="D213" s="4" t="s">
        <v>46</v>
      </c>
      <c r="E213" s="4" t="s">
        <v>47</v>
      </c>
      <c r="F213" s="4" t="s">
        <v>25</v>
      </c>
      <c r="G213" s="4" t="s">
        <v>25</v>
      </c>
      <c r="H213" s="4" t="s">
        <v>38</v>
      </c>
      <c r="I213" s="5">
        <v>44621</v>
      </c>
      <c r="J213" s="6">
        <v>0</v>
      </c>
      <c r="K213" s="6">
        <v>0</v>
      </c>
      <c r="L213" s="6">
        <v>41.484000000000002</v>
      </c>
      <c r="M213" s="6">
        <v>38.994959999999999</v>
      </c>
      <c r="N213" s="6">
        <v>41.484000000000002</v>
      </c>
      <c r="O213" s="6">
        <v>38.994959999999999</v>
      </c>
      <c r="P213" s="6">
        <v>0</v>
      </c>
      <c r="Q213" s="4" t="s">
        <v>26</v>
      </c>
      <c r="R213" s="4">
        <v>0</v>
      </c>
      <c r="S213" s="4" t="s">
        <v>134</v>
      </c>
      <c r="T213" s="4" t="s">
        <v>267</v>
      </c>
      <c r="U213" s="4">
        <v>0</v>
      </c>
      <c r="V213" s="4">
        <v>23</v>
      </c>
      <c r="W213" s="4">
        <v>51</v>
      </c>
    </row>
    <row r="214" spans="1:23" ht="11.25" customHeight="1" x14ac:dyDescent="0.25">
      <c r="A214" s="4" t="s">
        <v>21</v>
      </c>
      <c r="B214" s="4" t="s">
        <v>35</v>
      </c>
      <c r="C214" s="4" t="s">
        <v>36</v>
      </c>
      <c r="D214" s="4" t="s">
        <v>46</v>
      </c>
      <c r="E214" s="4" t="s">
        <v>47</v>
      </c>
      <c r="F214" s="4" t="s">
        <v>25</v>
      </c>
      <c r="G214" s="4" t="s">
        <v>25</v>
      </c>
      <c r="H214" s="4" t="s">
        <v>38</v>
      </c>
      <c r="I214" s="5">
        <v>44652</v>
      </c>
      <c r="J214" s="6">
        <v>0</v>
      </c>
      <c r="K214" s="6">
        <v>0</v>
      </c>
      <c r="L214" s="6">
        <v>34.99</v>
      </c>
      <c r="M214" s="6">
        <v>32.890599999999999</v>
      </c>
      <c r="N214" s="6">
        <v>34.99</v>
      </c>
      <c r="O214" s="6">
        <v>32.890599999999999</v>
      </c>
      <c r="P214" s="6">
        <v>0</v>
      </c>
      <c r="Q214" s="4" t="s">
        <v>26</v>
      </c>
      <c r="R214" s="4">
        <v>0</v>
      </c>
      <c r="S214" s="4" t="s">
        <v>135</v>
      </c>
      <c r="T214" s="4" t="s">
        <v>268</v>
      </c>
      <c r="U214" s="4">
        <v>0</v>
      </c>
      <c r="V214" s="4">
        <v>23</v>
      </c>
      <c r="W214" s="4">
        <v>51</v>
      </c>
    </row>
    <row r="215" spans="1:23" ht="11.25" customHeight="1" x14ac:dyDescent="0.25">
      <c r="A215" s="4" t="s">
        <v>21</v>
      </c>
      <c r="B215" s="4" t="s">
        <v>35</v>
      </c>
      <c r="C215" s="4" t="s">
        <v>36</v>
      </c>
      <c r="D215" s="4" t="s">
        <v>46</v>
      </c>
      <c r="E215" s="4" t="s">
        <v>47</v>
      </c>
      <c r="F215" s="4" t="s">
        <v>25</v>
      </c>
      <c r="G215" s="4" t="s">
        <v>25</v>
      </c>
      <c r="H215" s="4" t="s">
        <v>38</v>
      </c>
      <c r="I215" s="5">
        <v>44682</v>
      </c>
      <c r="J215" s="6">
        <v>0</v>
      </c>
      <c r="K215" s="6">
        <v>0</v>
      </c>
      <c r="L215" s="6">
        <v>6.7729999999999997</v>
      </c>
      <c r="M215" s="6">
        <v>6.3666200000000002</v>
      </c>
      <c r="N215" s="6">
        <v>6.7729999999999997</v>
      </c>
      <c r="O215" s="6">
        <v>6.3666200000000002</v>
      </c>
      <c r="P215" s="6">
        <v>0</v>
      </c>
      <c r="Q215" s="4" t="s">
        <v>26</v>
      </c>
      <c r="R215" s="4">
        <v>0</v>
      </c>
      <c r="S215" s="4" t="s">
        <v>136</v>
      </c>
      <c r="T215" s="4" t="s">
        <v>269</v>
      </c>
      <c r="U215" s="4">
        <v>0</v>
      </c>
      <c r="V215" s="4">
        <v>23</v>
      </c>
      <c r="W215" s="4">
        <v>51</v>
      </c>
    </row>
    <row r="216" spans="1:23" ht="11.25" customHeight="1" x14ac:dyDescent="0.25">
      <c r="A216" s="4" t="s">
        <v>21</v>
      </c>
      <c r="B216" s="4" t="s">
        <v>35</v>
      </c>
      <c r="C216" s="4" t="s">
        <v>36</v>
      </c>
      <c r="D216" s="4" t="s">
        <v>46</v>
      </c>
      <c r="E216" s="4" t="s">
        <v>47</v>
      </c>
      <c r="F216" s="4" t="s">
        <v>25</v>
      </c>
      <c r="G216" s="4" t="s">
        <v>25</v>
      </c>
      <c r="H216" s="4" t="s">
        <v>38</v>
      </c>
      <c r="I216" s="5">
        <v>44743</v>
      </c>
      <c r="J216" s="6">
        <v>0</v>
      </c>
      <c r="K216" s="6">
        <v>0</v>
      </c>
      <c r="L216" s="6">
        <v>7.66</v>
      </c>
      <c r="M216" s="6">
        <v>7.2004000000000001</v>
      </c>
      <c r="N216" s="6">
        <v>7.66</v>
      </c>
      <c r="O216" s="6">
        <v>7.2004000000000001</v>
      </c>
      <c r="P216" s="6">
        <v>0</v>
      </c>
      <c r="Q216" s="4" t="s">
        <v>26</v>
      </c>
      <c r="R216" s="4">
        <v>0</v>
      </c>
      <c r="S216" s="4" t="s">
        <v>138</v>
      </c>
      <c r="T216" s="4" t="s">
        <v>271</v>
      </c>
      <c r="U216" s="4">
        <v>0</v>
      </c>
      <c r="V216" s="4">
        <v>23</v>
      </c>
      <c r="W216" s="4">
        <v>51</v>
      </c>
    </row>
    <row r="217" spans="1:23" ht="11.25" customHeight="1" x14ac:dyDescent="0.25">
      <c r="A217" s="4" t="s">
        <v>21</v>
      </c>
      <c r="B217" s="4" t="s">
        <v>35</v>
      </c>
      <c r="C217" s="4" t="s">
        <v>36</v>
      </c>
      <c r="D217" s="4" t="s">
        <v>46</v>
      </c>
      <c r="E217" s="4" t="s">
        <v>47</v>
      </c>
      <c r="F217" s="4" t="s">
        <v>25</v>
      </c>
      <c r="G217" s="4" t="s">
        <v>25</v>
      </c>
      <c r="H217" s="4" t="s">
        <v>38</v>
      </c>
      <c r="I217" s="5">
        <v>44774</v>
      </c>
      <c r="J217" s="6">
        <v>0</v>
      </c>
      <c r="K217" s="6">
        <v>0</v>
      </c>
      <c r="L217" s="6">
        <v>26.152999999999999</v>
      </c>
      <c r="M217" s="6">
        <v>24.583819999999999</v>
      </c>
      <c r="N217" s="6">
        <v>26.152999999999999</v>
      </c>
      <c r="O217" s="6">
        <v>24.583819999999999</v>
      </c>
      <c r="P217" s="6">
        <v>0</v>
      </c>
      <c r="Q217" s="4" t="s">
        <v>26</v>
      </c>
      <c r="R217" s="4">
        <v>0</v>
      </c>
      <c r="S217" s="4" t="s">
        <v>139</v>
      </c>
      <c r="T217" s="4" t="s">
        <v>272</v>
      </c>
      <c r="U217" s="4">
        <v>0</v>
      </c>
      <c r="V217" s="4">
        <v>23</v>
      </c>
      <c r="W217" s="4">
        <v>51</v>
      </c>
    </row>
    <row r="218" spans="1:23" ht="11.25" customHeight="1" x14ac:dyDescent="0.25">
      <c r="A218" s="4" t="s">
        <v>21</v>
      </c>
      <c r="B218" s="4" t="s">
        <v>35</v>
      </c>
      <c r="C218" s="4" t="s">
        <v>36</v>
      </c>
      <c r="D218" s="4" t="s">
        <v>46</v>
      </c>
      <c r="E218" s="4" t="s">
        <v>47</v>
      </c>
      <c r="F218" s="4" t="s">
        <v>25</v>
      </c>
      <c r="G218" s="4" t="s">
        <v>25</v>
      </c>
      <c r="H218" s="4" t="s">
        <v>25</v>
      </c>
      <c r="I218" s="5">
        <v>44440</v>
      </c>
      <c r="J218" s="6">
        <v>80</v>
      </c>
      <c r="K218" s="6">
        <v>75.2</v>
      </c>
      <c r="L218" s="6">
        <v>0</v>
      </c>
      <c r="M218" s="6">
        <v>0</v>
      </c>
      <c r="N218" s="6">
        <v>0</v>
      </c>
      <c r="O218" s="6">
        <v>0</v>
      </c>
      <c r="P218" s="6">
        <v>1</v>
      </c>
      <c r="Q218" s="4" t="s">
        <v>26</v>
      </c>
      <c r="R218" s="4">
        <v>0</v>
      </c>
      <c r="S218" s="4" t="s">
        <v>140</v>
      </c>
      <c r="U218" s="4">
        <v>16</v>
      </c>
      <c r="V218" s="4">
        <v>0</v>
      </c>
      <c r="W218" s="4">
        <v>0</v>
      </c>
    </row>
    <row r="219" spans="1:23" ht="11.25" customHeight="1" x14ac:dyDescent="0.25">
      <c r="A219" s="4" t="s">
        <v>21</v>
      </c>
      <c r="B219" s="4" t="s">
        <v>35</v>
      </c>
      <c r="C219" s="4" t="s">
        <v>36</v>
      </c>
      <c r="D219" s="4" t="s">
        <v>46</v>
      </c>
      <c r="E219" s="4" t="s">
        <v>47</v>
      </c>
      <c r="F219" s="4" t="s">
        <v>25</v>
      </c>
      <c r="G219" s="4" t="s">
        <v>25</v>
      </c>
      <c r="H219" s="4" t="s">
        <v>25</v>
      </c>
      <c r="I219" s="5">
        <v>44470</v>
      </c>
      <c r="J219" s="6">
        <v>87</v>
      </c>
      <c r="K219" s="6">
        <v>81.78</v>
      </c>
      <c r="L219" s="6">
        <v>0</v>
      </c>
      <c r="M219" s="6">
        <v>0</v>
      </c>
      <c r="N219" s="6">
        <v>0</v>
      </c>
      <c r="O219" s="6">
        <v>0</v>
      </c>
      <c r="P219" s="6">
        <v>1</v>
      </c>
      <c r="Q219" s="4" t="s">
        <v>26</v>
      </c>
      <c r="R219" s="4">
        <v>0</v>
      </c>
      <c r="S219" s="4" t="s">
        <v>141</v>
      </c>
      <c r="U219" s="4">
        <v>16</v>
      </c>
      <c r="V219" s="4">
        <v>0</v>
      </c>
      <c r="W219" s="4">
        <v>0</v>
      </c>
    </row>
    <row r="220" spans="1:23" ht="11.25" customHeight="1" x14ac:dyDescent="0.25">
      <c r="A220" s="4" t="s">
        <v>21</v>
      </c>
      <c r="B220" s="4" t="s">
        <v>35</v>
      </c>
      <c r="C220" s="4" t="s">
        <v>36</v>
      </c>
      <c r="D220" s="4" t="s">
        <v>46</v>
      </c>
      <c r="E220" s="4" t="s">
        <v>47</v>
      </c>
      <c r="F220" s="4" t="s">
        <v>25</v>
      </c>
      <c r="G220" s="4" t="s">
        <v>25</v>
      </c>
      <c r="H220" s="4" t="s">
        <v>25</v>
      </c>
      <c r="I220" s="5">
        <v>44501</v>
      </c>
      <c r="J220" s="6">
        <v>89</v>
      </c>
      <c r="K220" s="6">
        <v>83.66</v>
      </c>
      <c r="L220" s="6">
        <v>0</v>
      </c>
      <c r="M220" s="6">
        <v>0</v>
      </c>
      <c r="N220" s="6">
        <v>0</v>
      </c>
      <c r="O220" s="6">
        <v>0</v>
      </c>
      <c r="P220" s="6">
        <v>1</v>
      </c>
      <c r="Q220" s="4" t="s">
        <v>26</v>
      </c>
      <c r="R220" s="4">
        <v>0</v>
      </c>
      <c r="S220" s="4" t="s">
        <v>142</v>
      </c>
      <c r="U220" s="4">
        <v>16</v>
      </c>
      <c r="V220" s="4">
        <v>0</v>
      </c>
      <c r="W220" s="4">
        <v>0</v>
      </c>
    </row>
    <row r="221" spans="1:23" ht="11.25" customHeight="1" x14ac:dyDescent="0.25">
      <c r="A221" s="4" t="s">
        <v>21</v>
      </c>
      <c r="B221" s="4" t="s">
        <v>35</v>
      </c>
      <c r="C221" s="4" t="s">
        <v>36</v>
      </c>
      <c r="D221" s="4" t="s">
        <v>46</v>
      </c>
      <c r="E221" s="4" t="s">
        <v>47</v>
      </c>
      <c r="F221" s="4" t="s">
        <v>25</v>
      </c>
      <c r="G221" s="4" t="s">
        <v>25</v>
      </c>
      <c r="H221" s="4" t="s">
        <v>25</v>
      </c>
      <c r="I221" s="5">
        <v>44531</v>
      </c>
      <c r="J221" s="6">
        <v>85</v>
      </c>
      <c r="K221" s="6">
        <v>79.900000000000006</v>
      </c>
      <c r="L221" s="6">
        <v>0</v>
      </c>
      <c r="M221" s="6">
        <v>0</v>
      </c>
      <c r="N221" s="6">
        <v>0</v>
      </c>
      <c r="O221" s="6">
        <v>0</v>
      </c>
      <c r="P221" s="6">
        <v>1</v>
      </c>
      <c r="Q221" s="4" t="s">
        <v>26</v>
      </c>
      <c r="R221" s="4">
        <v>0</v>
      </c>
      <c r="S221" s="4" t="s">
        <v>143</v>
      </c>
      <c r="U221" s="4">
        <v>16</v>
      </c>
      <c r="V221" s="4">
        <v>0</v>
      </c>
      <c r="W221" s="4">
        <v>0</v>
      </c>
    </row>
    <row r="222" spans="1:23" ht="11.25" customHeight="1" x14ac:dyDescent="0.25">
      <c r="A222" s="4" t="s">
        <v>21</v>
      </c>
      <c r="B222" s="4" t="s">
        <v>35</v>
      </c>
      <c r="C222" s="4" t="s">
        <v>36</v>
      </c>
      <c r="D222" s="4" t="s">
        <v>46</v>
      </c>
      <c r="E222" s="4" t="s">
        <v>47</v>
      </c>
      <c r="F222" s="4" t="s">
        <v>25</v>
      </c>
      <c r="G222" s="4" t="s">
        <v>25</v>
      </c>
      <c r="H222" s="4" t="s">
        <v>25</v>
      </c>
      <c r="I222" s="5">
        <v>44562</v>
      </c>
      <c r="J222" s="6">
        <v>84</v>
      </c>
      <c r="K222" s="6">
        <v>78.959999999999994</v>
      </c>
      <c r="L222" s="6">
        <v>0</v>
      </c>
      <c r="M222" s="6">
        <v>0</v>
      </c>
      <c r="N222" s="6">
        <v>0</v>
      </c>
      <c r="O222" s="6">
        <v>0</v>
      </c>
      <c r="P222" s="6">
        <v>1</v>
      </c>
      <c r="Q222" s="4" t="s">
        <v>26</v>
      </c>
      <c r="R222" s="4">
        <v>0</v>
      </c>
      <c r="S222" s="4" t="s">
        <v>144</v>
      </c>
      <c r="U222" s="4">
        <v>16</v>
      </c>
      <c r="V222" s="4">
        <v>0</v>
      </c>
      <c r="W222" s="4">
        <v>0</v>
      </c>
    </row>
    <row r="223" spans="1:23" ht="11.25" customHeight="1" x14ac:dyDescent="0.25">
      <c r="A223" s="4" t="s">
        <v>21</v>
      </c>
      <c r="B223" s="4" t="s">
        <v>35</v>
      </c>
      <c r="C223" s="4" t="s">
        <v>36</v>
      </c>
      <c r="D223" s="4" t="s">
        <v>46</v>
      </c>
      <c r="E223" s="4" t="s">
        <v>47</v>
      </c>
      <c r="F223" s="4" t="s">
        <v>25</v>
      </c>
      <c r="G223" s="4" t="s">
        <v>25</v>
      </c>
      <c r="H223" s="4" t="s">
        <v>25</v>
      </c>
      <c r="I223" s="5">
        <v>44593</v>
      </c>
      <c r="J223" s="6">
        <v>84</v>
      </c>
      <c r="K223" s="6">
        <v>78.959999999999994</v>
      </c>
      <c r="L223" s="6">
        <v>0</v>
      </c>
      <c r="M223" s="6">
        <v>0</v>
      </c>
      <c r="N223" s="6">
        <v>0</v>
      </c>
      <c r="O223" s="6">
        <v>0</v>
      </c>
      <c r="P223" s="6">
        <v>1</v>
      </c>
      <c r="Q223" s="4" t="s">
        <v>26</v>
      </c>
      <c r="R223" s="4">
        <v>0</v>
      </c>
      <c r="S223" s="4" t="s">
        <v>145</v>
      </c>
      <c r="U223" s="4">
        <v>16</v>
      </c>
      <c r="V223" s="4">
        <v>0</v>
      </c>
      <c r="W223" s="4">
        <v>0</v>
      </c>
    </row>
    <row r="224" spans="1:23" ht="11.25" customHeight="1" x14ac:dyDescent="0.25">
      <c r="A224" s="4" t="s">
        <v>21</v>
      </c>
      <c r="B224" s="4" t="s">
        <v>35</v>
      </c>
      <c r="C224" s="4" t="s">
        <v>36</v>
      </c>
      <c r="D224" s="4" t="s">
        <v>46</v>
      </c>
      <c r="E224" s="4" t="s">
        <v>47</v>
      </c>
      <c r="F224" s="4" t="s">
        <v>25</v>
      </c>
      <c r="G224" s="4" t="s">
        <v>25</v>
      </c>
      <c r="H224" s="4" t="s">
        <v>25</v>
      </c>
      <c r="I224" s="5">
        <v>44621</v>
      </c>
      <c r="J224" s="6">
        <v>85</v>
      </c>
      <c r="K224" s="6">
        <v>79.900000000000006</v>
      </c>
      <c r="L224" s="6">
        <v>0</v>
      </c>
      <c r="M224" s="6">
        <v>0</v>
      </c>
      <c r="N224" s="6">
        <v>0</v>
      </c>
      <c r="O224" s="6">
        <v>0</v>
      </c>
      <c r="P224" s="6">
        <v>1</v>
      </c>
      <c r="Q224" s="4" t="s">
        <v>26</v>
      </c>
      <c r="R224" s="4">
        <v>0</v>
      </c>
      <c r="S224" s="4" t="s">
        <v>146</v>
      </c>
      <c r="U224" s="4">
        <v>16</v>
      </c>
      <c r="V224" s="4">
        <v>0</v>
      </c>
      <c r="W224" s="4">
        <v>0</v>
      </c>
    </row>
    <row r="225" spans="1:23" ht="11.25" customHeight="1" x14ac:dyDescent="0.25">
      <c r="A225" s="4" t="s">
        <v>21</v>
      </c>
      <c r="B225" s="4" t="s">
        <v>35</v>
      </c>
      <c r="C225" s="4" t="s">
        <v>36</v>
      </c>
      <c r="D225" s="4" t="s">
        <v>46</v>
      </c>
      <c r="E225" s="4" t="s">
        <v>47</v>
      </c>
      <c r="F225" s="4" t="s">
        <v>25</v>
      </c>
      <c r="G225" s="4" t="s">
        <v>25</v>
      </c>
      <c r="H225" s="4" t="s">
        <v>25</v>
      </c>
      <c r="I225" s="5">
        <v>44652</v>
      </c>
      <c r="J225" s="6">
        <v>87</v>
      </c>
      <c r="K225" s="6">
        <v>81.78</v>
      </c>
      <c r="L225" s="6">
        <v>0</v>
      </c>
      <c r="M225" s="6">
        <v>0</v>
      </c>
      <c r="N225" s="6">
        <v>0</v>
      </c>
      <c r="O225" s="6">
        <v>0</v>
      </c>
      <c r="P225" s="6">
        <v>1</v>
      </c>
      <c r="Q225" s="4" t="s">
        <v>26</v>
      </c>
      <c r="R225" s="4">
        <v>0</v>
      </c>
      <c r="S225" s="4" t="s">
        <v>147</v>
      </c>
      <c r="U225" s="4">
        <v>16</v>
      </c>
      <c r="V225" s="4">
        <v>0</v>
      </c>
      <c r="W225" s="4">
        <v>0</v>
      </c>
    </row>
    <row r="226" spans="1:23" ht="11.25" customHeight="1" x14ac:dyDescent="0.25">
      <c r="A226" s="4" t="s">
        <v>21</v>
      </c>
      <c r="B226" s="4" t="s">
        <v>35</v>
      </c>
      <c r="C226" s="4" t="s">
        <v>36</v>
      </c>
      <c r="D226" s="4" t="s">
        <v>46</v>
      </c>
      <c r="E226" s="4" t="s">
        <v>47</v>
      </c>
      <c r="F226" s="4" t="s">
        <v>25</v>
      </c>
      <c r="G226" s="4" t="s">
        <v>25</v>
      </c>
      <c r="H226" s="4" t="s">
        <v>25</v>
      </c>
      <c r="I226" s="5">
        <v>44682</v>
      </c>
      <c r="J226" s="6">
        <v>88</v>
      </c>
      <c r="K226" s="6">
        <v>82.72</v>
      </c>
      <c r="L226" s="6">
        <v>0</v>
      </c>
      <c r="M226" s="6">
        <v>0</v>
      </c>
      <c r="N226" s="6">
        <v>0</v>
      </c>
      <c r="O226" s="6">
        <v>0</v>
      </c>
      <c r="P226" s="6">
        <v>1</v>
      </c>
      <c r="Q226" s="4" t="s">
        <v>26</v>
      </c>
      <c r="R226" s="4">
        <v>0</v>
      </c>
      <c r="S226" s="4" t="s">
        <v>148</v>
      </c>
      <c r="U226" s="4">
        <v>16</v>
      </c>
      <c r="V226" s="4">
        <v>0</v>
      </c>
      <c r="W226" s="4">
        <v>0</v>
      </c>
    </row>
    <row r="227" spans="1:23" ht="11.25" customHeight="1" x14ac:dyDescent="0.25">
      <c r="A227" s="4" t="s">
        <v>21</v>
      </c>
      <c r="B227" s="4" t="s">
        <v>35</v>
      </c>
      <c r="C227" s="4" t="s">
        <v>36</v>
      </c>
      <c r="D227" s="4" t="s">
        <v>46</v>
      </c>
      <c r="E227" s="4" t="s">
        <v>47</v>
      </c>
      <c r="F227" s="4" t="s">
        <v>25</v>
      </c>
      <c r="G227" s="4" t="s">
        <v>25</v>
      </c>
      <c r="H227" s="4" t="s">
        <v>25</v>
      </c>
      <c r="I227" s="5">
        <v>44713</v>
      </c>
      <c r="J227" s="6">
        <v>88</v>
      </c>
      <c r="K227" s="6">
        <v>82.72</v>
      </c>
      <c r="L227" s="6">
        <v>0</v>
      </c>
      <c r="M227" s="6">
        <v>0</v>
      </c>
      <c r="N227" s="6">
        <v>0</v>
      </c>
      <c r="O227" s="6">
        <v>0</v>
      </c>
      <c r="P227" s="6">
        <v>1</v>
      </c>
      <c r="Q227" s="4" t="s">
        <v>26</v>
      </c>
      <c r="R227" s="4">
        <v>0</v>
      </c>
      <c r="S227" s="4" t="s">
        <v>149</v>
      </c>
      <c r="U227" s="4">
        <v>16</v>
      </c>
      <c r="V227" s="4">
        <v>0</v>
      </c>
      <c r="W227" s="4">
        <v>0</v>
      </c>
    </row>
    <row r="228" spans="1:23" ht="11.25" customHeight="1" x14ac:dyDescent="0.25">
      <c r="A228" s="4" t="s">
        <v>21</v>
      </c>
      <c r="B228" s="4" t="s">
        <v>35</v>
      </c>
      <c r="C228" s="4" t="s">
        <v>36</v>
      </c>
      <c r="D228" s="4" t="s">
        <v>46</v>
      </c>
      <c r="E228" s="4" t="s">
        <v>47</v>
      </c>
      <c r="F228" s="4" t="s">
        <v>25</v>
      </c>
      <c r="G228" s="4" t="s">
        <v>25</v>
      </c>
      <c r="H228" s="4" t="s">
        <v>25</v>
      </c>
      <c r="I228" s="5">
        <v>44743</v>
      </c>
      <c r="J228" s="6">
        <v>88</v>
      </c>
      <c r="K228" s="6">
        <v>82.72</v>
      </c>
      <c r="L228" s="6">
        <v>0</v>
      </c>
      <c r="M228" s="6">
        <v>0</v>
      </c>
      <c r="N228" s="6">
        <v>0</v>
      </c>
      <c r="O228" s="6">
        <v>0</v>
      </c>
      <c r="P228" s="6">
        <v>1</v>
      </c>
      <c r="Q228" s="4" t="s">
        <v>26</v>
      </c>
      <c r="R228" s="4">
        <v>0</v>
      </c>
      <c r="S228" s="4" t="s">
        <v>150</v>
      </c>
      <c r="U228" s="4">
        <v>16</v>
      </c>
      <c r="V228" s="4">
        <v>0</v>
      </c>
      <c r="W228" s="4">
        <v>0</v>
      </c>
    </row>
    <row r="229" spans="1:23" ht="11.25" customHeight="1" x14ac:dyDescent="0.25">
      <c r="A229" s="4" t="s">
        <v>21</v>
      </c>
      <c r="B229" s="4" t="s">
        <v>35</v>
      </c>
      <c r="C229" s="4" t="s">
        <v>36</v>
      </c>
      <c r="D229" s="4" t="s">
        <v>46</v>
      </c>
      <c r="E229" s="4" t="s">
        <v>47</v>
      </c>
      <c r="F229" s="4" t="s">
        <v>25</v>
      </c>
      <c r="G229" s="4" t="s">
        <v>25</v>
      </c>
      <c r="H229" s="4" t="s">
        <v>25</v>
      </c>
      <c r="I229" s="5">
        <v>44774</v>
      </c>
      <c r="J229" s="6">
        <v>88</v>
      </c>
      <c r="K229" s="6">
        <v>82.72</v>
      </c>
      <c r="L229" s="6">
        <v>0</v>
      </c>
      <c r="M229" s="6">
        <v>0</v>
      </c>
      <c r="N229" s="6">
        <v>0</v>
      </c>
      <c r="O229" s="6">
        <v>0</v>
      </c>
      <c r="P229" s="6">
        <v>1</v>
      </c>
      <c r="Q229" s="4" t="s">
        <v>26</v>
      </c>
      <c r="R229" s="4">
        <v>0</v>
      </c>
      <c r="S229" s="4" t="s">
        <v>151</v>
      </c>
      <c r="U229" s="4">
        <v>16</v>
      </c>
      <c r="V229" s="4">
        <v>0</v>
      </c>
      <c r="W229" s="4">
        <v>0</v>
      </c>
    </row>
    <row r="230" spans="1:23" ht="11.25" customHeight="1" x14ac:dyDescent="0.25">
      <c r="A230" s="4" t="s">
        <v>21</v>
      </c>
      <c r="B230" s="4" t="s">
        <v>35</v>
      </c>
      <c r="C230" s="4" t="s">
        <v>36</v>
      </c>
      <c r="D230" s="4" t="s">
        <v>46</v>
      </c>
      <c r="E230" s="4" t="s">
        <v>47</v>
      </c>
      <c r="F230" s="4" t="s">
        <v>25</v>
      </c>
      <c r="G230" s="4" t="s">
        <v>25</v>
      </c>
      <c r="H230" s="4" t="s">
        <v>37</v>
      </c>
      <c r="I230" s="5">
        <v>44440</v>
      </c>
      <c r="J230" s="6">
        <v>0</v>
      </c>
      <c r="K230" s="6">
        <v>0</v>
      </c>
      <c r="L230" s="6">
        <v>1.157</v>
      </c>
      <c r="M230" s="6">
        <v>1.08758</v>
      </c>
      <c r="N230" s="6">
        <v>1.157</v>
      </c>
      <c r="O230" s="6">
        <v>1.08758</v>
      </c>
      <c r="P230" s="6">
        <v>0</v>
      </c>
      <c r="Q230" s="4" t="s">
        <v>26</v>
      </c>
      <c r="R230" s="4">
        <v>0</v>
      </c>
      <c r="S230" s="4" t="s">
        <v>152</v>
      </c>
      <c r="T230" s="4" t="s">
        <v>273</v>
      </c>
      <c r="U230" s="4">
        <v>0</v>
      </c>
      <c r="V230" s="4">
        <v>25</v>
      </c>
      <c r="W230" s="4">
        <v>44</v>
      </c>
    </row>
    <row r="231" spans="1:23" ht="11.25" customHeight="1" x14ac:dyDescent="0.25">
      <c r="A231" s="4" t="s">
        <v>21</v>
      </c>
      <c r="B231" s="4" t="s">
        <v>35</v>
      </c>
      <c r="C231" s="4" t="s">
        <v>36</v>
      </c>
      <c r="D231" s="4" t="s">
        <v>46</v>
      </c>
      <c r="E231" s="4" t="s">
        <v>47</v>
      </c>
      <c r="F231" s="4" t="s">
        <v>25</v>
      </c>
      <c r="G231" s="4" t="s">
        <v>25</v>
      </c>
      <c r="H231" s="4" t="s">
        <v>37</v>
      </c>
      <c r="I231" s="5">
        <v>44470</v>
      </c>
      <c r="J231" s="6">
        <v>0</v>
      </c>
      <c r="K231" s="6">
        <v>0</v>
      </c>
      <c r="L231" s="6">
        <v>2.4889999999999999</v>
      </c>
      <c r="M231" s="6">
        <v>2.3396599999999999</v>
      </c>
      <c r="N231" s="6">
        <v>2.4889999999999999</v>
      </c>
      <c r="O231" s="6">
        <v>2.3396599999999999</v>
      </c>
      <c r="P231" s="6">
        <v>0</v>
      </c>
      <c r="Q231" s="4" t="s">
        <v>26</v>
      </c>
      <c r="R231" s="4">
        <v>0</v>
      </c>
      <c r="S231" s="4" t="s">
        <v>153</v>
      </c>
      <c r="T231" s="4" t="s">
        <v>274</v>
      </c>
      <c r="U231" s="4">
        <v>0</v>
      </c>
      <c r="V231" s="4">
        <v>25</v>
      </c>
      <c r="W231" s="4">
        <v>44</v>
      </c>
    </row>
    <row r="232" spans="1:23" ht="11.25" customHeight="1" x14ac:dyDescent="0.25">
      <c r="A232" s="4" t="s">
        <v>21</v>
      </c>
      <c r="B232" s="4" t="s">
        <v>35</v>
      </c>
      <c r="C232" s="4" t="s">
        <v>36</v>
      </c>
      <c r="D232" s="4" t="s">
        <v>46</v>
      </c>
      <c r="E232" s="4" t="s">
        <v>47</v>
      </c>
      <c r="F232" s="4" t="s">
        <v>25</v>
      </c>
      <c r="G232" s="4" t="s">
        <v>25</v>
      </c>
      <c r="H232" s="4" t="s">
        <v>37</v>
      </c>
      <c r="I232" s="5">
        <v>44501</v>
      </c>
      <c r="J232" s="6">
        <v>0</v>
      </c>
      <c r="K232" s="6">
        <v>0</v>
      </c>
      <c r="L232" s="6">
        <v>4.4770000000000003</v>
      </c>
      <c r="M232" s="6">
        <v>4.20838</v>
      </c>
      <c r="N232" s="6">
        <v>4.4770000000000003</v>
      </c>
      <c r="O232" s="6">
        <v>4.20838</v>
      </c>
      <c r="P232" s="6">
        <v>0</v>
      </c>
      <c r="Q232" s="4" t="s">
        <v>26</v>
      </c>
      <c r="R232" s="4">
        <v>0</v>
      </c>
      <c r="S232" s="4" t="s">
        <v>154</v>
      </c>
      <c r="T232" s="4" t="s">
        <v>275</v>
      </c>
      <c r="U232" s="4">
        <v>0</v>
      </c>
      <c r="V232" s="4">
        <v>25</v>
      </c>
      <c r="W232" s="4">
        <v>44</v>
      </c>
    </row>
    <row r="233" spans="1:23" ht="11.25" customHeight="1" x14ac:dyDescent="0.25">
      <c r="A233" s="4" t="s">
        <v>21</v>
      </c>
      <c r="B233" s="4" t="s">
        <v>35</v>
      </c>
      <c r="C233" s="4" t="s">
        <v>36</v>
      </c>
      <c r="D233" s="4" t="s">
        <v>46</v>
      </c>
      <c r="E233" s="4" t="s">
        <v>47</v>
      </c>
      <c r="F233" s="4" t="s">
        <v>25</v>
      </c>
      <c r="G233" s="4" t="s">
        <v>25</v>
      </c>
      <c r="H233" s="4" t="s">
        <v>37</v>
      </c>
      <c r="I233" s="5">
        <v>44531</v>
      </c>
      <c r="J233" s="6">
        <v>0</v>
      </c>
      <c r="K233" s="6">
        <v>0</v>
      </c>
      <c r="L233" s="6">
        <v>5.694</v>
      </c>
      <c r="M233" s="6">
        <v>5.35236</v>
      </c>
      <c r="N233" s="6">
        <v>5.694</v>
      </c>
      <c r="O233" s="6">
        <v>5.35236</v>
      </c>
      <c r="P233" s="6">
        <v>0</v>
      </c>
      <c r="Q233" s="4" t="s">
        <v>26</v>
      </c>
      <c r="R233" s="4">
        <v>0</v>
      </c>
      <c r="S233" s="4" t="s">
        <v>155</v>
      </c>
      <c r="T233" s="4" t="s">
        <v>276</v>
      </c>
      <c r="U233" s="4">
        <v>0</v>
      </c>
      <c r="V233" s="4">
        <v>25</v>
      </c>
      <c r="W233" s="4">
        <v>44</v>
      </c>
    </row>
    <row r="234" spans="1:23" ht="11.25" customHeight="1" x14ac:dyDescent="0.25">
      <c r="A234" s="4" t="s">
        <v>21</v>
      </c>
      <c r="B234" s="4" t="s">
        <v>35</v>
      </c>
      <c r="C234" s="4" t="s">
        <v>36</v>
      </c>
      <c r="D234" s="4" t="s">
        <v>46</v>
      </c>
      <c r="E234" s="4" t="s">
        <v>47</v>
      </c>
      <c r="F234" s="4" t="s">
        <v>25</v>
      </c>
      <c r="G234" s="4" t="s">
        <v>25</v>
      </c>
      <c r="H234" s="4" t="s">
        <v>37</v>
      </c>
      <c r="I234" s="5">
        <v>44562</v>
      </c>
      <c r="J234" s="6">
        <v>0</v>
      </c>
      <c r="K234" s="6">
        <v>0</v>
      </c>
      <c r="L234" s="6">
        <v>4.8470000000000004</v>
      </c>
      <c r="M234" s="6">
        <v>4.5561800000000003</v>
      </c>
      <c r="N234" s="6">
        <v>4.8470000000000004</v>
      </c>
      <c r="O234" s="6">
        <v>4.5561800000000003</v>
      </c>
      <c r="P234" s="6">
        <v>0</v>
      </c>
      <c r="Q234" s="4" t="s">
        <v>26</v>
      </c>
      <c r="R234" s="4">
        <v>0</v>
      </c>
      <c r="S234" s="4" t="s">
        <v>156</v>
      </c>
      <c r="T234" s="4" t="s">
        <v>277</v>
      </c>
      <c r="U234" s="4">
        <v>0</v>
      </c>
      <c r="V234" s="4">
        <v>25</v>
      </c>
      <c r="W234" s="4">
        <v>44</v>
      </c>
    </row>
    <row r="235" spans="1:23" ht="11.25" customHeight="1" x14ac:dyDescent="0.25">
      <c r="A235" s="4" t="s">
        <v>21</v>
      </c>
      <c r="B235" s="4" t="s">
        <v>35</v>
      </c>
      <c r="C235" s="4" t="s">
        <v>36</v>
      </c>
      <c r="D235" s="4" t="s">
        <v>46</v>
      </c>
      <c r="E235" s="4" t="s">
        <v>47</v>
      </c>
      <c r="F235" s="4" t="s">
        <v>25</v>
      </c>
      <c r="G235" s="4" t="s">
        <v>25</v>
      </c>
      <c r="H235" s="4" t="s">
        <v>37</v>
      </c>
      <c r="I235" s="5">
        <v>44593</v>
      </c>
      <c r="J235" s="6">
        <v>0</v>
      </c>
      <c r="K235" s="6">
        <v>0</v>
      </c>
      <c r="L235" s="6">
        <v>4.827</v>
      </c>
      <c r="M235" s="6">
        <v>4.5373799999999997</v>
      </c>
      <c r="N235" s="6">
        <v>4.827</v>
      </c>
      <c r="O235" s="6">
        <v>4.5373799999999997</v>
      </c>
      <c r="P235" s="6">
        <v>0</v>
      </c>
      <c r="Q235" s="4" t="s">
        <v>26</v>
      </c>
      <c r="R235" s="4">
        <v>0</v>
      </c>
      <c r="S235" s="4" t="s">
        <v>157</v>
      </c>
      <c r="T235" s="4" t="s">
        <v>278</v>
      </c>
      <c r="U235" s="4">
        <v>0</v>
      </c>
      <c r="V235" s="4">
        <v>25</v>
      </c>
      <c r="W235" s="4">
        <v>44</v>
      </c>
    </row>
    <row r="236" spans="1:23" ht="11.25" customHeight="1" x14ac:dyDescent="0.25">
      <c r="A236" s="4" t="s">
        <v>21</v>
      </c>
      <c r="B236" s="4" t="s">
        <v>35</v>
      </c>
      <c r="C236" s="4" t="s">
        <v>36</v>
      </c>
      <c r="D236" s="4" t="s">
        <v>46</v>
      </c>
      <c r="E236" s="4" t="s">
        <v>47</v>
      </c>
      <c r="F236" s="4" t="s">
        <v>25</v>
      </c>
      <c r="G236" s="4" t="s">
        <v>25</v>
      </c>
      <c r="H236" s="4" t="s">
        <v>37</v>
      </c>
      <c r="I236" s="5">
        <v>44621</v>
      </c>
      <c r="J236" s="6">
        <v>0</v>
      </c>
      <c r="K236" s="6">
        <v>0</v>
      </c>
      <c r="L236" s="6">
        <v>5.0430000000000001</v>
      </c>
      <c r="M236" s="6">
        <v>4.7404200000000003</v>
      </c>
      <c r="N236" s="6">
        <v>5.0430000000000001</v>
      </c>
      <c r="O236" s="6">
        <v>4.7404200000000003</v>
      </c>
      <c r="P236" s="6">
        <v>0</v>
      </c>
      <c r="Q236" s="4" t="s">
        <v>26</v>
      </c>
      <c r="R236" s="4">
        <v>0</v>
      </c>
      <c r="S236" s="4" t="s">
        <v>158</v>
      </c>
      <c r="T236" s="4" t="s">
        <v>279</v>
      </c>
      <c r="U236" s="4">
        <v>0</v>
      </c>
      <c r="V236" s="4">
        <v>25</v>
      </c>
      <c r="W236" s="4">
        <v>44</v>
      </c>
    </row>
    <row r="237" spans="1:23" ht="11.25" customHeight="1" x14ac:dyDescent="0.25">
      <c r="A237" s="4" t="s">
        <v>21</v>
      </c>
      <c r="B237" s="4" t="s">
        <v>35</v>
      </c>
      <c r="C237" s="4" t="s">
        <v>36</v>
      </c>
      <c r="D237" s="4" t="s">
        <v>46</v>
      </c>
      <c r="E237" s="4" t="s">
        <v>47</v>
      </c>
      <c r="F237" s="4" t="s">
        <v>25</v>
      </c>
      <c r="G237" s="4" t="s">
        <v>25</v>
      </c>
      <c r="H237" s="4" t="s">
        <v>37</v>
      </c>
      <c r="I237" s="5">
        <v>44652</v>
      </c>
      <c r="J237" s="6">
        <v>0</v>
      </c>
      <c r="K237" s="6">
        <v>0</v>
      </c>
      <c r="L237" s="6">
        <v>3.74</v>
      </c>
      <c r="M237" s="6">
        <v>3.5156000000000001</v>
      </c>
      <c r="N237" s="6">
        <v>3.74</v>
      </c>
      <c r="O237" s="6">
        <v>3.5156000000000001</v>
      </c>
      <c r="P237" s="6">
        <v>0</v>
      </c>
      <c r="Q237" s="4" t="s">
        <v>26</v>
      </c>
      <c r="R237" s="4">
        <v>0</v>
      </c>
      <c r="S237" s="4" t="s">
        <v>159</v>
      </c>
      <c r="T237" s="4" t="s">
        <v>280</v>
      </c>
      <c r="U237" s="4">
        <v>0</v>
      </c>
      <c r="V237" s="4">
        <v>25</v>
      </c>
      <c r="W237" s="4">
        <v>44</v>
      </c>
    </row>
    <row r="238" spans="1:23" ht="11.25" customHeight="1" x14ac:dyDescent="0.25">
      <c r="A238" s="4" t="s">
        <v>21</v>
      </c>
      <c r="B238" s="4" t="s">
        <v>35</v>
      </c>
      <c r="C238" s="4" t="s">
        <v>36</v>
      </c>
      <c r="D238" s="4" t="s">
        <v>46</v>
      </c>
      <c r="E238" s="4" t="s">
        <v>47</v>
      </c>
      <c r="F238" s="4" t="s">
        <v>25</v>
      </c>
      <c r="G238" s="4" t="s">
        <v>25</v>
      </c>
      <c r="H238" s="4" t="s">
        <v>37</v>
      </c>
      <c r="I238" s="5">
        <v>44682</v>
      </c>
      <c r="J238" s="6">
        <v>0</v>
      </c>
      <c r="K238" s="6">
        <v>0</v>
      </c>
      <c r="L238" s="6">
        <v>0.52400000000000002</v>
      </c>
      <c r="M238" s="6">
        <v>0.49256</v>
      </c>
      <c r="N238" s="6">
        <v>0.52400000000000002</v>
      </c>
      <c r="O238" s="6">
        <v>0.49256</v>
      </c>
      <c r="P238" s="6">
        <v>0</v>
      </c>
      <c r="Q238" s="4" t="s">
        <v>26</v>
      </c>
      <c r="R238" s="4">
        <v>0</v>
      </c>
      <c r="S238" s="4" t="s">
        <v>160</v>
      </c>
      <c r="T238" s="4" t="s">
        <v>281</v>
      </c>
      <c r="U238" s="4">
        <v>0</v>
      </c>
      <c r="V238" s="4">
        <v>25</v>
      </c>
      <c r="W238" s="4">
        <v>44</v>
      </c>
    </row>
    <row r="239" spans="1:23" ht="11.25" customHeight="1" x14ac:dyDescent="0.25">
      <c r="A239" s="4" t="s">
        <v>21</v>
      </c>
      <c r="B239" s="4" t="s">
        <v>35</v>
      </c>
      <c r="C239" s="4" t="s">
        <v>36</v>
      </c>
      <c r="D239" s="4" t="s">
        <v>46</v>
      </c>
      <c r="E239" s="4" t="s">
        <v>47</v>
      </c>
      <c r="F239" s="4" t="s">
        <v>25</v>
      </c>
      <c r="G239" s="4" t="s">
        <v>25</v>
      </c>
      <c r="H239" s="4" t="s">
        <v>37</v>
      </c>
      <c r="I239" s="5">
        <v>44743</v>
      </c>
      <c r="J239" s="6">
        <v>0</v>
      </c>
      <c r="K239" s="6">
        <v>0</v>
      </c>
      <c r="L239" s="6">
        <v>0.77600000000000002</v>
      </c>
      <c r="M239" s="6">
        <v>0.72943999999999998</v>
      </c>
      <c r="N239" s="6">
        <v>0.77600000000000002</v>
      </c>
      <c r="O239" s="6">
        <v>0.72943999999999998</v>
      </c>
      <c r="P239" s="6">
        <v>0</v>
      </c>
      <c r="Q239" s="4" t="s">
        <v>26</v>
      </c>
      <c r="R239" s="4">
        <v>0</v>
      </c>
      <c r="S239" s="4" t="s">
        <v>162</v>
      </c>
      <c r="T239" s="4" t="s">
        <v>283</v>
      </c>
      <c r="U239" s="4">
        <v>0</v>
      </c>
      <c r="V239" s="4">
        <v>25</v>
      </c>
      <c r="W239" s="4">
        <v>44</v>
      </c>
    </row>
    <row r="240" spans="1:23" ht="11.25" customHeight="1" x14ac:dyDescent="0.25">
      <c r="A240" s="4" t="s">
        <v>21</v>
      </c>
      <c r="B240" s="4" t="s">
        <v>35</v>
      </c>
      <c r="C240" s="4" t="s">
        <v>36</v>
      </c>
      <c r="D240" s="4" t="s">
        <v>46</v>
      </c>
      <c r="E240" s="4" t="s">
        <v>47</v>
      </c>
      <c r="F240" s="4" t="s">
        <v>25</v>
      </c>
      <c r="G240" s="4" t="s">
        <v>25</v>
      </c>
      <c r="H240" s="4" t="s">
        <v>37</v>
      </c>
      <c r="I240" s="5">
        <v>44774</v>
      </c>
      <c r="J240" s="6">
        <v>0</v>
      </c>
      <c r="K240" s="6">
        <v>0</v>
      </c>
      <c r="L240" s="6">
        <v>2.86</v>
      </c>
      <c r="M240" s="6">
        <v>2.6884000000000001</v>
      </c>
      <c r="N240" s="6">
        <v>2.86</v>
      </c>
      <c r="O240" s="6">
        <v>2.6884000000000001</v>
      </c>
      <c r="P240" s="6">
        <v>0</v>
      </c>
      <c r="Q240" s="4" t="s">
        <v>26</v>
      </c>
      <c r="R240" s="4">
        <v>0</v>
      </c>
      <c r="S240" s="4" t="s">
        <v>163</v>
      </c>
      <c r="T240" s="4" t="s">
        <v>284</v>
      </c>
      <c r="U240" s="4">
        <v>0</v>
      </c>
      <c r="V240" s="4">
        <v>25</v>
      </c>
      <c r="W240" s="4">
        <v>44</v>
      </c>
    </row>
    <row r="241" spans="1:23" ht="11.25" customHeight="1" x14ac:dyDescent="0.25">
      <c r="A241" s="4" t="s">
        <v>21</v>
      </c>
      <c r="B241" s="4" t="s">
        <v>22</v>
      </c>
      <c r="C241" s="4" t="s">
        <v>23</v>
      </c>
      <c r="D241" s="4" t="s">
        <v>24</v>
      </c>
      <c r="E241" s="4" t="s">
        <v>24</v>
      </c>
      <c r="F241" s="4" t="s">
        <v>25</v>
      </c>
      <c r="G241" s="4" t="s">
        <v>25</v>
      </c>
      <c r="H241" s="4" t="s">
        <v>25</v>
      </c>
      <c r="I241" s="5">
        <v>44440</v>
      </c>
      <c r="J241" s="6">
        <v>0</v>
      </c>
      <c r="K241" s="6">
        <v>0</v>
      </c>
      <c r="L241" s="6">
        <v>753.95</v>
      </c>
      <c r="M241" s="6">
        <v>753.95</v>
      </c>
      <c r="N241" s="6">
        <v>753.95</v>
      </c>
      <c r="O241" s="6">
        <v>753.95</v>
      </c>
      <c r="P241" s="6">
        <v>4009</v>
      </c>
      <c r="Q241" s="4" t="s">
        <v>26</v>
      </c>
      <c r="R241" s="4">
        <v>0</v>
      </c>
      <c r="S241" s="4" t="s">
        <v>164</v>
      </c>
      <c r="T241" s="4" t="s">
        <v>289</v>
      </c>
      <c r="U241" s="4">
        <v>0</v>
      </c>
      <c r="V241" s="4">
        <v>2</v>
      </c>
      <c r="W241" s="4">
        <v>32</v>
      </c>
    </row>
    <row r="242" spans="1:23" ht="11.25" customHeight="1" x14ac:dyDescent="0.25">
      <c r="A242" s="4" t="s">
        <v>27</v>
      </c>
      <c r="B242" s="4" t="s">
        <v>22</v>
      </c>
      <c r="C242" s="4" t="s">
        <v>23</v>
      </c>
      <c r="D242" s="4" t="s">
        <v>24</v>
      </c>
      <c r="E242" s="4" t="s">
        <v>24</v>
      </c>
      <c r="F242" s="4" t="s">
        <v>25</v>
      </c>
      <c r="G242" s="4" t="s">
        <v>25</v>
      </c>
      <c r="H242" s="4" t="s">
        <v>25</v>
      </c>
      <c r="I242" s="5">
        <v>44440</v>
      </c>
      <c r="J242" s="6">
        <v>0</v>
      </c>
      <c r="K242" s="6">
        <v>0</v>
      </c>
      <c r="L242" s="6">
        <v>-0.61199999999999999</v>
      </c>
      <c r="M242" s="6">
        <v>-0.61199999999999999</v>
      </c>
      <c r="N242" s="6">
        <v>-0.61199999999999999</v>
      </c>
      <c r="O242" s="6">
        <v>-0.61199999999999999</v>
      </c>
      <c r="P242" s="6">
        <v>0</v>
      </c>
      <c r="Q242" s="4" t="s">
        <v>26</v>
      </c>
      <c r="R242" s="4">
        <v>0</v>
      </c>
      <c r="S242" s="4" t="s">
        <v>164</v>
      </c>
      <c r="T242" s="4" t="s">
        <v>289</v>
      </c>
      <c r="U242" s="4">
        <v>0</v>
      </c>
      <c r="V242" s="4">
        <v>2</v>
      </c>
      <c r="W242" s="4">
        <v>32</v>
      </c>
    </row>
    <row r="243" spans="1:23" ht="11.25" customHeight="1" x14ac:dyDescent="0.25">
      <c r="A243" s="4" t="s">
        <v>28</v>
      </c>
      <c r="B243" s="4" t="s">
        <v>22</v>
      </c>
      <c r="C243" s="4" t="s">
        <v>23</v>
      </c>
      <c r="D243" s="4" t="s">
        <v>24</v>
      </c>
      <c r="E243" s="4" t="s">
        <v>24</v>
      </c>
      <c r="F243" s="4" t="s">
        <v>25</v>
      </c>
      <c r="G243" s="4" t="s">
        <v>25</v>
      </c>
      <c r="H243" s="4" t="s">
        <v>25</v>
      </c>
      <c r="I243" s="5">
        <v>44440</v>
      </c>
      <c r="J243" s="6">
        <v>0</v>
      </c>
      <c r="K243" s="6">
        <v>0</v>
      </c>
      <c r="L243" s="6">
        <v>10.151</v>
      </c>
      <c r="M243" s="6">
        <v>10.151</v>
      </c>
      <c r="N243" s="6">
        <v>10.151</v>
      </c>
      <c r="O243" s="6">
        <v>10.151</v>
      </c>
      <c r="P243" s="6">
        <v>83</v>
      </c>
      <c r="Q243" s="4" t="s">
        <v>26</v>
      </c>
      <c r="R243" s="4">
        <v>0</v>
      </c>
      <c r="S243" s="4" t="s">
        <v>164</v>
      </c>
      <c r="T243" s="4" t="s">
        <v>289</v>
      </c>
      <c r="U243" s="4">
        <v>0</v>
      </c>
      <c r="V243" s="4">
        <v>2</v>
      </c>
      <c r="W243" s="4">
        <v>32</v>
      </c>
    </row>
    <row r="244" spans="1:23" ht="11.25" customHeight="1" x14ac:dyDescent="0.25">
      <c r="A244" s="4" t="s">
        <v>21</v>
      </c>
      <c r="B244" s="4" t="s">
        <v>22</v>
      </c>
      <c r="C244" s="4" t="s">
        <v>23</v>
      </c>
      <c r="D244" s="4" t="s">
        <v>24</v>
      </c>
      <c r="E244" s="4" t="s">
        <v>24</v>
      </c>
      <c r="F244" s="4" t="s">
        <v>25</v>
      </c>
      <c r="G244" s="4" t="s">
        <v>25</v>
      </c>
      <c r="H244" s="4" t="s">
        <v>25</v>
      </c>
      <c r="I244" s="5">
        <v>44470</v>
      </c>
      <c r="J244" s="6">
        <v>0</v>
      </c>
      <c r="K244" s="6">
        <v>0</v>
      </c>
      <c r="L244" s="6">
        <v>783.37</v>
      </c>
      <c r="M244" s="6">
        <v>783.37</v>
      </c>
      <c r="N244" s="6">
        <v>783.37</v>
      </c>
      <c r="O244" s="6">
        <v>783.37</v>
      </c>
      <c r="P244" s="6">
        <v>4027</v>
      </c>
      <c r="Q244" s="4" t="s">
        <v>26</v>
      </c>
      <c r="R244" s="4">
        <v>0</v>
      </c>
      <c r="S244" s="4" t="s">
        <v>165</v>
      </c>
      <c r="T244" s="4" t="s">
        <v>290</v>
      </c>
      <c r="U244" s="4">
        <v>0</v>
      </c>
      <c r="V244" s="4">
        <v>2</v>
      </c>
      <c r="W244" s="4">
        <v>32</v>
      </c>
    </row>
    <row r="245" spans="1:23" ht="11.25" customHeight="1" x14ac:dyDescent="0.25">
      <c r="A245" s="4" t="s">
        <v>27</v>
      </c>
      <c r="B245" s="4" t="s">
        <v>22</v>
      </c>
      <c r="C245" s="4" t="s">
        <v>23</v>
      </c>
      <c r="D245" s="4" t="s">
        <v>24</v>
      </c>
      <c r="E245" s="4" t="s">
        <v>24</v>
      </c>
      <c r="F245" s="4" t="s">
        <v>25</v>
      </c>
      <c r="G245" s="4" t="s">
        <v>25</v>
      </c>
      <c r="H245" s="4" t="s">
        <v>25</v>
      </c>
      <c r="I245" s="5">
        <v>44470</v>
      </c>
      <c r="J245" s="6">
        <v>0</v>
      </c>
      <c r="K245" s="6">
        <v>0</v>
      </c>
      <c r="L245" s="6">
        <v>-0.27800000000000002</v>
      </c>
      <c r="M245" s="6">
        <v>-0.27800000000000002</v>
      </c>
      <c r="N245" s="6">
        <v>-0.27800000000000002</v>
      </c>
      <c r="O245" s="6">
        <v>-0.27800000000000002</v>
      </c>
      <c r="P245" s="6">
        <v>0</v>
      </c>
      <c r="Q245" s="4" t="s">
        <v>26</v>
      </c>
      <c r="R245" s="4">
        <v>0</v>
      </c>
      <c r="S245" s="4" t="s">
        <v>165</v>
      </c>
      <c r="T245" s="4" t="s">
        <v>290</v>
      </c>
      <c r="U245" s="4">
        <v>0</v>
      </c>
      <c r="V245" s="4">
        <v>2</v>
      </c>
      <c r="W245" s="4">
        <v>32</v>
      </c>
    </row>
    <row r="246" spans="1:23" ht="11.25" customHeight="1" x14ac:dyDescent="0.25">
      <c r="A246" s="4" t="s">
        <v>28</v>
      </c>
      <c r="B246" s="4" t="s">
        <v>22</v>
      </c>
      <c r="C246" s="4" t="s">
        <v>23</v>
      </c>
      <c r="D246" s="4" t="s">
        <v>24</v>
      </c>
      <c r="E246" s="4" t="s">
        <v>24</v>
      </c>
      <c r="F246" s="4" t="s">
        <v>25</v>
      </c>
      <c r="G246" s="4" t="s">
        <v>25</v>
      </c>
      <c r="H246" s="4" t="s">
        <v>25</v>
      </c>
      <c r="I246" s="5">
        <v>44470</v>
      </c>
      <c r="J246" s="6">
        <v>0</v>
      </c>
      <c r="K246" s="6">
        <v>0</v>
      </c>
      <c r="L246" s="6">
        <v>10.542</v>
      </c>
      <c r="M246" s="6">
        <v>10.542</v>
      </c>
      <c r="N246" s="6">
        <v>10.542</v>
      </c>
      <c r="O246" s="6">
        <v>10.542</v>
      </c>
      <c r="P246" s="6">
        <v>84</v>
      </c>
      <c r="Q246" s="4" t="s">
        <v>26</v>
      </c>
      <c r="R246" s="4">
        <v>0</v>
      </c>
      <c r="S246" s="4" t="s">
        <v>165</v>
      </c>
      <c r="T246" s="4" t="s">
        <v>290</v>
      </c>
      <c r="U246" s="4">
        <v>0</v>
      </c>
      <c r="V246" s="4">
        <v>2</v>
      </c>
      <c r="W246" s="4">
        <v>32</v>
      </c>
    </row>
    <row r="247" spans="1:23" ht="11.25" customHeight="1" x14ac:dyDescent="0.25">
      <c r="A247" s="4" t="s">
        <v>28</v>
      </c>
      <c r="B247" s="4" t="s">
        <v>22</v>
      </c>
      <c r="C247" s="4" t="s">
        <v>23</v>
      </c>
      <c r="D247" s="4" t="s">
        <v>24</v>
      </c>
      <c r="E247" s="4" t="s">
        <v>24</v>
      </c>
      <c r="F247" s="4" t="s">
        <v>25</v>
      </c>
      <c r="G247" s="4" t="s">
        <v>25</v>
      </c>
      <c r="H247" s="4" t="s">
        <v>25</v>
      </c>
      <c r="I247" s="5">
        <v>44470</v>
      </c>
      <c r="J247" s="6">
        <v>0</v>
      </c>
      <c r="K247" s="6">
        <v>0</v>
      </c>
      <c r="L247" s="6">
        <v>-0.30599999999999999</v>
      </c>
      <c r="M247" s="6">
        <v>-0.30599999999999999</v>
      </c>
      <c r="N247" s="6">
        <v>-0.30599999999999999</v>
      </c>
      <c r="O247" s="6">
        <v>-0.30599999999999999</v>
      </c>
      <c r="P247" s="6">
        <v>2</v>
      </c>
      <c r="Q247" s="4" t="s">
        <v>26</v>
      </c>
      <c r="R247" s="4">
        <v>0</v>
      </c>
      <c r="S247" s="4" t="s">
        <v>165</v>
      </c>
      <c r="T247" s="4" t="s">
        <v>290</v>
      </c>
      <c r="U247" s="4">
        <v>0</v>
      </c>
      <c r="V247" s="4">
        <v>2</v>
      </c>
      <c r="W247" s="4">
        <v>32</v>
      </c>
    </row>
    <row r="248" spans="1:23" ht="11.25" customHeight="1" x14ac:dyDescent="0.25">
      <c r="A248" s="4" t="s">
        <v>21</v>
      </c>
      <c r="B248" s="4" t="s">
        <v>22</v>
      </c>
      <c r="C248" s="4" t="s">
        <v>23</v>
      </c>
      <c r="D248" s="4" t="s">
        <v>24</v>
      </c>
      <c r="E248" s="4" t="s">
        <v>24</v>
      </c>
      <c r="F248" s="4" t="s">
        <v>25</v>
      </c>
      <c r="G248" s="4" t="s">
        <v>25</v>
      </c>
      <c r="H248" s="4" t="s">
        <v>25</v>
      </c>
      <c r="I248" s="5">
        <v>44501</v>
      </c>
      <c r="J248" s="6">
        <v>0</v>
      </c>
      <c r="K248" s="6">
        <v>0</v>
      </c>
      <c r="L248" s="6">
        <v>774.56399999999996</v>
      </c>
      <c r="M248" s="6">
        <v>774.56399999999996</v>
      </c>
      <c r="N248" s="6">
        <v>774.56399999999996</v>
      </c>
      <c r="O248" s="6">
        <v>774.56399999999996</v>
      </c>
      <c r="P248" s="6">
        <v>4048</v>
      </c>
      <c r="Q248" s="4" t="s">
        <v>26</v>
      </c>
      <c r="R248" s="4">
        <v>0</v>
      </c>
      <c r="S248" s="4" t="s">
        <v>166</v>
      </c>
      <c r="T248" s="4" t="s">
        <v>291</v>
      </c>
      <c r="U248" s="4">
        <v>0</v>
      </c>
      <c r="V248" s="4">
        <v>2</v>
      </c>
      <c r="W248" s="4">
        <v>32</v>
      </c>
    </row>
    <row r="249" spans="1:23" ht="11.25" customHeight="1" x14ac:dyDescent="0.25">
      <c r="A249" s="4" t="s">
        <v>27</v>
      </c>
      <c r="B249" s="4" t="s">
        <v>22</v>
      </c>
      <c r="C249" s="4" t="s">
        <v>23</v>
      </c>
      <c r="D249" s="4" t="s">
        <v>24</v>
      </c>
      <c r="E249" s="4" t="s">
        <v>24</v>
      </c>
      <c r="F249" s="4" t="s">
        <v>25</v>
      </c>
      <c r="G249" s="4" t="s">
        <v>25</v>
      </c>
      <c r="H249" s="4" t="s">
        <v>25</v>
      </c>
      <c r="I249" s="5">
        <v>44501</v>
      </c>
      <c r="J249" s="6">
        <v>0</v>
      </c>
      <c r="K249" s="6">
        <v>0</v>
      </c>
      <c r="L249" s="6">
        <v>-0.14099999999999999</v>
      </c>
      <c r="M249" s="6">
        <v>-0.14099999999999999</v>
      </c>
      <c r="N249" s="6">
        <v>-0.14099999999999999</v>
      </c>
      <c r="O249" s="6">
        <v>-0.14099999999999999</v>
      </c>
      <c r="P249" s="6">
        <v>0</v>
      </c>
      <c r="Q249" s="4" t="s">
        <v>26</v>
      </c>
      <c r="R249" s="4">
        <v>0</v>
      </c>
      <c r="S249" s="4" t="s">
        <v>166</v>
      </c>
      <c r="T249" s="4" t="s">
        <v>291</v>
      </c>
      <c r="U249" s="4">
        <v>0</v>
      </c>
      <c r="V249" s="4">
        <v>2</v>
      </c>
      <c r="W249" s="4">
        <v>32</v>
      </c>
    </row>
    <row r="250" spans="1:23" ht="11.25" customHeight="1" x14ac:dyDescent="0.25">
      <c r="A250" s="4" t="s">
        <v>28</v>
      </c>
      <c r="B250" s="4" t="s">
        <v>22</v>
      </c>
      <c r="C250" s="4" t="s">
        <v>23</v>
      </c>
      <c r="D250" s="4" t="s">
        <v>24</v>
      </c>
      <c r="E250" s="4" t="s">
        <v>24</v>
      </c>
      <c r="F250" s="4" t="s">
        <v>25</v>
      </c>
      <c r="G250" s="4" t="s">
        <v>25</v>
      </c>
      <c r="H250" s="4" t="s">
        <v>25</v>
      </c>
      <c r="I250" s="5">
        <v>44501</v>
      </c>
      <c r="J250" s="6">
        <v>0</v>
      </c>
      <c r="K250" s="6">
        <v>0</v>
      </c>
      <c r="L250" s="6">
        <v>7.3639999999999999</v>
      </c>
      <c r="M250" s="6">
        <v>7.3639999999999999</v>
      </c>
      <c r="N250" s="6">
        <v>7.3639999999999999</v>
      </c>
      <c r="O250" s="6">
        <v>7.3639999999999999</v>
      </c>
      <c r="P250" s="6">
        <v>95</v>
      </c>
      <c r="Q250" s="4" t="s">
        <v>26</v>
      </c>
      <c r="R250" s="4">
        <v>0</v>
      </c>
      <c r="S250" s="4" t="s">
        <v>166</v>
      </c>
      <c r="T250" s="4" t="s">
        <v>291</v>
      </c>
      <c r="U250" s="4">
        <v>0</v>
      </c>
      <c r="V250" s="4">
        <v>2</v>
      </c>
      <c r="W250" s="4">
        <v>32</v>
      </c>
    </row>
    <row r="251" spans="1:23" ht="11.25" customHeight="1" x14ac:dyDescent="0.25">
      <c r="A251" s="4" t="s">
        <v>21</v>
      </c>
      <c r="B251" s="4" t="s">
        <v>22</v>
      </c>
      <c r="C251" s="4" t="s">
        <v>23</v>
      </c>
      <c r="D251" s="4" t="s">
        <v>24</v>
      </c>
      <c r="E251" s="4" t="s">
        <v>24</v>
      </c>
      <c r="F251" s="4" t="s">
        <v>25</v>
      </c>
      <c r="G251" s="4" t="s">
        <v>25</v>
      </c>
      <c r="H251" s="4" t="s">
        <v>25</v>
      </c>
      <c r="I251" s="5">
        <v>44531</v>
      </c>
      <c r="J251" s="6">
        <v>0</v>
      </c>
      <c r="K251" s="6">
        <v>0</v>
      </c>
      <c r="L251" s="6">
        <v>1105.962</v>
      </c>
      <c r="M251" s="6">
        <v>1105.962</v>
      </c>
      <c r="N251" s="6">
        <v>1105.962</v>
      </c>
      <c r="O251" s="6">
        <v>1105.962</v>
      </c>
      <c r="P251" s="6">
        <v>4950</v>
      </c>
      <c r="Q251" s="4" t="s">
        <v>26</v>
      </c>
      <c r="R251" s="4">
        <v>0</v>
      </c>
      <c r="S251" s="4" t="s">
        <v>167</v>
      </c>
      <c r="T251" s="4" t="s">
        <v>292</v>
      </c>
      <c r="U251" s="4">
        <v>0</v>
      </c>
      <c r="V251" s="4">
        <v>2</v>
      </c>
      <c r="W251" s="4">
        <v>32</v>
      </c>
    </row>
    <row r="252" spans="1:23" ht="11.25" customHeight="1" x14ac:dyDescent="0.25">
      <c r="A252" s="4" t="s">
        <v>27</v>
      </c>
      <c r="B252" s="4" t="s">
        <v>22</v>
      </c>
      <c r="C252" s="4" t="s">
        <v>23</v>
      </c>
      <c r="D252" s="4" t="s">
        <v>24</v>
      </c>
      <c r="E252" s="4" t="s">
        <v>24</v>
      </c>
      <c r="F252" s="4" t="s">
        <v>25</v>
      </c>
      <c r="G252" s="4" t="s">
        <v>25</v>
      </c>
      <c r="H252" s="4" t="s">
        <v>25</v>
      </c>
      <c r="I252" s="5">
        <v>44531</v>
      </c>
      <c r="J252" s="6">
        <v>0</v>
      </c>
      <c r="K252" s="6">
        <v>0</v>
      </c>
      <c r="L252" s="6">
        <v>-29.439</v>
      </c>
      <c r="M252" s="6">
        <v>-29.439</v>
      </c>
      <c r="N252" s="6">
        <v>-29.439</v>
      </c>
      <c r="O252" s="6">
        <v>-29.439</v>
      </c>
      <c r="P252" s="6">
        <v>0</v>
      </c>
      <c r="Q252" s="4" t="s">
        <v>26</v>
      </c>
      <c r="R252" s="4">
        <v>0</v>
      </c>
      <c r="S252" s="4" t="s">
        <v>167</v>
      </c>
      <c r="T252" s="4" t="s">
        <v>292</v>
      </c>
      <c r="U252" s="4">
        <v>0</v>
      </c>
      <c r="V252" s="4">
        <v>2</v>
      </c>
      <c r="W252" s="4">
        <v>32</v>
      </c>
    </row>
    <row r="253" spans="1:23" ht="11.25" customHeight="1" x14ac:dyDescent="0.25">
      <c r="A253" s="4" t="s">
        <v>28</v>
      </c>
      <c r="B253" s="4" t="s">
        <v>22</v>
      </c>
      <c r="C253" s="4" t="s">
        <v>23</v>
      </c>
      <c r="D253" s="4" t="s">
        <v>24</v>
      </c>
      <c r="E253" s="4" t="s">
        <v>24</v>
      </c>
      <c r="F253" s="4" t="s">
        <v>25</v>
      </c>
      <c r="G253" s="4" t="s">
        <v>25</v>
      </c>
      <c r="H253" s="4" t="s">
        <v>25</v>
      </c>
      <c r="I253" s="5">
        <v>44531</v>
      </c>
      <c r="J253" s="6">
        <v>0</v>
      </c>
      <c r="K253" s="6">
        <v>0</v>
      </c>
      <c r="L253" s="6">
        <v>9.93</v>
      </c>
      <c r="M253" s="6">
        <v>9.93</v>
      </c>
      <c r="N253" s="6">
        <v>9.93</v>
      </c>
      <c r="O253" s="6">
        <v>9.93</v>
      </c>
      <c r="P253" s="6">
        <v>105</v>
      </c>
      <c r="Q253" s="4" t="s">
        <v>26</v>
      </c>
      <c r="R253" s="4">
        <v>0</v>
      </c>
      <c r="S253" s="4" t="s">
        <v>167</v>
      </c>
      <c r="T253" s="4" t="s">
        <v>292</v>
      </c>
      <c r="U253" s="4">
        <v>0</v>
      </c>
      <c r="V253" s="4">
        <v>2</v>
      </c>
      <c r="W253" s="4">
        <v>32</v>
      </c>
    </row>
    <row r="254" spans="1:23" ht="11.25" customHeight="1" x14ac:dyDescent="0.25">
      <c r="A254" s="4" t="s">
        <v>21</v>
      </c>
      <c r="B254" s="4" t="s">
        <v>22</v>
      </c>
      <c r="C254" s="4" t="s">
        <v>23</v>
      </c>
      <c r="D254" s="4" t="s">
        <v>24</v>
      </c>
      <c r="E254" s="4" t="s">
        <v>24</v>
      </c>
      <c r="F254" s="4" t="s">
        <v>25</v>
      </c>
      <c r="G254" s="4" t="s">
        <v>25</v>
      </c>
      <c r="H254" s="4" t="s">
        <v>25</v>
      </c>
      <c r="I254" s="5">
        <v>44562</v>
      </c>
      <c r="J254" s="6">
        <v>0</v>
      </c>
      <c r="K254" s="6">
        <v>0</v>
      </c>
      <c r="L254" s="6">
        <v>1185.921</v>
      </c>
      <c r="M254" s="6">
        <v>1185.921</v>
      </c>
      <c r="N254" s="6">
        <v>1185.921</v>
      </c>
      <c r="O254" s="6">
        <v>1185.921</v>
      </c>
      <c r="P254" s="6">
        <v>4910</v>
      </c>
      <c r="Q254" s="4" t="s">
        <v>26</v>
      </c>
      <c r="R254" s="4">
        <v>0</v>
      </c>
      <c r="S254" s="4" t="s">
        <v>168</v>
      </c>
      <c r="T254" s="4" t="s">
        <v>293</v>
      </c>
      <c r="U254" s="4">
        <v>0</v>
      </c>
      <c r="V254" s="4">
        <v>2</v>
      </c>
      <c r="W254" s="4">
        <v>32</v>
      </c>
    </row>
    <row r="255" spans="1:23" ht="11.25" customHeight="1" x14ac:dyDescent="0.25">
      <c r="A255" s="4" t="s">
        <v>27</v>
      </c>
      <c r="B255" s="4" t="s">
        <v>22</v>
      </c>
      <c r="C255" s="4" t="s">
        <v>23</v>
      </c>
      <c r="D255" s="4" t="s">
        <v>24</v>
      </c>
      <c r="E255" s="4" t="s">
        <v>24</v>
      </c>
      <c r="F255" s="4" t="s">
        <v>25</v>
      </c>
      <c r="G255" s="4" t="s">
        <v>25</v>
      </c>
      <c r="H255" s="4" t="s">
        <v>25</v>
      </c>
      <c r="I255" s="5">
        <v>44562</v>
      </c>
      <c r="J255" s="6">
        <v>0</v>
      </c>
      <c r="K255" s="6">
        <v>0</v>
      </c>
      <c r="L255" s="6">
        <v>-1</v>
      </c>
      <c r="M255" s="6">
        <v>-1</v>
      </c>
      <c r="N255" s="6">
        <v>-1</v>
      </c>
      <c r="O255" s="6">
        <v>-1</v>
      </c>
      <c r="P255" s="6">
        <v>0</v>
      </c>
      <c r="Q255" s="4" t="s">
        <v>26</v>
      </c>
      <c r="R255" s="4">
        <v>0</v>
      </c>
      <c r="S255" s="4" t="s">
        <v>168</v>
      </c>
      <c r="T255" s="4" t="s">
        <v>293</v>
      </c>
      <c r="U255" s="4">
        <v>0</v>
      </c>
      <c r="V255" s="4">
        <v>2</v>
      </c>
      <c r="W255" s="4">
        <v>32</v>
      </c>
    </row>
    <row r="256" spans="1:23" ht="11.25" customHeight="1" x14ac:dyDescent="0.25">
      <c r="A256" s="4" t="s">
        <v>28</v>
      </c>
      <c r="B256" s="4" t="s">
        <v>22</v>
      </c>
      <c r="C256" s="4" t="s">
        <v>23</v>
      </c>
      <c r="D256" s="4" t="s">
        <v>24</v>
      </c>
      <c r="E256" s="4" t="s">
        <v>24</v>
      </c>
      <c r="F256" s="4" t="s">
        <v>25</v>
      </c>
      <c r="G256" s="4" t="s">
        <v>25</v>
      </c>
      <c r="H256" s="4" t="s">
        <v>25</v>
      </c>
      <c r="I256" s="5">
        <v>44562</v>
      </c>
      <c r="J256" s="6">
        <v>0</v>
      </c>
      <c r="K256" s="6">
        <v>0</v>
      </c>
      <c r="L256" s="6">
        <v>15.298</v>
      </c>
      <c r="M256" s="6">
        <v>15.298</v>
      </c>
      <c r="N256" s="6">
        <v>15.298</v>
      </c>
      <c r="O256" s="6">
        <v>15.298</v>
      </c>
      <c r="P256" s="6">
        <v>109</v>
      </c>
      <c r="Q256" s="4" t="s">
        <v>26</v>
      </c>
      <c r="R256" s="4">
        <v>0</v>
      </c>
      <c r="S256" s="4" t="s">
        <v>168</v>
      </c>
      <c r="T256" s="4" t="s">
        <v>293</v>
      </c>
      <c r="U256" s="4">
        <v>0</v>
      </c>
      <c r="V256" s="4">
        <v>2</v>
      </c>
      <c r="W256" s="4">
        <v>32</v>
      </c>
    </row>
    <row r="257" spans="1:23" ht="11.25" customHeight="1" x14ac:dyDescent="0.25">
      <c r="A257" s="4" t="s">
        <v>21</v>
      </c>
      <c r="B257" s="4" t="s">
        <v>22</v>
      </c>
      <c r="C257" s="4" t="s">
        <v>23</v>
      </c>
      <c r="D257" s="4" t="s">
        <v>24</v>
      </c>
      <c r="E257" s="4" t="s">
        <v>24</v>
      </c>
      <c r="F257" s="4" t="s">
        <v>25</v>
      </c>
      <c r="G257" s="4" t="s">
        <v>25</v>
      </c>
      <c r="H257" s="4" t="s">
        <v>25</v>
      </c>
      <c r="I257" s="5">
        <v>44593</v>
      </c>
      <c r="J257" s="6">
        <v>0</v>
      </c>
      <c r="K257" s="6">
        <v>0</v>
      </c>
      <c r="L257" s="6">
        <v>1162.933</v>
      </c>
      <c r="M257" s="6">
        <v>1162.933</v>
      </c>
      <c r="N257" s="6">
        <v>1162.933</v>
      </c>
      <c r="O257" s="6">
        <v>1162.933</v>
      </c>
      <c r="P257" s="6">
        <v>4859</v>
      </c>
      <c r="Q257" s="4" t="s">
        <v>26</v>
      </c>
      <c r="R257" s="4">
        <v>0</v>
      </c>
      <c r="S257" s="4" t="s">
        <v>169</v>
      </c>
      <c r="T257" s="4" t="s">
        <v>294</v>
      </c>
      <c r="U257" s="4">
        <v>0</v>
      </c>
      <c r="V257" s="4">
        <v>2</v>
      </c>
      <c r="W257" s="4">
        <v>32</v>
      </c>
    </row>
    <row r="258" spans="1:23" ht="11.25" customHeight="1" x14ac:dyDescent="0.25">
      <c r="A258" s="4" t="s">
        <v>27</v>
      </c>
      <c r="B258" s="4" t="s">
        <v>22</v>
      </c>
      <c r="C258" s="4" t="s">
        <v>23</v>
      </c>
      <c r="D258" s="4" t="s">
        <v>24</v>
      </c>
      <c r="E258" s="4" t="s">
        <v>24</v>
      </c>
      <c r="F258" s="4" t="s">
        <v>25</v>
      </c>
      <c r="G258" s="4" t="s">
        <v>25</v>
      </c>
      <c r="H258" s="4" t="s">
        <v>25</v>
      </c>
      <c r="I258" s="5">
        <v>44593</v>
      </c>
      <c r="J258" s="6">
        <v>0</v>
      </c>
      <c r="K258" s="6">
        <v>0</v>
      </c>
      <c r="L258" s="6">
        <v>-2.286</v>
      </c>
      <c r="M258" s="6">
        <v>-2.286</v>
      </c>
      <c r="N258" s="6">
        <v>-2.286</v>
      </c>
      <c r="O258" s="6">
        <v>-2.286</v>
      </c>
      <c r="P258" s="6">
        <v>0</v>
      </c>
      <c r="Q258" s="4" t="s">
        <v>26</v>
      </c>
      <c r="R258" s="4">
        <v>0</v>
      </c>
      <c r="S258" s="4" t="s">
        <v>169</v>
      </c>
      <c r="T258" s="4" t="s">
        <v>294</v>
      </c>
      <c r="U258" s="4">
        <v>0</v>
      </c>
      <c r="V258" s="4">
        <v>2</v>
      </c>
      <c r="W258" s="4">
        <v>32</v>
      </c>
    </row>
    <row r="259" spans="1:23" ht="11.25" customHeight="1" x14ac:dyDescent="0.25">
      <c r="A259" s="4" t="s">
        <v>28</v>
      </c>
      <c r="B259" s="4" t="s">
        <v>22</v>
      </c>
      <c r="C259" s="4" t="s">
        <v>23</v>
      </c>
      <c r="D259" s="4" t="s">
        <v>24</v>
      </c>
      <c r="E259" s="4" t="s">
        <v>24</v>
      </c>
      <c r="F259" s="4" t="s">
        <v>25</v>
      </c>
      <c r="G259" s="4" t="s">
        <v>25</v>
      </c>
      <c r="H259" s="4" t="s">
        <v>25</v>
      </c>
      <c r="I259" s="5">
        <v>44593</v>
      </c>
      <c r="J259" s="6">
        <v>0</v>
      </c>
      <c r="K259" s="6">
        <v>0</v>
      </c>
      <c r="L259" s="6">
        <v>21.239000000000001</v>
      </c>
      <c r="M259" s="6">
        <v>21.239000000000001</v>
      </c>
      <c r="N259" s="6">
        <v>21.239000000000001</v>
      </c>
      <c r="O259" s="6">
        <v>21.239000000000001</v>
      </c>
      <c r="P259" s="6">
        <v>111</v>
      </c>
      <c r="Q259" s="4" t="s">
        <v>26</v>
      </c>
      <c r="R259" s="4">
        <v>0</v>
      </c>
      <c r="S259" s="4" t="s">
        <v>169</v>
      </c>
      <c r="T259" s="4" t="s">
        <v>294</v>
      </c>
      <c r="U259" s="4">
        <v>0</v>
      </c>
      <c r="V259" s="4">
        <v>2</v>
      </c>
      <c r="W259" s="4">
        <v>32</v>
      </c>
    </row>
    <row r="260" spans="1:23" ht="11.25" customHeight="1" x14ac:dyDescent="0.25">
      <c r="A260" s="4" t="s">
        <v>21</v>
      </c>
      <c r="B260" s="4" t="s">
        <v>22</v>
      </c>
      <c r="C260" s="4" t="s">
        <v>23</v>
      </c>
      <c r="D260" s="4" t="s">
        <v>24</v>
      </c>
      <c r="E260" s="4" t="s">
        <v>24</v>
      </c>
      <c r="F260" s="4" t="s">
        <v>25</v>
      </c>
      <c r="G260" s="4" t="s">
        <v>25</v>
      </c>
      <c r="H260" s="4" t="s">
        <v>25</v>
      </c>
      <c r="I260" s="5">
        <v>44621</v>
      </c>
      <c r="J260" s="6">
        <v>0</v>
      </c>
      <c r="K260" s="6">
        <v>0</v>
      </c>
      <c r="L260" s="6">
        <v>1057.711</v>
      </c>
      <c r="M260" s="6">
        <v>1057.711</v>
      </c>
      <c r="N260" s="6">
        <v>1057.711</v>
      </c>
      <c r="O260" s="6">
        <v>1057.711</v>
      </c>
      <c r="P260" s="6">
        <v>4846</v>
      </c>
      <c r="Q260" s="4" t="s">
        <v>26</v>
      </c>
      <c r="R260" s="4">
        <v>0</v>
      </c>
      <c r="S260" s="4" t="s">
        <v>170</v>
      </c>
      <c r="T260" s="4" t="s">
        <v>295</v>
      </c>
      <c r="U260" s="4">
        <v>0</v>
      </c>
      <c r="V260" s="4">
        <v>2</v>
      </c>
      <c r="W260" s="4">
        <v>32</v>
      </c>
    </row>
    <row r="261" spans="1:23" ht="11.25" customHeight="1" x14ac:dyDescent="0.25">
      <c r="A261" s="4" t="s">
        <v>27</v>
      </c>
      <c r="B261" s="4" t="s">
        <v>22</v>
      </c>
      <c r="C261" s="4" t="s">
        <v>23</v>
      </c>
      <c r="D261" s="4" t="s">
        <v>24</v>
      </c>
      <c r="E261" s="4" t="s">
        <v>24</v>
      </c>
      <c r="F261" s="4" t="s">
        <v>25</v>
      </c>
      <c r="G261" s="4" t="s">
        <v>25</v>
      </c>
      <c r="H261" s="4" t="s">
        <v>25</v>
      </c>
      <c r="I261" s="5">
        <v>44621</v>
      </c>
      <c r="J261" s="6">
        <v>0</v>
      </c>
      <c r="K261" s="6">
        <v>0</v>
      </c>
      <c r="L261" s="6">
        <v>-2.4889999999999999</v>
      </c>
      <c r="M261" s="6">
        <v>-2.4889999999999999</v>
      </c>
      <c r="N261" s="6">
        <v>-2.4889999999999999</v>
      </c>
      <c r="O261" s="6">
        <v>-2.4889999999999999</v>
      </c>
      <c r="P261" s="6">
        <v>0</v>
      </c>
      <c r="Q261" s="4" t="s">
        <v>26</v>
      </c>
      <c r="R261" s="4">
        <v>0</v>
      </c>
      <c r="S261" s="4" t="s">
        <v>170</v>
      </c>
      <c r="T261" s="4" t="s">
        <v>295</v>
      </c>
      <c r="U261" s="4">
        <v>0</v>
      </c>
      <c r="V261" s="4">
        <v>2</v>
      </c>
      <c r="W261" s="4">
        <v>32</v>
      </c>
    </row>
    <row r="262" spans="1:23" ht="11.25" customHeight="1" x14ac:dyDescent="0.25">
      <c r="A262" s="4" t="s">
        <v>28</v>
      </c>
      <c r="B262" s="4" t="s">
        <v>22</v>
      </c>
      <c r="C262" s="4" t="s">
        <v>23</v>
      </c>
      <c r="D262" s="4" t="s">
        <v>24</v>
      </c>
      <c r="E262" s="4" t="s">
        <v>24</v>
      </c>
      <c r="F262" s="4" t="s">
        <v>25</v>
      </c>
      <c r="G262" s="4" t="s">
        <v>25</v>
      </c>
      <c r="H262" s="4" t="s">
        <v>25</v>
      </c>
      <c r="I262" s="5">
        <v>44621</v>
      </c>
      <c r="J262" s="6">
        <v>0</v>
      </c>
      <c r="K262" s="6">
        <v>0</v>
      </c>
      <c r="L262" s="6">
        <v>27.885000000000002</v>
      </c>
      <c r="M262" s="6">
        <v>27.885000000000002</v>
      </c>
      <c r="N262" s="6">
        <v>27.885000000000002</v>
      </c>
      <c r="O262" s="6">
        <v>27.885000000000002</v>
      </c>
      <c r="P262" s="6">
        <v>122</v>
      </c>
      <c r="Q262" s="4" t="s">
        <v>26</v>
      </c>
      <c r="R262" s="4">
        <v>0</v>
      </c>
      <c r="S262" s="4" t="s">
        <v>170</v>
      </c>
      <c r="T262" s="4" t="s">
        <v>295</v>
      </c>
      <c r="U262" s="4">
        <v>0</v>
      </c>
      <c r="V262" s="4">
        <v>2</v>
      </c>
      <c r="W262" s="4">
        <v>32</v>
      </c>
    </row>
    <row r="263" spans="1:23" ht="11.25" customHeight="1" x14ac:dyDescent="0.25">
      <c r="A263" s="4" t="s">
        <v>28</v>
      </c>
      <c r="B263" s="4" t="s">
        <v>22</v>
      </c>
      <c r="C263" s="4" t="s">
        <v>23</v>
      </c>
      <c r="D263" s="4" t="s">
        <v>24</v>
      </c>
      <c r="E263" s="4" t="s">
        <v>24</v>
      </c>
      <c r="F263" s="4" t="s">
        <v>25</v>
      </c>
      <c r="G263" s="4" t="s">
        <v>25</v>
      </c>
      <c r="H263" s="4" t="s">
        <v>25</v>
      </c>
      <c r="I263" s="5">
        <v>44621</v>
      </c>
      <c r="J263" s="6">
        <v>0</v>
      </c>
      <c r="K263" s="6">
        <v>0</v>
      </c>
      <c r="L263" s="6">
        <v>-7.0000000000000007E-2</v>
      </c>
      <c r="M263" s="6">
        <v>-7.0000000000000007E-2</v>
      </c>
      <c r="N263" s="6">
        <v>-7.0000000000000007E-2</v>
      </c>
      <c r="O263" s="6">
        <v>-7.0000000000000007E-2</v>
      </c>
      <c r="P263" s="6">
        <v>2</v>
      </c>
      <c r="Q263" s="4" t="s">
        <v>26</v>
      </c>
      <c r="R263" s="4">
        <v>0</v>
      </c>
      <c r="S263" s="4" t="s">
        <v>170</v>
      </c>
      <c r="T263" s="4" t="s">
        <v>295</v>
      </c>
      <c r="U263" s="4">
        <v>0</v>
      </c>
      <c r="V263" s="4">
        <v>2</v>
      </c>
      <c r="W263" s="4">
        <v>32</v>
      </c>
    </row>
    <row r="264" spans="1:23" ht="11.25" customHeight="1" x14ac:dyDescent="0.25">
      <c r="A264" s="4" t="s">
        <v>21</v>
      </c>
      <c r="B264" s="4" t="s">
        <v>22</v>
      </c>
      <c r="C264" s="4" t="s">
        <v>23</v>
      </c>
      <c r="D264" s="4" t="s">
        <v>24</v>
      </c>
      <c r="E264" s="4" t="s">
        <v>24</v>
      </c>
      <c r="F264" s="4" t="s">
        <v>25</v>
      </c>
      <c r="G264" s="4" t="s">
        <v>25</v>
      </c>
      <c r="H264" s="4" t="s">
        <v>25</v>
      </c>
      <c r="I264" s="5">
        <v>44652</v>
      </c>
      <c r="J264" s="6">
        <v>0</v>
      </c>
      <c r="K264" s="6">
        <v>0</v>
      </c>
      <c r="L264" s="6">
        <v>969.62</v>
      </c>
      <c r="M264" s="6">
        <v>969.62</v>
      </c>
      <c r="N264" s="6">
        <v>969.62</v>
      </c>
      <c r="O264" s="6">
        <v>969.62</v>
      </c>
      <c r="P264" s="6">
        <v>4803</v>
      </c>
      <c r="Q264" s="4" t="s">
        <v>26</v>
      </c>
      <c r="R264" s="4">
        <v>0</v>
      </c>
      <c r="S264" s="4" t="s">
        <v>171</v>
      </c>
      <c r="T264" s="4" t="s">
        <v>296</v>
      </c>
      <c r="U264" s="4">
        <v>0</v>
      </c>
      <c r="V264" s="4">
        <v>2</v>
      </c>
      <c r="W264" s="4">
        <v>32</v>
      </c>
    </row>
    <row r="265" spans="1:23" ht="11.25" customHeight="1" x14ac:dyDescent="0.25">
      <c r="A265" s="4" t="s">
        <v>27</v>
      </c>
      <c r="B265" s="4" t="s">
        <v>22</v>
      </c>
      <c r="C265" s="4" t="s">
        <v>23</v>
      </c>
      <c r="D265" s="4" t="s">
        <v>24</v>
      </c>
      <c r="E265" s="4" t="s">
        <v>24</v>
      </c>
      <c r="F265" s="4" t="s">
        <v>25</v>
      </c>
      <c r="G265" s="4" t="s">
        <v>25</v>
      </c>
      <c r="H265" s="4" t="s">
        <v>25</v>
      </c>
      <c r="I265" s="5">
        <v>44652</v>
      </c>
      <c r="J265" s="6">
        <v>0</v>
      </c>
      <c r="K265" s="6">
        <v>0</v>
      </c>
      <c r="L265" s="6">
        <v>0.23899999999999999</v>
      </c>
      <c r="M265" s="6">
        <v>0.23899999999999999</v>
      </c>
      <c r="N265" s="6">
        <v>0.23899999999999999</v>
      </c>
      <c r="O265" s="6">
        <v>0.23899999999999999</v>
      </c>
      <c r="P265" s="6">
        <v>0</v>
      </c>
      <c r="Q265" s="4" t="s">
        <v>26</v>
      </c>
      <c r="R265" s="4">
        <v>0</v>
      </c>
      <c r="S265" s="4" t="s">
        <v>171</v>
      </c>
      <c r="T265" s="4" t="s">
        <v>296</v>
      </c>
      <c r="U265" s="4">
        <v>0</v>
      </c>
      <c r="V265" s="4">
        <v>2</v>
      </c>
      <c r="W265" s="4">
        <v>32</v>
      </c>
    </row>
    <row r="266" spans="1:23" ht="11.25" customHeight="1" x14ac:dyDescent="0.25">
      <c r="A266" s="4" t="s">
        <v>28</v>
      </c>
      <c r="B266" s="4" t="s">
        <v>22</v>
      </c>
      <c r="C266" s="4" t="s">
        <v>23</v>
      </c>
      <c r="D266" s="4" t="s">
        <v>24</v>
      </c>
      <c r="E266" s="4" t="s">
        <v>24</v>
      </c>
      <c r="F266" s="4" t="s">
        <v>25</v>
      </c>
      <c r="G266" s="4" t="s">
        <v>25</v>
      </c>
      <c r="H266" s="4" t="s">
        <v>25</v>
      </c>
      <c r="I266" s="5">
        <v>44652</v>
      </c>
      <c r="J266" s="6">
        <v>0</v>
      </c>
      <c r="K266" s="6">
        <v>0</v>
      </c>
      <c r="L266" s="6">
        <v>17.077000000000002</v>
      </c>
      <c r="M266" s="6">
        <v>17.077000000000002</v>
      </c>
      <c r="N266" s="6">
        <v>17.077000000000002</v>
      </c>
      <c r="O266" s="6">
        <v>17.077000000000002</v>
      </c>
      <c r="P266" s="6">
        <v>130</v>
      </c>
      <c r="Q266" s="4" t="s">
        <v>26</v>
      </c>
      <c r="R266" s="4">
        <v>0</v>
      </c>
      <c r="S266" s="4" t="s">
        <v>171</v>
      </c>
      <c r="T266" s="4" t="s">
        <v>296</v>
      </c>
      <c r="U266" s="4">
        <v>0</v>
      </c>
      <c r="V266" s="4">
        <v>2</v>
      </c>
      <c r="W266" s="4">
        <v>32</v>
      </c>
    </row>
    <row r="267" spans="1:23" ht="11.25" customHeight="1" x14ac:dyDescent="0.25">
      <c r="A267" s="4" t="s">
        <v>28</v>
      </c>
      <c r="B267" s="4" t="s">
        <v>22</v>
      </c>
      <c r="C267" s="4" t="s">
        <v>23</v>
      </c>
      <c r="D267" s="4" t="s">
        <v>24</v>
      </c>
      <c r="E267" s="4" t="s">
        <v>24</v>
      </c>
      <c r="F267" s="4" t="s">
        <v>25</v>
      </c>
      <c r="G267" s="4" t="s">
        <v>25</v>
      </c>
      <c r="H267" s="4" t="s">
        <v>25</v>
      </c>
      <c r="I267" s="5">
        <v>44652</v>
      </c>
      <c r="J267" s="6">
        <v>0</v>
      </c>
      <c r="K267" s="6">
        <v>0</v>
      </c>
      <c r="L267" s="6">
        <v>-0.20499999999999999</v>
      </c>
      <c r="M267" s="6">
        <v>-0.20499999999999999</v>
      </c>
      <c r="N267" s="6">
        <v>-0.20499999999999999</v>
      </c>
      <c r="O267" s="6">
        <v>-0.20499999999999999</v>
      </c>
      <c r="P267" s="6">
        <v>2</v>
      </c>
      <c r="Q267" s="4" t="s">
        <v>26</v>
      </c>
      <c r="R267" s="4">
        <v>0</v>
      </c>
      <c r="S267" s="4" t="s">
        <v>171</v>
      </c>
      <c r="T267" s="4" t="s">
        <v>296</v>
      </c>
      <c r="U267" s="4">
        <v>0</v>
      </c>
      <c r="V267" s="4">
        <v>2</v>
      </c>
      <c r="W267" s="4">
        <v>32</v>
      </c>
    </row>
    <row r="268" spans="1:23" ht="11.25" customHeight="1" x14ac:dyDescent="0.25">
      <c r="A268" s="4" t="s">
        <v>21</v>
      </c>
      <c r="B268" s="4" t="s">
        <v>22</v>
      </c>
      <c r="C268" s="4" t="s">
        <v>23</v>
      </c>
      <c r="D268" s="4" t="s">
        <v>24</v>
      </c>
      <c r="E268" s="4" t="s">
        <v>24</v>
      </c>
      <c r="F268" s="4" t="s">
        <v>25</v>
      </c>
      <c r="G268" s="4" t="s">
        <v>25</v>
      </c>
      <c r="H268" s="4" t="s">
        <v>25</v>
      </c>
      <c r="I268" s="5">
        <v>44682</v>
      </c>
      <c r="J268" s="6">
        <v>0</v>
      </c>
      <c r="K268" s="6">
        <v>0</v>
      </c>
      <c r="L268" s="6">
        <v>943.70699999999999</v>
      </c>
      <c r="M268" s="6">
        <v>943.70699999999999</v>
      </c>
      <c r="N268" s="6">
        <v>943.70699999999999</v>
      </c>
      <c r="O268" s="6">
        <v>943.70699999999999</v>
      </c>
      <c r="P268" s="6">
        <v>4816</v>
      </c>
      <c r="Q268" s="4" t="s">
        <v>26</v>
      </c>
      <c r="R268" s="4">
        <v>0</v>
      </c>
      <c r="S268" s="4" t="s">
        <v>172</v>
      </c>
      <c r="T268" s="4" t="s">
        <v>297</v>
      </c>
      <c r="U268" s="4">
        <v>0</v>
      </c>
      <c r="V268" s="4">
        <v>2</v>
      </c>
      <c r="W268" s="4">
        <v>32</v>
      </c>
    </row>
    <row r="269" spans="1:23" ht="11.25" customHeight="1" x14ac:dyDescent="0.25">
      <c r="A269" s="4" t="s">
        <v>28</v>
      </c>
      <c r="B269" s="4" t="s">
        <v>22</v>
      </c>
      <c r="C269" s="4" t="s">
        <v>23</v>
      </c>
      <c r="D269" s="4" t="s">
        <v>24</v>
      </c>
      <c r="E269" s="4" t="s">
        <v>24</v>
      </c>
      <c r="F269" s="4" t="s">
        <v>25</v>
      </c>
      <c r="G269" s="4" t="s">
        <v>25</v>
      </c>
      <c r="H269" s="4" t="s">
        <v>25</v>
      </c>
      <c r="I269" s="5">
        <v>44682</v>
      </c>
      <c r="J269" s="6">
        <v>0</v>
      </c>
      <c r="K269" s="6">
        <v>0</v>
      </c>
      <c r="L269" s="6">
        <v>15.443</v>
      </c>
      <c r="M269" s="6">
        <v>15.443</v>
      </c>
      <c r="N269" s="6">
        <v>15.443</v>
      </c>
      <c r="O269" s="6">
        <v>15.443</v>
      </c>
      <c r="P269" s="6">
        <v>131</v>
      </c>
      <c r="Q269" s="4" t="s">
        <v>26</v>
      </c>
      <c r="R269" s="4">
        <v>0</v>
      </c>
      <c r="S269" s="4" t="s">
        <v>172</v>
      </c>
      <c r="T269" s="4" t="s">
        <v>297</v>
      </c>
      <c r="U269" s="4">
        <v>0</v>
      </c>
      <c r="V269" s="4">
        <v>2</v>
      </c>
      <c r="W269" s="4">
        <v>32</v>
      </c>
    </row>
    <row r="270" spans="1:23" ht="11.25" customHeight="1" x14ac:dyDescent="0.25">
      <c r="A270" s="4" t="s">
        <v>21</v>
      </c>
      <c r="B270" s="4" t="s">
        <v>22</v>
      </c>
      <c r="C270" s="4" t="s">
        <v>23</v>
      </c>
      <c r="D270" s="4" t="s">
        <v>24</v>
      </c>
      <c r="E270" s="4" t="s">
        <v>24</v>
      </c>
      <c r="F270" s="4" t="s">
        <v>25</v>
      </c>
      <c r="G270" s="4" t="s">
        <v>25</v>
      </c>
      <c r="H270" s="4" t="s">
        <v>25</v>
      </c>
      <c r="I270" s="5">
        <v>44713</v>
      </c>
      <c r="J270" s="6">
        <v>0</v>
      </c>
      <c r="K270" s="6">
        <v>0</v>
      </c>
      <c r="L270" s="6">
        <v>956.46100000000001</v>
      </c>
      <c r="M270" s="6">
        <v>956.46100000000001</v>
      </c>
      <c r="N270" s="6">
        <v>956.46100000000001</v>
      </c>
      <c r="O270" s="6">
        <v>956.46100000000001</v>
      </c>
      <c r="P270" s="6">
        <v>4835</v>
      </c>
      <c r="Q270" s="4" t="s">
        <v>26</v>
      </c>
      <c r="R270" s="4">
        <v>0</v>
      </c>
      <c r="S270" s="4" t="s">
        <v>173</v>
      </c>
      <c r="T270" s="4" t="s">
        <v>298</v>
      </c>
      <c r="U270" s="4">
        <v>0</v>
      </c>
      <c r="V270" s="4">
        <v>2</v>
      </c>
      <c r="W270" s="4">
        <v>32</v>
      </c>
    </row>
    <row r="271" spans="1:23" ht="11.25" customHeight="1" x14ac:dyDescent="0.25">
      <c r="A271" s="4" t="s">
        <v>27</v>
      </c>
      <c r="B271" s="4" t="s">
        <v>22</v>
      </c>
      <c r="C271" s="4" t="s">
        <v>23</v>
      </c>
      <c r="D271" s="4" t="s">
        <v>24</v>
      </c>
      <c r="E271" s="4" t="s">
        <v>24</v>
      </c>
      <c r="F271" s="4" t="s">
        <v>25</v>
      </c>
      <c r="G271" s="4" t="s">
        <v>25</v>
      </c>
      <c r="H271" s="4" t="s">
        <v>25</v>
      </c>
      <c r="I271" s="5">
        <v>44713</v>
      </c>
      <c r="J271" s="6">
        <v>0</v>
      </c>
      <c r="K271" s="6">
        <v>0</v>
      </c>
      <c r="L271" s="6">
        <v>0.59099999999999997</v>
      </c>
      <c r="M271" s="6">
        <v>0.59099999999999997</v>
      </c>
      <c r="N271" s="6">
        <v>0.59099999999999997</v>
      </c>
      <c r="O271" s="6">
        <v>0.59099999999999997</v>
      </c>
      <c r="P271" s="6">
        <v>0</v>
      </c>
      <c r="Q271" s="4" t="s">
        <v>26</v>
      </c>
      <c r="R271" s="4">
        <v>0</v>
      </c>
      <c r="S271" s="4" t="s">
        <v>173</v>
      </c>
      <c r="T271" s="4" t="s">
        <v>298</v>
      </c>
      <c r="U271" s="4">
        <v>0</v>
      </c>
      <c r="V271" s="4">
        <v>2</v>
      </c>
      <c r="W271" s="4">
        <v>32</v>
      </c>
    </row>
    <row r="272" spans="1:23" ht="11.25" customHeight="1" x14ac:dyDescent="0.25">
      <c r="A272" s="4" t="s">
        <v>28</v>
      </c>
      <c r="B272" s="4" t="s">
        <v>22</v>
      </c>
      <c r="C272" s="4" t="s">
        <v>23</v>
      </c>
      <c r="D272" s="4" t="s">
        <v>24</v>
      </c>
      <c r="E272" s="4" t="s">
        <v>24</v>
      </c>
      <c r="F272" s="4" t="s">
        <v>25</v>
      </c>
      <c r="G272" s="4" t="s">
        <v>25</v>
      </c>
      <c r="H272" s="4" t="s">
        <v>25</v>
      </c>
      <c r="I272" s="5">
        <v>44713</v>
      </c>
      <c r="J272" s="6">
        <v>0</v>
      </c>
      <c r="K272" s="6">
        <v>0</v>
      </c>
      <c r="L272" s="6">
        <v>20.507999999999999</v>
      </c>
      <c r="M272" s="6">
        <v>20.507999999999999</v>
      </c>
      <c r="N272" s="6">
        <v>20.507999999999999</v>
      </c>
      <c r="O272" s="6">
        <v>20.507999999999999</v>
      </c>
      <c r="P272" s="6">
        <v>123</v>
      </c>
      <c r="Q272" s="4" t="s">
        <v>26</v>
      </c>
      <c r="R272" s="4">
        <v>0</v>
      </c>
      <c r="S272" s="4" t="s">
        <v>173</v>
      </c>
      <c r="T272" s="4" t="s">
        <v>298</v>
      </c>
      <c r="U272" s="4">
        <v>0</v>
      </c>
      <c r="V272" s="4">
        <v>2</v>
      </c>
      <c r="W272" s="4">
        <v>32</v>
      </c>
    </row>
    <row r="273" spans="1:23" ht="11.25" customHeight="1" x14ac:dyDescent="0.25">
      <c r="A273" s="4" t="s">
        <v>21</v>
      </c>
      <c r="B273" s="4" t="s">
        <v>22</v>
      </c>
      <c r="C273" s="4" t="s">
        <v>23</v>
      </c>
      <c r="D273" s="4" t="s">
        <v>24</v>
      </c>
      <c r="E273" s="4" t="s">
        <v>24</v>
      </c>
      <c r="F273" s="4" t="s">
        <v>25</v>
      </c>
      <c r="G273" s="4" t="s">
        <v>25</v>
      </c>
      <c r="H273" s="4" t="s">
        <v>25</v>
      </c>
      <c r="I273" s="5">
        <v>44743</v>
      </c>
      <c r="J273" s="6">
        <v>0</v>
      </c>
      <c r="K273" s="6">
        <v>0</v>
      </c>
      <c r="L273" s="6">
        <v>949.07600000000002</v>
      </c>
      <c r="M273" s="6">
        <v>949.07600000000002</v>
      </c>
      <c r="N273" s="6">
        <v>949.07600000000002</v>
      </c>
      <c r="O273" s="6">
        <v>949.07600000000002</v>
      </c>
      <c r="P273" s="6">
        <v>4872</v>
      </c>
      <c r="Q273" s="4" t="s">
        <v>26</v>
      </c>
      <c r="R273" s="4">
        <v>0</v>
      </c>
      <c r="S273" s="4" t="s">
        <v>174</v>
      </c>
      <c r="T273" s="4" t="s">
        <v>299</v>
      </c>
      <c r="U273" s="4">
        <v>0</v>
      </c>
      <c r="V273" s="4">
        <v>2</v>
      </c>
      <c r="W273" s="4">
        <v>32</v>
      </c>
    </row>
    <row r="274" spans="1:23" ht="11.25" customHeight="1" x14ac:dyDescent="0.25">
      <c r="A274" s="4" t="s">
        <v>27</v>
      </c>
      <c r="B274" s="4" t="s">
        <v>22</v>
      </c>
      <c r="C274" s="4" t="s">
        <v>23</v>
      </c>
      <c r="D274" s="4" t="s">
        <v>24</v>
      </c>
      <c r="E274" s="4" t="s">
        <v>24</v>
      </c>
      <c r="F274" s="4" t="s">
        <v>25</v>
      </c>
      <c r="G274" s="4" t="s">
        <v>25</v>
      </c>
      <c r="H274" s="4" t="s">
        <v>25</v>
      </c>
      <c r="I274" s="5">
        <v>44743</v>
      </c>
      <c r="J274" s="6">
        <v>0</v>
      </c>
      <c r="K274" s="6">
        <v>0</v>
      </c>
      <c r="L274" s="6">
        <v>-1.8740000000000001</v>
      </c>
      <c r="M274" s="6">
        <v>-1.8740000000000001</v>
      </c>
      <c r="N274" s="6">
        <v>-1.8740000000000001</v>
      </c>
      <c r="O274" s="6">
        <v>-1.8740000000000001</v>
      </c>
      <c r="P274" s="6">
        <v>0</v>
      </c>
      <c r="Q274" s="4" t="s">
        <v>26</v>
      </c>
      <c r="R274" s="4">
        <v>0</v>
      </c>
      <c r="S274" s="4" t="s">
        <v>174</v>
      </c>
      <c r="T274" s="4" t="s">
        <v>299</v>
      </c>
      <c r="U274" s="4">
        <v>0</v>
      </c>
      <c r="V274" s="4">
        <v>2</v>
      </c>
      <c r="W274" s="4">
        <v>32</v>
      </c>
    </row>
    <row r="275" spans="1:23" ht="11.25" customHeight="1" x14ac:dyDescent="0.25">
      <c r="A275" s="4" t="s">
        <v>28</v>
      </c>
      <c r="B275" s="4" t="s">
        <v>22</v>
      </c>
      <c r="C275" s="4" t="s">
        <v>23</v>
      </c>
      <c r="D275" s="4" t="s">
        <v>24</v>
      </c>
      <c r="E275" s="4" t="s">
        <v>24</v>
      </c>
      <c r="F275" s="4" t="s">
        <v>25</v>
      </c>
      <c r="G275" s="4" t="s">
        <v>25</v>
      </c>
      <c r="H275" s="4" t="s">
        <v>25</v>
      </c>
      <c r="I275" s="5">
        <v>44743</v>
      </c>
      <c r="J275" s="6">
        <v>0</v>
      </c>
      <c r="K275" s="6">
        <v>0</v>
      </c>
      <c r="L275" s="6">
        <v>16.646000000000001</v>
      </c>
      <c r="M275" s="6">
        <v>16.646000000000001</v>
      </c>
      <c r="N275" s="6">
        <v>16.646000000000001</v>
      </c>
      <c r="O275" s="6">
        <v>16.646000000000001</v>
      </c>
      <c r="P275" s="6">
        <v>138</v>
      </c>
      <c r="Q275" s="4" t="s">
        <v>26</v>
      </c>
      <c r="R275" s="4">
        <v>0</v>
      </c>
      <c r="S275" s="4" t="s">
        <v>174</v>
      </c>
      <c r="T275" s="4" t="s">
        <v>299</v>
      </c>
      <c r="U275" s="4">
        <v>0</v>
      </c>
      <c r="V275" s="4">
        <v>2</v>
      </c>
      <c r="W275" s="4">
        <v>32</v>
      </c>
    </row>
    <row r="276" spans="1:23" ht="11.25" customHeight="1" x14ac:dyDescent="0.25">
      <c r="A276" s="4" t="s">
        <v>21</v>
      </c>
      <c r="B276" s="4" t="s">
        <v>22</v>
      </c>
      <c r="C276" s="4" t="s">
        <v>23</v>
      </c>
      <c r="D276" s="4" t="s">
        <v>24</v>
      </c>
      <c r="E276" s="4" t="s">
        <v>24</v>
      </c>
      <c r="F276" s="4" t="s">
        <v>25</v>
      </c>
      <c r="G276" s="4" t="s">
        <v>25</v>
      </c>
      <c r="H276" s="4" t="s">
        <v>25</v>
      </c>
      <c r="I276" s="5">
        <v>44774</v>
      </c>
      <c r="J276" s="6">
        <v>0</v>
      </c>
      <c r="K276" s="6">
        <v>0</v>
      </c>
      <c r="L276" s="6">
        <v>903.13300000000004</v>
      </c>
      <c r="M276" s="6">
        <v>903.13300000000004</v>
      </c>
      <c r="N276" s="6">
        <v>903.13300000000004</v>
      </c>
      <c r="O276" s="6">
        <v>903.13300000000004</v>
      </c>
      <c r="P276" s="6">
        <v>4881</v>
      </c>
      <c r="Q276" s="4" t="s">
        <v>26</v>
      </c>
      <c r="R276" s="4">
        <v>0</v>
      </c>
      <c r="S276" s="4" t="s">
        <v>175</v>
      </c>
      <c r="T276" s="4" t="s">
        <v>300</v>
      </c>
      <c r="U276" s="4">
        <v>0</v>
      </c>
      <c r="V276" s="4">
        <v>2</v>
      </c>
      <c r="W276" s="4">
        <v>32</v>
      </c>
    </row>
    <row r="277" spans="1:23" ht="11.25" customHeight="1" x14ac:dyDescent="0.25">
      <c r="A277" s="4" t="s">
        <v>27</v>
      </c>
      <c r="B277" s="4" t="s">
        <v>22</v>
      </c>
      <c r="C277" s="4" t="s">
        <v>23</v>
      </c>
      <c r="D277" s="4" t="s">
        <v>24</v>
      </c>
      <c r="E277" s="4" t="s">
        <v>24</v>
      </c>
      <c r="F277" s="4" t="s">
        <v>25</v>
      </c>
      <c r="G277" s="4" t="s">
        <v>25</v>
      </c>
      <c r="H277" s="4" t="s">
        <v>25</v>
      </c>
      <c r="I277" s="5">
        <v>44774</v>
      </c>
      <c r="J277" s="6">
        <v>0</v>
      </c>
      <c r="K277" s="6">
        <v>0</v>
      </c>
      <c r="L277" s="6">
        <v>-0.26</v>
      </c>
      <c r="M277" s="6">
        <v>-0.26</v>
      </c>
      <c r="N277" s="6">
        <v>-0.26</v>
      </c>
      <c r="O277" s="6">
        <v>-0.26</v>
      </c>
      <c r="P277" s="6">
        <v>0</v>
      </c>
      <c r="Q277" s="4" t="s">
        <v>26</v>
      </c>
      <c r="R277" s="4">
        <v>0</v>
      </c>
      <c r="S277" s="4" t="s">
        <v>175</v>
      </c>
      <c r="T277" s="4" t="s">
        <v>300</v>
      </c>
      <c r="U277" s="4">
        <v>0</v>
      </c>
      <c r="V277" s="4">
        <v>2</v>
      </c>
      <c r="W277" s="4">
        <v>32</v>
      </c>
    </row>
    <row r="278" spans="1:23" ht="11.25" customHeight="1" x14ac:dyDescent="0.25">
      <c r="A278" s="4" t="s">
        <v>28</v>
      </c>
      <c r="B278" s="4" t="s">
        <v>22</v>
      </c>
      <c r="C278" s="4" t="s">
        <v>23</v>
      </c>
      <c r="D278" s="4" t="s">
        <v>24</v>
      </c>
      <c r="E278" s="4" t="s">
        <v>24</v>
      </c>
      <c r="F278" s="4" t="s">
        <v>25</v>
      </c>
      <c r="G278" s="4" t="s">
        <v>25</v>
      </c>
      <c r="H278" s="4" t="s">
        <v>25</v>
      </c>
      <c r="I278" s="5">
        <v>44774</v>
      </c>
      <c r="J278" s="6">
        <v>0</v>
      </c>
      <c r="K278" s="6">
        <v>0</v>
      </c>
      <c r="L278" s="6">
        <v>14.824</v>
      </c>
      <c r="M278" s="6">
        <v>14.824</v>
      </c>
      <c r="N278" s="6">
        <v>14.824</v>
      </c>
      <c r="O278" s="6">
        <v>14.824</v>
      </c>
      <c r="P278" s="6">
        <v>152</v>
      </c>
      <c r="Q278" s="4" t="s">
        <v>26</v>
      </c>
      <c r="R278" s="4">
        <v>0</v>
      </c>
      <c r="S278" s="4" t="s">
        <v>175</v>
      </c>
      <c r="T278" s="4" t="s">
        <v>300</v>
      </c>
      <c r="U278" s="4">
        <v>0</v>
      </c>
      <c r="V278" s="4">
        <v>2</v>
      </c>
      <c r="W278" s="4">
        <v>32</v>
      </c>
    </row>
    <row r="279" spans="1:23" ht="11.25" customHeight="1" x14ac:dyDescent="0.25">
      <c r="A279" s="4" t="s">
        <v>28</v>
      </c>
      <c r="B279" s="4" t="s">
        <v>22</v>
      </c>
      <c r="C279" s="4" t="s">
        <v>23</v>
      </c>
      <c r="D279" s="4" t="s">
        <v>24</v>
      </c>
      <c r="E279" s="4" t="s">
        <v>24</v>
      </c>
      <c r="F279" s="4" t="s">
        <v>25</v>
      </c>
      <c r="G279" s="4" t="s">
        <v>25</v>
      </c>
      <c r="H279" s="4" t="s">
        <v>25</v>
      </c>
      <c r="I279" s="5">
        <v>44774</v>
      </c>
      <c r="J279" s="6">
        <v>0</v>
      </c>
      <c r="K279" s="6">
        <v>0</v>
      </c>
      <c r="L279" s="6">
        <v>-0.41299999999999998</v>
      </c>
      <c r="M279" s="6">
        <v>-0.41299999999999998</v>
      </c>
      <c r="N279" s="6">
        <v>-0.41299999999999998</v>
      </c>
      <c r="O279" s="6">
        <v>-0.41299999999999998</v>
      </c>
      <c r="P279" s="6">
        <v>2</v>
      </c>
      <c r="Q279" s="4" t="s">
        <v>26</v>
      </c>
      <c r="R279" s="4">
        <v>0</v>
      </c>
      <c r="S279" s="4" t="s">
        <v>175</v>
      </c>
      <c r="T279" s="4" t="s">
        <v>300</v>
      </c>
      <c r="U279" s="4">
        <v>0</v>
      </c>
      <c r="V279" s="4">
        <v>2</v>
      </c>
      <c r="W279" s="4">
        <v>32</v>
      </c>
    </row>
    <row r="280" spans="1:23" ht="11.25" customHeight="1" x14ac:dyDescent="0.25">
      <c r="A280" s="4" t="s">
        <v>21</v>
      </c>
      <c r="B280" s="4" t="s">
        <v>22</v>
      </c>
      <c r="C280" s="4" t="s">
        <v>23</v>
      </c>
      <c r="D280" s="4" t="s">
        <v>24</v>
      </c>
      <c r="E280" s="4" t="s">
        <v>29</v>
      </c>
      <c r="F280" s="4" t="s">
        <v>25</v>
      </c>
      <c r="G280" s="4" t="s">
        <v>25</v>
      </c>
      <c r="H280" s="4" t="s">
        <v>25</v>
      </c>
      <c r="I280" s="5">
        <v>44440</v>
      </c>
      <c r="J280" s="6">
        <v>0</v>
      </c>
      <c r="K280" s="6">
        <v>0</v>
      </c>
      <c r="L280" s="6">
        <v>1.0249999999999999</v>
      </c>
      <c r="M280" s="6">
        <v>1.0249999999999999</v>
      </c>
      <c r="N280" s="6">
        <v>1.0249999999999999</v>
      </c>
      <c r="O280" s="6">
        <v>1.0249999999999999</v>
      </c>
      <c r="P280" s="6">
        <v>3</v>
      </c>
      <c r="Q280" s="4" t="s">
        <v>26</v>
      </c>
      <c r="R280" s="4">
        <v>0</v>
      </c>
      <c r="S280" s="4" t="s">
        <v>176</v>
      </c>
      <c r="T280" s="4" t="s">
        <v>301</v>
      </c>
      <c r="U280" s="4">
        <v>0</v>
      </c>
      <c r="V280" s="4">
        <v>21</v>
      </c>
      <c r="W280" s="4">
        <v>39</v>
      </c>
    </row>
    <row r="281" spans="1:23" ht="11.25" customHeight="1" x14ac:dyDescent="0.25">
      <c r="A281" s="4" t="s">
        <v>21</v>
      </c>
      <c r="B281" s="4" t="s">
        <v>22</v>
      </c>
      <c r="C281" s="4" t="s">
        <v>23</v>
      </c>
      <c r="D281" s="4" t="s">
        <v>24</v>
      </c>
      <c r="E281" s="4" t="s">
        <v>29</v>
      </c>
      <c r="F281" s="4" t="s">
        <v>25</v>
      </c>
      <c r="G281" s="4" t="s">
        <v>25</v>
      </c>
      <c r="H281" s="4" t="s">
        <v>25</v>
      </c>
      <c r="I281" s="5">
        <v>44470</v>
      </c>
      <c r="J281" s="6">
        <v>0</v>
      </c>
      <c r="K281" s="6">
        <v>0</v>
      </c>
      <c r="L281" s="6">
        <v>1.05</v>
      </c>
      <c r="M281" s="6">
        <v>1.05</v>
      </c>
      <c r="N281" s="6">
        <v>1.05</v>
      </c>
      <c r="O281" s="6">
        <v>1.05</v>
      </c>
      <c r="P281" s="6">
        <v>0</v>
      </c>
      <c r="Q281" s="4" t="s">
        <v>26</v>
      </c>
      <c r="R281" s="4">
        <v>0</v>
      </c>
      <c r="S281" s="4" t="s">
        <v>177</v>
      </c>
      <c r="T281" s="4" t="s">
        <v>302</v>
      </c>
      <c r="U281" s="4">
        <v>0</v>
      </c>
      <c r="V281" s="4">
        <v>21</v>
      </c>
      <c r="W281" s="4">
        <v>39</v>
      </c>
    </row>
    <row r="282" spans="1:23" ht="11.25" customHeight="1" x14ac:dyDescent="0.25">
      <c r="A282" s="4" t="s">
        <v>21</v>
      </c>
      <c r="B282" s="4" t="s">
        <v>22</v>
      </c>
      <c r="C282" s="4" t="s">
        <v>23</v>
      </c>
      <c r="D282" s="4" t="s">
        <v>24</v>
      </c>
      <c r="E282" s="4" t="s">
        <v>29</v>
      </c>
      <c r="F282" s="4" t="s">
        <v>25</v>
      </c>
      <c r="G282" s="4" t="s">
        <v>25</v>
      </c>
      <c r="H282" s="4" t="s">
        <v>25</v>
      </c>
      <c r="I282" s="5">
        <v>44501</v>
      </c>
      <c r="J282" s="6">
        <v>0</v>
      </c>
      <c r="K282" s="6">
        <v>0</v>
      </c>
      <c r="L282" s="6">
        <v>1.1399999999999999</v>
      </c>
      <c r="M282" s="6">
        <v>1.1399999999999999</v>
      </c>
      <c r="N282" s="6">
        <v>1.1399999999999999</v>
      </c>
      <c r="O282" s="6">
        <v>1.1399999999999999</v>
      </c>
      <c r="P282" s="6">
        <v>1</v>
      </c>
      <c r="Q282" s="4" t="s">
        <v>26</v>
      </c>
      <c r="R282" s="4">
        <v>0</v>
      </c>
      <c r="S282" s="4" t="s">
        <v>178</v>
      </c>
      <c r="T282" s="4" t="s">
        <v>303</v>
      </c>
      <c r="U282" s="4">
        <v>0</v>
      </c>
      <c r="V282" s="4">
        <v>21</v>
      </c>
      <c r="W282" s="4">
        <v>39</v>
      </c>
    </row>
    <row r="283" spans="1:23" ht="11.25" customHeight="1" x14ac:dyDescent="0.25">
      <c r="A283" s="4" t="s">
        <v>21</v>
      </c>
      <c r="B283" s="4" t="s">
        <v>22</v>
      </c>
      <c r="C283" s="4" t="s">
        <v>23</v>
      </c>
      <c r="D283" s="4" t="s">
        <v>24</v>
      </c>
      <c r="E283" s="4" t="s">
        <v>29</v>
      </c>
      <c r="F283" s="4" t="s">
        <v>25</v>
      </c>
      <c r="G283" s="4" t="s">
        <v>25</v>
      </c>
      <c r="H283" s="4" t="s">
        <v>25</v>
      </c>
      <c r="I283" s="5">
        <v>44531</v>
      </c>
      <c r="J283" s="6">
        <v>0</v>
      </c>
      <c r="K283" s="6">
        <v>0</v>
      </c>
      <c r="L283" s="6">
        <v>1.1399999999999999</v>
      </c>
      <c r="M283" s="6">
        <v>1.1399999999999999</v>
      </c>
      <c r="N283" s="6">
        <v>1.1399999999999999</v>
      </c>
      <c r="O283" s="6">
        <v>1.1399999999999999</v>
      </c>
      <c r="P283" s="6">
        <v>1</v>
      </c>
      <c r="Q283" s="4" t="s">
        <v>26</v>
      </c>
      <c r="R283" s="4">
        <v>0</v>
      </c>
      <c r="S283" s="4" t="s">
        <v>179</v>
      </c>
      <c r="T283" s="4" t="s">
        <v>304</v>
      </c>
      <c r="U283" s="4">
        <v>0</v>
      </c>
      <c r="V283" s="4">
        <v>21</v>
      </c>
      <c r="W283" s="4">
        <v>39</v>
      </c>
    </row>
    <row r="284" spans="1:23" ht="11.25" customHeight="1" x14ac:dyDescent="0.25">
      <c r="A284" s="4" t="s">
        <v>21</v>
      </c>
      <c r="B284" s="4" t="s">
        <v>22</v>
      </c>
      <c r="C284" s="4" t="s">
        <v>23</v>
      </c>
      <c r="D284" s="4" t="s">
        <v>24</v>
      </c>
      <c r="E284" s="4" t="s">
        <v>29</v>
      </c>
      <c r="F284" s="4" t="s">
        <v>25</v>
      </c>
      <c r="G284" s="4" t="s">
        <v>25</v>
      </c>
      <c r="H284" s="4" t="s">
        <v>25</v>
      </c>
      <c r="I284" s="5">
        <v>44562</v>
      </c>
      <c r="J284" s="6">
        <v>0</v>
      </c>
      <c r="K284" s="6">
        <v>0</v>
      </c>
      <c r="L284" s="6">
        <v>1.17</v>
      </c>
      <c r="M284" s="6">
        <v>1.17</v>
      </c>
      <c r="N284" s="6">
        <v>1.17</v>
      </c>
      <c r="O284" s="6">
        <v>1.17</v>
      </c>
      <c r="P284" s="6">
        <v>1</v>
      </c>
      <c r="Q284" s="4" t="s">
        <v>26</v>
      </c>
      <c r="R284" s="4">
        <v>0</v>
      </c>
      <c r="S284" s="4" t="s">
        <v>180</v>
      </c>
      <c r="T284" s="4" t="s">
        <v>305</v>
      </c>
      <c r="U284" s="4">
        <v>0</v>
      </c>
      <c r="V284" s="4">
        <v>21</v>
      </c>
      <c r="W284" s="4">
        <v>39</v>
      </c>
    </row>
    <row r="285" spans="1:23" ht="11.25" customHeight="1" x14ac:dyDescent="0.25">
      <c r="A285" s="4" t="s">
        <v>21</v>
      </c>
      <c r="B285" s="4" t="s">
        <v>22</v>
      </c>
      <c r="C285" s="4" t="s">
        <v>23</v>
      </c>
      <c r="D285" s="4" t="s">
        <v>24</v>
      </c>
      <c r="E285" s="4" t="s">
        <v>29</v>
      </c>
      <c r="F285" s="4" t="s">
        <v>25</v>
      </c>
      <c r="G285" s="4" t="s">
        <v>25</v>
      </c>
      <c r="H285" s="4" t="s">
        <v>25</v>
      </c>
      <c r="I285" s="5">
        <v>44593</v>
      </c>
      <c r="J285" s="6">
        <v>0</v>
      </c>
      <c r="K285" s="6">
        <v>0</v>
      </c>
      <c r="L285" s="6">
        <v>2.25</v>
      </c>
      <c r="M285" s="6">
        <v>2.25</v>
      </c>
      <c r="N285" s="6">
        <v>2.25</v>
      </c>
      <c r="O285" s="6">
        <v>2.25</v>
      </c>
      <c r="P285" s="6">
        <v>0</v>
      </c>
      <c r="Q285" s="4" t="s">
        <v>26</v>
      </c>
      <c r="R285" s="4">
        <v>0</v>
      </c>
      <c r="S285" s="4" t="s">
        <v>181</v>
      </c>
      <c r="T285" s="4" t="s">
        <v>306</v>
      </c>
      <c r="U285" s="4">
        <v>0</v>
      </c>
      <c r="V285" s="4">
        <v>21</v>
      </c>
      <c r="W285" s="4">
        <v>39</v>
      </c>
    </row>
    <row r="286" spans="1:23" ht="11.25" customHeight="1" x14ac:dyDescent="0.25">
      <c r="A286" s="4" t="s">
        <v>28</v>
      </c>
      <c r="B286" s="4" t="s">
        <v>22</v>
      </c>
      <c r="C286" s="4" t="s">
        <v>23</v>
      </c>
      <c r="D286" s="4" t="s">
        <v>24</v>
      </c>
      <c r="E286" s="4" t="s">
        <v>29</v>
      </c>
      <c r="F286" s="4" t="s">
        <v>25</v>
      </c>
      <c r="G286" s="4" t="s">
        <v>25</v>
      </c>
      <c r="H286" s="4" t="s">
        <v>25</v>
      </c>
      <c r="I286" s="5">
        <v>44593</v>
      </c>
      <c r="J286" s="6">
        <v>0</v>
      </c>
      <c r="K286" s="6">
        <v>0</v>
      </c>
      <c r="L286" s="6">
        <v>0.01</v>
      </c>
      <c r="M286" s="6">
        <v>3.5000000000000001E-3</v>
      </c>
      <c r="N286" s="6">
        <v>0.01</v>
      </c>
      <c r="O286" s="6">
        <v>3.5000000000000001E-3</v>
      </c>
      <c r="P286" s="6">
        <v>0</v>
      </c>
      <c r="Q286" s="4" t="s">
        <v>26</v>
      </c>
      <c r="R286" s="4">
        <v>0</v>
      </c>
      <c r="S286" s="4" t="s">
        <v>181</v>
      </c>
      <c r="T286" s="4" t="s">
        <v>306</v>
      </c>
      <c r="U286" s="4">
        <v>0</v>
      </c>
      <c r="V286" s="4">
        <v>21</v>
      </c>
      <c r="W286" s="4">
        <v>39</v>
      </c>
    </row>
    <row r="287" spans="1:23" ht="11.25" customHeight="1" x14ac:dyDescent="0.25">
      <c r="A287" s="4" t="s">
        <v>21</v>
      </c>
      <c r="B287" s="4" t="s">
        <v>22</v>
      </c>
      <c r="C287" s="4" t="s">
        <v>23</v>
      </c>
      <c r="D287" s="4" t="s">
        <v>24</v>
      </c>
      <c r="E287" s="4" t="s">
        <v>29</v>
      </c>
      <c r="F287" s="4" t="s">
        <v>25</v>
      </c>
      <c r="G287" s="4" t="s">
        <v>25</v>
      </c>
      <c r="H287" s="4" t="s">
        <v>25</v>
      </c>
      <c r="I287" s="5">
        <v>44621</v>
      </c>
      <c r="J287" s="6">
        <v>0</v>
      </c>
      <c r="K287" s="6">
        <v>0</v>
      </c>
      <c r="L287" s="6">
        <v>2.34</v>
      </c>
      <c r="M287" s="6">
        <v>2.34</v>
      </c>
      <c r="N287" s="6">
        <v>2.34</v>
      </c>
      <c r="O287" s="6">
        <v>2.34</v>
      </c>
      <c r="P287" s="6">
        <v>0</v>
      </c>
      <c r="Q287" s="4" t="s">
        <v>26</v>
      </c>
      <c r="R287" s="4">
        <v>0</v>
      </c>
      <c r="S287" s="4" t="s">
        <v>182</v>
      </c>
      <c r="T287" s="4" t="s">
        <v>307</v>
      </c>
      <c r="U287" s="4">
        <v>0</v>
      </c>
      <c r="V287" s="4">
        <v>21</v>
      </c>
      <c r="W287" s="4">
        <v>39</v>
      </c>
    </row>
    <row r="288" spans="1:23" ht="11.25" customHeight="1" x14ac:dyDescent="0.25">
      <c r="A288" s="4" t="s">
        <v>21</v>
      </c>
      <c r="B288" s="4" t="s">
        <v>22</v>
      </c>
      <c r="C288" s="4" t="s">
        <v>23</v>
      </c>
      <c r="D288" s="4" t="s">
        <v>24</v>
      </c>
      <c r="E288" s="4" t="s">
        <v>29</v>
      </c>
      <c r="F288" s="4" t="s">
        <v>25</v>
      </c>
      <c r="G288" s="4" t="s">
        <v>25</v>
      </c>
      <c r="H288" s="4" t="s">
        <v>25</v>
      </c>
      <c r="I288" s="5">
        <v>44652</v>
      </c>
      <c r="J288" s="6">
        <v>0</v>
      </c>
      <c r="K288" s="6">
        <v>0</v>
      </c>
      <c r="L288" s="6">
        <v>4.08</v>
      </c>
      <c r="M288" s="6">
        <v>4.08</v>
      </c>
      <c r="N288" s="6">
        <v>4.08</v>
      </c>
      <c r="O288" s="6">
        <v>4.08</v>
      </c>
      <c r="P288" s="6">
        <v>3</v>
      </c>
      <c r="Q288" s="4" t="s">
        <v>26</v>
      </c>
      <c r="R288" s="4">
        <v>0</v>
      </c>
      <c r="S288" s="4" t="s">
        <v>183</v>
      </c>
      <c r="T288" s="4" t="s">
        <v>308</v>
      </c>
      <c r="U288" s="4">
        <v>0</v>
      </c>
      <c r="V288" s="4">
        <v>21</v>
      </c>
      <c r="W288" s="4">
        <v>39</v>
      </c>
    </row>
    <row r="289" spans="1:23" ht="11.25" customHeight="1" x14ac:dyDescent="0.25">
      <c r="A289" s="4" t="s">
        <v>21</v>
      </c>
      <c r="B289" s="4" t="s">
        <v>22</v>
      </c>
      <c r="C289" s="4" t="s">
        <v>23</v>
      </c>
      <c r="D289" s="4" t="s">
        <v>24</v>
      </c>
      <c r="E289" s="4" t="s">
        <v>29</v>
      </c>
      <c r="F289" s="4" t="s">
        <v>25</v>
      </c>
      <c r="G289" s="4" t="s">
        <v>25</v>
      </c>
      <c r="H289" s="4" t="s">
        <v>25</v>
      </c>
      <c r="I289" s="5">
        <v>44682</v>
      </c>
      <c r="J289" s="6">
        <v>0</v>
      </c>
      <c r="K289" s="6">
        <v>0</v>
      </c>
      <c r="L289" s="6">
        <v>4.1399999999999997</v>
      </c>
      <c r="M289" s="6">
        <v>4.1399999999999997</v>
      </c>
      <c r="N289" s="6">
        <v>4.1399999999999997</v>
      </c>
      <c r="O289" s="6">
        <v>4.1399999999999997</v>
      </c>
      <c r="P289" s="6">
        <v>1</v>
      </c>
      <c r="Q289" s="4" t="s">
        <v>26</v>
      </c>
      <c r="R289" s="4">
        <v>0</v>
      </c>
      <c r="S289" s="4" t="s">
        <v>184</v>
      </c>
      <c r="T289" s="4" t="s">
        <v>309</v>
      </c>
      <c r="U289" s="4">
        <v>0</v>
      </c>
      <c r="V289" s="4">
        <v>21</v>
      </c>
      <c r="W289" s="4">
        <v>39</v>
      </c>
    </row>
    <row r="290" spans="1:23" ht="11.25" customHeight="1" x14ac:dyDescent="0.25">
      <c r="A290" s="4" t="s">
        <v>28</v>
      </c>
      <c r="B290" s="4" t="s">
        <v>22</v>
      </c>
      <c r="C290" s="4" t="s">
        <v>23</v>
      </c>
      <c r="D290" s="4" t="s">
        <v>24</v>
      </c>
      <c r="E290" s="4" t="s">
        <v>29</v>
      </c>
      <c r="F290" s="4" t="s">
        <v>25</v>
      </c>
      <c r="G290" s="4" t="s">
        <v>25</v>
      </c>
      <c r="H290" s="4" t="s">
        <v>25</v>
      </c>
      <c r="I290" s="5">
        <v>44682</v>
      </c>
      <c r="J290" s="6">
        <v>0</v>
      </c>
      <c r="K290" s="6">
        <v>0</v>
      </c>
      <c r="L290" s="6">
        <v>1.0999999999999999E-2</v>
      </c>
      <c r="M290" s="6">
        <v>3.8500000000000001E-3</v>
      </c>
      <c r="N290" s="6">
        <v>1.0999999999999999E-2</v>
      </c>
      <c r="O290" s="6">
        <v>3.8500000000000001E-3</v>
      </c>
      <c r="P290" s="6">
        <v>0</v>
      </c>
      <c r="Q290" s="4" t="s">
        <v>26</v>
      </c>
      <c r="R290" s="4">
        <v>0</v>
      </c>
      <c r="S290" s="4" t="s">
        <v>184</v>
      </c>
      <c r="T290" s="4" t="s">
        <v>309</v>
      </c>
      <c r="U290" s="4">
        <v>0</v>
      </c>
      <c r="V290" s="4">
        <v>21</v>
      </c>
      <c r="W290" s="4">
        <v>39</v>
      </c>
    </row>
    <row r="291" spans="1:23" ht="11.25" customHeight="1" x14ac:dyDescent="0.25">
      <c r="A291" s="4" t="s">
        <v>21</v>
      </c>
      <c r="B291" s="4" t="s">
        <v>22</v>
      </c>
      <c r="C291" s="4" t="s">
        <v>23</v>
      </c>
      <c r="D291" s="4" t="s">
        <v>24</v>
      </c>
      <c r="E291" s="4" t="s">
        <v>29</v>
      </c>
      <c r="F291" s="4" t="s">
        <v>25</v>
      </c>
      <c r="G291" s="4" t="s">
        <v>25</v>
      </c>
      <c r="H291" s="4" t="s">
        <v>25</v>
      </c>
      <c r="I291" s="5">
        <v>44713</v>
      </c>
      <c r="J291" s="6">
        <v>0</v>
      </c>
      <c r="K291" s="6">
        <v>0</v>
      </c>
      <c r="L291" s="6">
        <v>4.2</v>
      </c>
      <c r="M291" s="6">
        <v>4.2</v>
      </c>
      <c r="N291" s="6">
        <v>4.2</v>
      </c>
      <c r="O291" s="6">
        <v>4.2</v>
      </c>
      <c r="P291" s="6">
        <v>4</v>
      </c>
      <c r="Q291" s="4" t="s">
        <v>26</v>
      </c>
      <c r="R291" s="4">
        <v>0</v>
      </c>
      <c r="S291" s="4" t="s">
        <v>185</v>
      </c>
      <c r="T291" s="4" t="s">
        <v>310</v>
      </c>
      <c r="U291" s="4">
        <v>0</v>
      </c>
      <c r="V291" s="4">
        <v>21</v>
      </c>
      <c r="W291" s="4">
        <v>39</v>
      </c>
    </row>
    <row r="292" spans="1:23" ht="11.25" customHeight="1" x14ac:dyDescent="0.25">
      <c r="A292" s="4" t="s">
        <v>28</v>
      </c>
      <c r="B292" s="4" t="s">
        <v>22</v>
      </c>
      <c r="C292" s="4" t="s">
        <v>23</v>
      </c>
      <c r="D292" s="4" t="s">
        <v>24</v>
      </c>
      <c r="E292" s="4" t="s">
        <v>29</v>
      </c>
      <c r="F292" s="4" t="s">
        <v>25</v>
      </c>
      <c r="G292" s="4" t="s">
        <v>25</v>
      </c>
      <c r="H292" s="4" t="s">
        <v>25</v>
      </c>
      <c r="I292" s="5">
        <v>44713</v>
      </c>
      <c r="J292" s="6">
        <v>0</v>
      </c>
      <c r="K292" s="6">
        <v>0</v>
      </c>
      <c r="L292" s="6">
        <v>0.03</v>
      </c>
      <c r="M292" s="6">
        <v>1.0500000000000001E-2</v>
      </c>
      <c r="N292" s="6">
        <v>0.03</v>
      </c>
      <c r="O292" s="6">
        <v>1.0500000000000001E-2</v>
      </c>
      <c r="P292" s="6">
        <v>0</v>
      </c>
      <c r="Q292" s="4" t="s">
        <v>26</v>
      </c>
      <c r="R292" s="4">
        <v>0</v>
      </c>
      <c r="S292" s="4" t="s">
        <v>185</v>
      </c>
      <c r="T292" s="4" t="s">
        <v>310</v>
      </c>
      <c r="U292" s="4">
        <v>0</v>
      </c>
      <c r="V292" s="4">
        <v>21</v>
      </c>
      <c r="W292" s="4">
        <v>39</v>
      </c>
    </row>
    <row r="293" spans="1:23" ht="11.25" customHeight="1" x14ac:dyDescent="0.25">
      <c r="A293" s="4" t="s">
        <v>21</v>
      </c>
      <c r="B293" s="4" t="s">
        <v>22</v>
      </c>
      <c r="C293" s="4" t="s">
        <v>23</v>
      </c>
      <c r="D293" s="4" t="s">
        <v>24</v>
      </c>
      <c r="E293" s="4" t="s">
        <v>29</v>
      </c>
      <c r="F293" s="4" t="s">
        <v>25</v>
      </c>
      <c r="G293" s="4" t="s">
        <v>25</v>
      </c>
      <c r="H293" s="4" t="s">
        <v>25</v>
      </c>
      <c r="I293" s="5">
        <v>44743</v>
      </c>
      <c r="J293" s="6">
        <v>0</v>
      </c>
      <c r="K293" s="6">
        <v>0</v>
      </c>
      <c r="L293" s="6">
        <v>3.87</v>
      </c>
      <c r="M293" s="6">
        <v>3.87</v>
      </c>
      <c r="N293" s="6">
        <v>3.87</v>
      </c>
      <c r="O293" s="6">
        <v>3.87</v>
      </c>
      <c r="P293" s="6">
        <v>4</v>
      </c>
      <c r="Q293" s="4" t="s">
        <v>26</v>
      </c>
      <c r="R293" s="4">
        <v>0</v>
      </c>
      <c r="S293" s="4" t="s">
        <v>186</v>
      </c>
      <c r="T293" s="4" t="s">
        <v>311</v>
      </c>
      <c r="U293" s="4">
        <v>0</v>
      </c>
      <c r="V293" s="4">
        <v>21</v>
      </c>
      <c r="W293" s="4">
        <v>39</v>
      </c>
    </row>
    <row r="294" spans="1:23" ht="11.25" customHeight="1" x14ac:dyDescent="0.25">
      <c r="A294" s="4" t="s">
        <v>28</v>
      </c>
      <c r="B294" s="4" t="s">
        <v>22</v>
      </c>
      <c r="C294" s="4" t="s">
        <v>23</v>
      </c>
      <c r="D294" s="4" t="s">
        <v>24</v>
      </c>
      <c r="E294" s="4" t="s">
        <v>29</v>
      </c>
      <c r="F294" s="4" t="s">
        <v>25</v>
      </c>
      <c r="G294" s="4" t="s">
        <v>25</v>
      </c>
      <c r="H294" s="4" t="s">
        <v>25</v>
      </c>
      <c r="I294" s="5">
        <v>44743</v>
      </c>
      <c r="J294" s="6">
        <v>0</v>
      </c>
      <c r="K294" s="6">
        <v>0</v>
      </c>
      <c r="L294" s="6">
        <v>0.03</v>
      </c>
      <c r="M294" s="6">
        <v>0.03</v>
      </c>
      <c r="N294" s="6">
        <v>0.03</v>
      </c>
      <c r="O294" s="6">
        <v>0.03</v>
      </c>
      <c r="P294" s="6">
        <v>1</v>
      </c>
      <c r="Q294" s="4" t="s">
        <v>26</v>
      </c>
      <c r="R294" s="4">
        <v>0</v>
      </c>
      <c r="S294" s="4" t="s">
        <v>186</v>
      </c>
      <c r="T294" s="4" t="s">
        <v>311</v>
      </c>
      <c r="U294" s="4">
        <v>0</v>
      </c>
      <c r="V294" s="4">
        <v>21</v>
      </c>
      <c r="W294" s="4">
        <v>39</v>
      </c>
    </row>
    <row r="295" spans="1:23" ht="11.25" customHeight="1" x14ac:dyDescent="0.25">
      <c r="A295" s="4" t="s">
        <v>21</v>
      </c>
      <c r="B295" s="4" t="s">
        <v>22</v>
      </c>
      <c r="C295" s="4" t="s">
        <v>23</v>
      </c>
      <c r="D295" s="4" t="s">
        <v>24</v>
      </c>
      <c r="E295" s="4" t="s">
        <v>29</v>
      </c>
      <c r="F295" s="4" t="s">
        <v>25</v>
      </c>
      <c r="G295" s="4" t="s">
        <v>25</v>
      </c>
      <c r="H295" s="4" t="s">
        <v>25</v>
      </c>
      <c r="I295" s="5">
        <v>44774</v>
      </c>
      <c r="J295" s="6">
        <v>0</v>
      </c>
      <c r="K295" s="6">
        <v>0</v>
      </c>
      <c r="L295" s="6">
        <v>3.93</v>
      </c>
      <c r="M295" s="6">
        <v>3.93</v>
      </c>
      <c r="N295" s="6">
        <v>3.93</v>
      </c>
      <c r="O295" s="6">
        <v>3.93</v>
      </c>
      <c r="P295" s="6">
        <v>7</v>
      </c>
      <c r="Q295" s="4" t="s">
        <v>26</v>
      </c>
      <c r="R295" s="4">
        <v>0</v>
      </c>
      <c r="S295" s="4" t="s">
        <v>187</v>
      </c>
      <c r="T295" s="4" t="s">
        <v>312</v>
      </c>
      <c r="U295" s="4">
        <v>0</v>
      </c>
      <c r="V295" s="4">
        <v>21</v>
      </c>
      <c r="W295" s="4">
        <v>39</v>
      </c>
    </row>
    <row r="296" spans="1:23" ht="11.25" customHeight="1" x14ac:dyDescent="0.25">
      <c r="A296" s="4" t="s">
        <v>21</v>
      </c>
      <c r="B296" s="4" t="s">
        <v>22</v>
      </c>
      <c r="C296" s="4" t="s">
        <v>23</v>
      </c>
      <c r="D296" s="4" t="s">
        <v>24</v>
      </c>
      <c r="E296" s="4" t="s">
        <v>30</v>
      </c>
      <c r="F296" s="4" t="s">
        <v>25</v>
      </c>
      <c r="G296" s="4" t="s">
        <v>25</v>
      </c>
      <c r="H296" s="4" t="s">
        <v>25</v>
      </c>
      <c r="I296" s="5">
        <v>44440</v>
      </c>
      <c r="J296" s="6">
        <v>0</v>
      </c>
      <c r="K296" s="6">
        <v>0</v>
      </c>
      <c r="L296" s="6">
        <v>2.0699999999999998</v>
      </c>
      <c r="M296" s="6">
        <v>2.0699999999999998</v>
      </c>
      <c r="N296" s="6">
        <v>2.0699999999999998</v>
      </c>
      <c r="O296" s="6">
        <v>2.0699999999999998</v>
      </c>
      <c r="P296" s="6">
        <v>5</v>
      </c>
      <c r="Q296" s="4" t="s">
        <v>26</v>
      </c>
      <c r="R296" s="4">
        <v>0</v>
      </c>
      <c r="S296" s="4" t="s">
        <v>188</v>
      </c>
      <c r="T296" s="4" t="s">
        <v>313</v>
      </c>
      <c r="U296" s="4">
        <v>0</v>
      </c>
      <c r="V296" s="4">
        <v>9</v>
      </c>
      <c r="W296" s="4">
        <v>52</v>
      </c>
    </row>
    <row r="297" spans="1:23" ht="11.25" customHeight="1" x14ac:dyDescent="0.25">
      <c r="A297" s="4" t="s">
        <v>21</v>
      </c>
      <c r="B297" s="4" t="s">
        <v>22</v>
      </c>
      <c r="C297" s="4" t="s">
        <v>23</v>
      </c>
      <c r="D297" s="4" t="s">
        <v>24</v>
      </c>
      <c r="E297" s="4" t="s">
        <v>30</v>
      </c>
      <c r="F297" s="4" t="s">
        <v>25</v>
      </c>
      <c r="G297" s="4" t="s">
        <v>25</v>
      </c>
      <c r="H297" s="4" t="s">
        <v>25</v>
      </c>
      <c r="I297" s="5">
        <v>44470</v>
      </c>
      <c r="J297" s="6">
        <v>0</v>
      </c>
      <c r="K297" s="6">
        <v>0</v>
      </c>
      <c r="L297" s="6">
        <v>2.2440000000000002</v>
      </c>
      <c r="M297" s="6">
        <v>2.2440000000000002</v>
      </c>
      <c r="N297" s="6">
        <v>2.2440000000000002</v>
      </c>
      <c r="O297" s="6">
        <v>2.2440000000000002</v>
      </c>
      <c r="P297" s="6">
        <v>9</v>
      </c>
      <c r="Q297" s="4" t="s">
        <v>26</v>
      </c>
      <c r="R297" s="4">
        <v>0</v>
      </c>
      <c r="S297" s="4" t="s">
        <v>189</v>
      </c>
      <c r="T297" s="4" t="s">
        <v>314</v>
      </c>
      <c r="U297" s="4">
        <v>0</v>
      </c>
      <c r="V297" s="4">
        <v>9</v>
      </c>
      <c r="W297" s="4">
        <v>52</v>
      </c>
    </row>
    <row r="298" spans="1:23" ht="11.25" customHeight="1" x14ac:dyDescent="0.25">
      <c r="A298" s="4" t="s">
        <v>21</v>
      </c>
      <c r="B298" s="4" t="s">
        <v>22</v>
      </c>
      <c r="C298" s="4" t="s">
        <v>23</v>
      </c>
      <c r="D298" s="4" t="s">
        <v>24</v>
      </c>
      <c r="E298" s="4" t="s">
        <v>30</v>
      </c>
      <c r="F298" s="4" t="s">
        <v>25</v>
      </c>
      <c r="G298" s="4" t="s">
        <v>25</v>
      </c>
      <c r="H298" s="4" t="s">
        <v>25</v>
      </c>
      <c r="I298" s="5">
        <v>44501</v>
      </c>
      <c r="J298" s="6">
        <v>0</v>
      </c>
      <c r="K298" s="6">
        <v>0</v>
      </c>
      <c r="L298" s="6">
        <v>2.5049999999999999</v>
      </c>
      <c r="M298" s="6">
        <v>2.5049999999999999</v>
      </c>
      <c r="N298" s="6">
        <v>2.5049999999999999</v>
      </c>
      <c r="O298" s="6">
        <v>2.5049999999999999</v>
      </c>
      <c r="P298" s="6">
        <v>5</v>
      </c>
      <c r="Q298" s="4" t="s">
        <v>26</v>
      </c>
      <c r="R298" s="4">
        <v>0</v>
      </c>
      <c r="S298" s="4" t="s">
        <v>190</v>
      </c>
      <c r="T298" s="4" t="s">
        <v>315</v>
      </c>
      <c r="U298" s="4">
        <v>0</v>
      </c>
      <c r="V298" s="4">
        <v>9</v>
      </c>
      <c r="W298" s="4">
        <v>52</v>
      </c>
    </row>
    <row r="299" spans="1:23" ht="11.25" customHeight="1" x14ac:dyDescent="0.25">
      <c r="A299" s="4" t="s">
        <v>21</v>
      </c>
      <c r="B299" s="4" t="s">
        <v>22</v>
      </c>
      <c r="C299" s="4" t="s">
        <v>23</v>
      </c>
      <c r="D299" s="4" t="s">
        <v>24</v>
      </c>
      <c r="E299" s="4" t="s">
        <v>30</v>
      </c>
      <c r="F299" s="4" t="s">
        <v>25</v>
      </c>
      <c r="G299" s="4" t="s">
        <v>25</v>
      </c>
      <c r="H299" s="4" t="s">
        <v>25</v>
      </c>
      <c r="I299" s="5">
        <v>44531</v>
      </c>
      <c r="J299" s="6">
        <v>0</v>
      </c>
      <c r="K299" s="6">
        <v>0</v>
      </c>
      <c r="L299" s="6">
        <v>2.444</v>
      </c>
      <c r="M299" s="6">
        <v>2.444</v>
      </c>
      <c r="N299" s="6">
        <v>2.444</v>
      </c>
      <c r="O299" s="6">
        <v>2.444</v>
      </c>
      <c r="P299" s="6">
        <v>3</v>
      </c>
      <c r="Q299" s="4" t="s">
        <v>26</v>
      </c>
      <c r="R299" s="4">
        <v>0</v>
      </c>
      <c r="S299" s="4" t="s">
        <v>191</v>
      </c>
      <c r="T299" s="4" t="s">
        <v>316</v>
      </c>
      <c r="U299" s="4">
        <v>0</v>
      </c>
      <c r="V299" s="4">
        <v>9</v>
      </c>
      <c r="W299" s="4">
        <v>52</v>
      </c>
    </row>
    <row r="300" spans="1:23" ht="11.25" customHeight="1" x14ac:dyDescent="0.25">
      <c r="A300" s="4" t="s">
        <v>21</v>
      </c>
      <c r="B300" s="4" t="s">
        <v>22</v>
      </c>
      <c r="C300" s="4" t="s">
        <v>23</v>
      </c>
      <c r="D300" s="4" t="s">
        <v>24</v>
      </c>
      <c r="E300" s="4" t="s">
        <v>30</v>
      </c>
      <c r="F300" s="4" t="s">
        <v>25</v>
      </c>
      <c r="G300" s="4" t="s">
        <v>25</v>
      </c>
      <c r="H300" s="4" t="s">
        <v>25</v>
      </c>
      <c r="I300" s="5">
        <v>44562</v>
      </c>
      <c r="J300" s="6">
        <v>0</v>
      </c>
      <c r="K300" s="6">
        <v>0</v>
      </c>
      <c r="L300" s="6">
        <v>2.5230000000000001</v>
      </c>
      <c r="M300" s="6">
        <v>2.5230000000000001</v>
      </c>
      <c r="N300" s="6">
        <v>2.5230000000000001</v>
      </c>
      <c r="O300" s="6">
        <v>2.5230000000000001</v>
      </c>
      <c r="P300" s="6">
        <v>5</v>
      </c>
      <c r="Q300" s="4" t="s">
        <v>26</v>
      </c>
      <c r="R300" s="4">
        <v>0</v>
      </c>
      <c r="S300" s="4" t="s">
        <v>192</v>
      </c>
      <c r="T300" s="4" t="s">
        <v>317</v>
      </c>
      <c r="U300" s="4">
        <v>0</v>
      </c>
      <c r="V300" s="4">
        <v>9</v>
      </c>
      <c r="W300" s="4">
        <v>52</v>
      </c>
    </row>
    <row r="301" spans="1:23" ht="11.25" customHeight="1" x14ac:dyDescent="0.25">
      <c r="A301" s="4" t="s">
        <v>21</v>
      </c>
      <c r="B301" s="4" t="s">
        <v>22</v>
      </c>
      <c r="C301" s="4" t="s">
        <v>23</v>
      </c>
      <c r="D301" s="4" t="s">
        <v>24</v>
      </c>
      <c r="E301" s="4" t="s">
        <v>30</v>
      </c>
      <c r="F301" s="4" t="s">
        <v>25</v>
      </c>
      <c r="G301" s="4" t="s">
        <v>25</v>
      </c>
      <c r="H301" s="4" t="s">
        <v>25</v>
      </c>
      <c r="I301" s="5">
        <v>44593</v>
      </c>
      <c r="J301" s="6">
        <v>0</v>
      </c>
      <c r="K301" s="6">
        <v>0</v>
      </c>
      <c r="L301" s="6">
        <v>4.7779999999999996</v>
      </c>
      <c r="M301" s="6">
        <v>4.7779999999999996</v>
      </c>
      <c r="N301" s="6">
        <v>4.7779999999999996</v>
      </c>
      <c r="O301" s="6">
        <v>4.7779999999999996</v>
      </c>
      <c r="P301" s="6">
        <v>17</v>
      </c>
      <c r="Q301" s="4" t="s">
        <v>26</v>
      </c>
      <c r="R301" s="4">
        <v>0</v>
      </c>
      <c r="S301" s="4" t="s">
        <v>193</v>
      </c>
      <c r="T301" s="4" t="s">
        <v>318</v>
      </c>
      <c r="U301" s="4">
        <v>0</v>
      </c>
      <c r="V301" s="4">
        <v>9</v>
      </c>
      <c r="W301" s="4">
        <v>52</v>
      </c>
    </row>
    <row r="302" spans="1:23" ht="11.25" customHeight="1" x14ac:dyDescent="0.25">
      <c r="A302" s="4" t="s">
        <v>21</v>
      </c>
      <c r="B302" s="4" t="s">
        <v>22</v>
      </c>
      <c r="C302" s="4" t="s">
        <v>23</v>
      </c>
      <c r="D302" s="4" t="s">
        <v>24</v>
      </c>
      <c r="E302" s="4" t="s">
        <v>30</v>
      </c>
      <c r="F302" s="4" t="s">
        <v>25</v>
      </c>
      <c r="G302" s="4" t="s">
        <v>25</v>
      </c>
      <c r="H302" s="4" t="s">
        <v>25</v>
      </c>
      <c r="I302" s="5">
        <v>44621</v>
      </c>
      <c r="J302" s="6">
        <v>0</v>
      </c>
      <c r="K302" s="6">
        <v>0</v>
      </c>
      <c r="L302" s="6">
        <v>4.8440000000000003</v>
      </c>
      <c r="M302" s="6">
        <v>4.8440000000000003</v>
      </c>
      <c r="N302" s="6">
        <v>4.8440000000000003</v>
      </c>
      <c r="O302" s="6">
        <v>4.8440000000000003</v>
      </c>
      <c r="P302" s="6">
        <v>22</v>
      </c>
      <c r="Q302" s="4" t="s">
        <v>26</v>
      </c>
      <c r="R302" s="4">
        <v>0</v>
      </c>
      <c r="S302" s="4" t="s">
        <v>194</v>
      </c>
      <c r="T302" s="4" t="s">
        <v>319</v>
      </c>
      <c r="U302" s="4">
        <v>0</v>
      </c>
      <c r="V302" s="4">
        <v>9</v>
      </c>
      <c r="W302" s="4">
        <v>52</v>
      </c>
    </row>
    <row r="303" spans="1:23" ht="11.25" customHeight="1" x14ac:dyDescent="0.25">
      <c r="A303" s="4" t="s">
        <v>21</v>
      </c>
      <c r="B303" s="4" t="s">
        <v>22</v>
      </c>
      <c r="C303" s="4" t="s">
        <v>23</v>
      </c>
      <c r="D303" s="4" t="s">
        <v>24</v>
      </c>
      <c r="E303" s="4" t="s">
        <v>30</v>
      </c>
      <c r="F303" s="4" t="s">
        <v>25</v>
      </c>
      <c r="G303" s="4" t="s">
        <v>25</v>
      </c>
      <c r="H303" s="4" t="s">
        <v>25</v>
      </c>
      <c r="I303" s="5">
        <v>44652</v>
      </c>
      <c r="J303" s="6">
        <v>0</v>
      </c>
      <c r="K303" s="6">
        <v>0</v>
      </c>
      <c r="L303" s="6">
        <v>8.1080000000000005</v>
      </c>
      <c r="M303" s="6">
        <v>8.1080000000000005</v>
      </c>
      <c r="N303" s="6">
        <v>8.1080000000000005</v>
      </c>
      <c r="O303" s="6">
        <v>8.1080000000000005</v>
      </c>
      <c r="P303" s="6">
        <v>34</v>
      </c>
      <c r="Q303" s="4" t="s">
        <v>26</v>
      </c>
      <c r="R303" s="4">
        <v>0</v>
      </c>
      <c r="S303" s="4" t="s">
        <v>195</v>
      </c>
      <c r="T303" s="4" t="s">
        <v>320</v>
      </c>
      <c r="U303" s="4">
        <v>0</v>
      </c>
      <c r="V303" s="4">
        <v>9</v>
      </c>
      <c r="W303" s="4">
        <v>52</v>
      </c>
    </row>
    <row r="304" spans="1:23" ht="11.25" customHeight="1" x14ac:dyDescent="0.25">
      <c r="A304" s="4" t="s">
        <v>21</v>
      </c>
      <c r="B304" s="4" t="s">
        <v>22</v>
      </c>
      <c r="C304" s="4" t="s">
        <v>23</v>
      </c>
      <c r="D304" s="4" t="s">
        <v>24</v>
      </c>
      <c r="E304" s="4" t="s">
        <v>30</v>
      </c>
      <c r="F304" s="4" t="s">
        <v>25</v>
      </c>
      <c r="G304" s="4" t="s">
        <v>25</v>
      </c>
      <c r="H304" s="4" t="s">
        <v>25</v>
      </c>
      <c r="I304" s="5">
        <v>44682</v>
      </c>
      <c r="J304" s="6">
        <v>0</v>
      </c>
      <c r="K304" s="6">
        <v>0</v>
      </c>
      <c r="L304" s="6">
        <v>8.173</v>
      </c>
      <c r="M304" s="6">
        <v>8.173</v>
      </c>
      <c r="N304" s="6">
        <v>8.173</v>
      </c>
      <c r="O304" s="6">
        <v>8.173</v>
      </c>
      <c r="P304" s="6">
        <v>38</v>
      </c>
      <c r="Q304" s="4" t="s">
        <v>26</v>
      </c>
      <c r="R304" s="4">
        <v>0</v>
      </c>
      <c r="S304" s="4" t="s">
        <v>196</v>
      </c>
      <c r="T304" s="4" t="s">
        <v>321</v>
      </c>
      <c r="U304" s="4">
        <v>0</v>
      </c>
      <c r="V304" s="4">
        <v>9</v>
      </c>
      <c r="W304" s="4">
        <v>52</v>
      </c>
    </row>
    <row r="305" spans="1:23" ht="11.25" customHeight="1" x14ac:dyDescent="0.25">
      <c r="A305" s="4" t="s">
        <v>21</v>
      </c>
      <c r="B305" s="4" t="s">
        <v>22</v>
      </c>
      <c r="C305" s="4" t="s">
        <v>23</v>
      </c>
      <c r="D305" s="4" t="s">
        <v>24</v>
      </c>
      <c r="E305" s="4" t="s">
        <v>30</v>
      </c>
      <c r="F305" s="4" t="s">
        <v>25</v>
      </c>
      <c r="G305" s="4" t="s">
        <v>25</v>
      </c>
      <c r="H305" s="4" t="s">
        <v>25</v>
      </c>
      <c r="I305" s="5">
        <v>44713</v>
      </c>
      <c r="J305" s="6">
        <v>0</v>
      </c>
      <c r="K305" s="6">
        <v>0</v>
      </c>
      <c r="L305" s="6">
        <v>8.3079999999999998</v>
      </c>
      <c r="M305" s="6">
        <v>8.3079999999999998</v>
      </c>
      <c r="N305" s="6">
        <v>8.3079999999999998</v>
      </c>
      <c r="O305" s="6">
        <v>8.3079999999999998</v>
      </c>
      <c r="P305" s="6">
        <v>38</v>
      </c>
      <c r="Q305" s="4" t="s">
        <v>26</v>
      </c>
      <c r="R305" s="4">
        <v>0</v>
      </c>
      <c r="S305" s="4" t="s">
        <v>197</v>
      </c>
      <c r="T305" s="4" t="s">
        <v>322</v>
      </c>
      <c r="U305" s="4">
        <v>0</v>
      </c>
      <c r="V305" s="4">
        <v>9</v>
      </c>
      <c r="W305" s="4">
        <v>52</v>
      </c>
    </row>
    <row r="306" spans="1:23" ht="11.25" customHeight="1" x14ac:dyDescent="0.25">
      <c r="A306" s="4" t="s">
        <v>21</v>
      </c>
      <c r="B306" s="4" t="s">
        <v>22</v>
      </c>
      <c r="C306" s="4" t="s">
        <v>23</v>
      </c>
      <c r="D306" s="4" t="s">
        <v>24</v>
      </c>
      <c r="E306" s="4" t="s">
        <v>30</v>
      </c>
      <c r="F306" s="4" t="s">
        <v>25</v>
      </c>
      <c r="G306" s="4" t="s">
        <v>25</v>
      </c>
      <c r="H306" s="4" t="s">
        <v>25</v>
      </c>
      <c r="I306" s="5">
        <v>44743</v>
      </c>
      <c r="J306" s="6">
        <v>0</v>
      </c>
      <c r="K306" s="6">
        <v>0</v>
      </c>
      <c r="L306" s="6">
        <v>7.3650000000000002</v>
      </c>
      <c r="M306" s="6">
        <v>7.3650000000000002</v>
      </c>
      <c r="N306" s="6">
        <v>7.3650000000000002</v>
      </c>
      <c r="O306" s="6">
        <v>7.3650000000000002</v>
      </c>
      <c r="P306" s="6">
        <v>35</v>
      </c>
      <c r="Q306" s="4" t="s">
        <v>26</v>
      </c>
      <c r="R306" s="4">
        <v>0</v>
      </c>
      <c r="S306" s="4" t="s">
        <v>198</v>
      </c>
      <c r="T306" s="4" t="s">
        <v>323</v>
      </c>
      <c r="U306" s="4">
        <v>0</v>
      </c>
      <c r="V306" s="4">
        <v>9</v>
      </c>
      <c r="W306" s="4">
        <v>52</v>
      </c>
    </row>
    <row r="307" spans="1:23" ht="11.25" customHeight="1" x14ac:dyDescent="0.25">
      <c r="A307" s="4" t="s">
        <v>21</v>
      </c>
      <c r="B307" s="4" t="s">
        <v>22</v>
      </c>
      <c r="C307" s="4" t="s">
        <v>23</v>
      </c>
      <c r="D307" s="4" t="s">
        <v>24</v>
      </c>
      <c r="E307" s="4" t="s">
        <v>30</v>
      </c>
      <c r="F307" s="4" t="s">
        <v>25</v>
      </c>
      <c r="G307" s="4" t="s">
        <v>25</v>
      </c>
      <c r="H307" s="4" t="s">
        <v>25</v>
      </c>
      <c r="I307" s="5">
        <v>44774</v>
      </c>
      <c r="J307" s="6">
        <v>0</v>
      </c>
      <c r="K307" s="6">
        <v>0</v>
      </c>
      <c r="L307" s="6">
        <v>7.5730000000000004</v>
      </c>
      <c r="M307" s="6">
        <v>7.5730000000000004</v>
      </c>
      <c r="N307" s="6">
        <v>7.5730000000000004</v>
      </c>
      <c r="O307" s="6">
        <v>7.5730000000000004</v>
      </c>
      <c r="P307" s="6">
        <v>32</v>
      </c>
      <c r="Q307" s="4" t="s">
        <v>26</v>
      </c>
      <c r="R307" s="4">
        <v>0</v>
      </c>
      <c r="S307" s="4" t="s">
        <v>199</v>
      </c>
      <c r="T307" s="4" t="s">
        <v>324</v>
      </c>
      <c r="U307" s="4">
        <v>0</v>
      </c>
      <c r="V307" s="4">
        <v>9</v>
      </c>
      <c r="W307" s="4">
        <v>52</v>
      </c>
    </row>
    <row r="308" spans="1:23" ht="11.25" customHeight="1" x14ac:dyDescent="0.25">
      <c r="A308" s="4" t="s">
        <v>21</v>
      </c>
      <c r="B308" s="4" t="s">
        <v>22</v>
      </c>
      <c r="C308" s="4" t="s">
        <v>23</v>
      </c>
      <c r="D308" s="4" t="s">
        <v>24</v>
      </c>
      <c r="E308" s="4" t="s">
        <v>31</v>
      </c>
      <c r="F308" s="4" t="s">
        <v>25</v>
      </c>
      <c r="G308" s="4" t="s">
        <v>25</v>
      </c>
      <c r="H308" s="4" t="s">
        <v>25</v>
      </c>
      <c r="I308" s="5">
        <v>44440</v>
      </c>
      <c r="J308" s="6">
        <v>0</v>
      </c>
      <c r="K308" s="6">
        <v>0</v>
      </c>
      <c r="L308" s="6">
        <v>2.093</v>
      </c>
      <c r="M308" s="6">
        <v>2.093</v>
      </c>
      <c r="N308" s="6">
        <v>2.093</v>
      </c>
      <c r="O308" s="6">
        <v>2.093</v>
      </c>
      <c r="P308" s="6">
        <v>19</v>
      </c>
      <c r="Q308" s="4" t="s">
        <v>26</v>
      </c>
      <c r="R308" s="4">
        <v>0</v>
      </c>
      <c r="S308" s="4" t="s">
        <v>200</v>
      </c>
      <c r="T308" s="4" t="s">
        <v>325</v>
      </c>
      <c r="U308" s="4">
        <v>0</v>
      </c>
      <c r="V308" s="4">
        <v>8</v>
      </c>
      <c r="W308" s="4">
        <v>61</v>
      </c>
    </row>
    <row r="309" spans="1:23" ht="11.25" customHeight="1" x14ac:dyDescent="0.25">
      <c r="A309" s="4" t="s">
        <v>21</v>
      </c>
      <c r="B309" s="4" t="s">
        <v>22</v>
      </c>
      <c r="C309" s="4" t="s">
        <v>23</v>
      </c>
      <c r="D309" s="4" t="s">
        <v>24</v>
      </c>
      <c r="E309" s="4" t="s">
        <v>31</v>
      </c>
      <c r="F309" s="4" t="s">
        <v>25</v>
      </c>
      <c r="G309" s="4" t="s">
        <v>25</v>
      </c>
      <c r="H309" s="4" t="s">
        <v>25</v>
      </c>
      <c r="I309" s="5">
        <v>44470</v>
      </c>
      <c r="J309" s="6">
        <v>0</v>
      </c>
      <c r="K309" s="6">
        <v>0</v>
      </c>
      <c r="L309" s="6">
        <v>2.202</v>
      </c>
      <c r="M309" s="6">
        <v>2.202</v>
      </c>
      <c r="N309" s="6">
        <v>2.202</v>
      </c>
      <c r="O309" s="6">
        <v>2.202</v>
      </c>
      <c r="P309" s="6">
        <v>18</v>
      </c>
      <c r="Q309" s="4" t="s">
        <v>26</v>
      </c>
      <c r="R309" s="4">
        <v>0</v>
      </c>
      <c r="S309" s="4" t="s">
        <v>201</v>
      </c>
      <c r="T309" s="4" t="s">
        <v>326</v>
      </c>
      <c r="U309" s="4">
        <v>0</v>
      </c>
      <c r="V309" s="4">
        <v>8</v>
      </c>
      <c r="W309" s="4">
        <v>61</v>
      </c>
    </row>
    <row r="310" spans="1:23" ht="11.25" customHeight="1" x14ac:dyDescent="0.25">
      <c r="A310" s="4" t="s">
        <v>21</v>
      </c>
      <c r="B310" s="4" t="s">
        <v>22</v>
      </c>
      <c r="C310" s="4" t="s">
        <v>23</v>
      </c>
      <c r="D310" s="4" t="s">
        <v>24</v>
      </c>
      <c r="E310" s="4" t="s">
        <v>31</v>
      </c>
      <c r="F310" s="4" t="s">
        <v>25</v>
      </c>
      <c r="G310" s="4" t="s">
        <v>25</v>
      </c>
      <c r="H310" s="4" t="s">
        <v>25</v>
      </c>
      <c r="I310" s="5">
        <v>44501</v>
      </c>
      <c r="J310" s="6">
        <v>0</v>
      </c>
      <c r="K310" s="6">
        <v>0</v>
      </c>
      <c r="L310" s="6">
        <v>2.254</v>
      </c>
      <c r="M310" s="6">
        <v>2.254</v>
      </c>
      <c r="N310" s="6">
        <v>2.254</v>
      </c>
      <c r="O310" s="6">
        <v>2.254</v>
      </c>
      <c r="P310" s="6">
        <v>23</v>
      </c>
      <c r="Q310" s="4" t="s">
        <v>26</v>
      </c>
      <c r="R310" s="4">
        <v>0</v>
      </c>
      <c r="S310" s="4" t="s">
        <v>202</v>
      </c>
      <c r="T310" s="4" t="s">
        <v>327</v>
      </c>
      <c r="U310" s="4">
        <v>0</v>
      </c>
      <c r="V310" s="4">
        <v>8</v>
      </c>
      <c r="W310" s="4">
        <v>61</v>
      </c>
    </row>
    <row r="311" spans="1:23" ht="11.25" customHeight="1" x14ac:dyDescent="0.25">
      <c r="A311" s="4" t="s">
        <v>21</v>
      </c>
      <c r="B311" s="4" t="s">
        <v>22</v>
      </c>
      <c r="C311" s="4" t="s">
        <v>23</v>
      </c>
      <c r="D311" s="4" t="s">
        <v>24</v>
      </c>
      <c r="E311" s="4" t="s">
        <v>31</v>
      </c>
      <c r="F311" s="4" t="s">
        <v>25</v>
      </c>
      <c r="G311" s="4" t="s">
        <v>25</v>
      </c>
      <c r="H311" s="4" t="s">
        <v>25</v>
      </c>
      <c r="I311" s="5">
        <v>44531</v>
      </c>
      <c r="J311" s="6">
        <v>0</v>
      </c>
      <c r="K311" s="6">
        <v>0</v>
      </c>
      <c r="L311" s="6">
        <v>2.601</v>
      </c>
      <c r="M311" s="6">
        <v>2.601</v>
      </c>
      <c r="N311" s="6">
        <v>2.601</v>
      </c>
      <c r="O311" s="6">
        <v>2.601</v>
      </c>
      <c r="P311" s="6">
        <v>23</v>
      </c>
      <c r="Q311" s="4" t="s">
        <v>26</v>
      </c>
      <c r="R311" s="4">
        <v>0</v>
      </c>
      <c r="S311" s="4" t="s">
        <v>203</v>
      </c>
      <c r="T311" s="4" t="s">
        <v>328</v>
      </c>
      <c r="U311" s="4">
        <v>0</v>
      </c>
      <c r="V311" s="4">
        <v>8</v>
      </c>
      <c r="W311" s="4">
        <v>61</v>
      </c>
    </row>
    <row r="312" spans="1:23" ht="11.25" customHeight="1" x14ac:dyDescent="0.25">
      <c r="A312" s="4" t="s">
        <v>21</v>
      </c>
      <c r="B312" s="4" t="s">
        <v>22</v>
      </c>
      <c r="C312" s="4" t="s">
        <v>23</v>
      </c>
      <c r="D312" s="4" t="s">
        <v>24</v>
      </c>
      <c r="E312" s="4" t="s">
        <v>31</v>
      </c>
      <c r="F312" s="4" t="s">
        <v>25</v>
      </c>
      <c r="G312" s="4" t="s">
        <v>25</v>
      </c>
      <c r="H312" s="4" t="s">
        <v>25</v>
      </c>
      <c r="I312" s="5">
        <v>44562</v>
      </c>
      <c r="J312" s="6">
        <v>0</v>
      </c>
      <c r="K312" s="6">
        <v>0</v>
      </c>
      <c r="L312" s="6">
        <v>2.4950000000000001</v>
      </c>
      <c r="M312" s="6">
        <v>2.4950000000000001</v>
      </c>
      <c r="N312" s="6">
        <v>2.4950000000000001</v>
      </c>
      <c r="O312" s="6">
        <v>2.4950000000000001</v>
      </c>
      <c r="P312" s="6">
        <v>23</v>
      </c>
      <c r="Q312" s="4" t="s">
        <v>26</v>
      </c>
      <c r="R312" s="4">
        <v>0</v>
      </c>
      <c r="S312" s="4" t="s">
        <v>204</v>
      </c>
      <c r="T312" s="4" t="s">
        <v>329</v>
      </c>
      <c r="U312" s="4">
        <v>0</v>
      </c>
      <c r="V312" s="4">
        <v>8</v>
      </c>
      <c r="W312" s="4">
        <v>61</v>
      </c>
    </row>
    <row r="313" spans="1:23" ht="11.25" customHeight="1" x14ac:dyDescent="0.25">
      <c r="A313" s="4" t="s">
        <v>21</v>
      </c>
      <c r="B313" s="4" t="s">
        <v>22</v>
      </c>
      <c r="C313" s="4" t="s">
        <v>23</v>
      </c>
      <c r="D313" s="4" t="s">
        <v>24</v>
      </c>
      <c r="E313" s="4" t="s">
        <v>31</v>
      </c>
      <c r="F313" s="4" t="s">
        <v>25</v>
      </c>
      <c r="G313" s="4" t="s">
        <v>25</v>
      </c>
      <c r="H313" s="4" t="s">
        <v>25</v>
      </c>
      <c r="I313" s="5">
        <v>44593</v>
      </c>
      <c r="J313" s="6">
        <v>0</v>
      </c>
      <c r="K313" s="6">
        <v>0</v>
      </c>
      <c r="L313" s="6">
        <v>4.25</v>
      </c>
      <c r="M313" s="6">
        <v>4.25</v>
      </c>
      <c r="N313" s="6">
        <v>4.25</v>
      </c>
      <c r="O313" s="6">
        <v>4.25</v>
      </c>
      <c r="P313" s="6">
        <v>40</v>
      </c>
      <c r="Q313" s="4" t="s">
        <v>26</v>
      </c>
      <c r="R313" s="4">
        <v>0</v>
      </c>
      <c r="S313" s="4" t="s">
        <v>205</v>
      </c>
      <c r="T313" s="4" t="s">
        <v>330</v>
      </c>
      <c r="U313" s="4">
        <v>0</v>
      </c>
      <c r="V313" s="4">
        <v>8</v>
      </c>
      <c r="W313" s="4">
        <v>61</v>
      </c>
    </row>
    <row r="314" spans="1:23" ht="11.25" customHeight="1" x14ac:dyDescent="0.25">
      <c r="A314" s="4" t="s">
        <v>21</v>
      </c>
      <c r="B314" s="4" t="s">
        <v>22</v>
      </c>
      <c r="C314" s="4" t="s">
        <v>23</v>
      </c>
      <c r="D314" s="4" t="s">
        <v>24</v>
      </c>
      <c r="E314" s="4" t="s">
        <v>31</v>
      </c>
      <c r="F314" s="4" t="s">
        <v>25</v>
      </c>
      <c r="G314" s="4" t="s">
        <v>25</v>
      </c>
      <c r="H314" s="4" t="s">
        <v>25</v>
      </c>
      <c r="I314" s="5">
        <v>44621</v>
      </c>
      <c r="J314" s="6">
        <v>0</v>
      </c>
      <c r="K314" s="6">
        <v>0</v>
      </c>
      <c r="L314" s="6">
        <v>4.2169999999999996</v>
      </c>
      <c r="M314" s="6">
        <v>4.2169999999999996</v>
      </c>
      <c r="N314" s="6">
        <v>4.2169999999999996</v>
      </c>
      <c r="O314" s="6">
        <v>4.2169999999999996</v>
      </c>
      <c r="P314" s="6">
        <v>39</v>
      </c>
      <c r="Q314" s="4" t="s">
        <v>26</v>
      </c>
      <c r="R314" s="4">
        <v>0</v>
      </c>
      <c r="S314" s="4" t="s">
        <v>206</v>
      </c>
      <c r="T314" s="4" t="s">
        <v>331</v>
      </c>
      <c r="U314" s="4">
        <v>0</v>
      </c>
      <c r="V314" s="4">
        <v>8</v>
      </c>
      <c r="W314" s="4">
        <v>61</v>
      </c>
    </row>
    <row r="315" spans="1:23" ht="11.25" customHeight="1" x14ac:dyDescent="0.25">
      <c r="A315" s="4" t="s">
        <v>21</v>
      </c>
      <c r="B315" s="4" t="s">
        <v>22</v>
      </c>
      <c r="C315" s="4" t="s">
        <v>23</v>
      </c>
      <c r="D315" s="4" t="s">
        <v>24</v>
      </c>
      <c r="E315" s="4" t="s">
        <v>31</v>
      </c>
      <c r="F315" s="4" t="s">
        <v>25</v>
      </c>
      <c r="G315" s="4" t="s">
        <v>25</v>
      </c>
      <c r="H315" s="4" t="s">
        <v>25</v>
      </c>
      <c r="I315" s="5">
        <v>44652</v>
      </c>
      <c r="J315" s="6">
        <v>0</v>
      </c>
      <c r="K315" s="6">
        <v>0</v>
      </c>
      <c r="L315" s="6">
        <v>7.976</v>
      </c>
      <c r="M315" s="6">
        <v>7.976</v>
      </c>
      <c r="N315" s="6">
        <v>7.976</v>
      </c>
      <c r="O315" s="6">
        <v>7.976</v>
      </c>
      <c r="P315" s="6">
        <v>61</v>
      </c>
      <c r="Q315" s="4" t="s">
        <v>26</v>
      </c>
      <c r="R315" s="4">
        <v>0</v>
      </c>
      <c r="S315" s="4" t="s">
        <v>207</v>
      </c>
      <c r="T315" s="4" t="s">
        <v>332</v>
      </c>
      <c r="U315" s="4">
        <v>0</v>
      </c>
      <c r="V315" s="4">
        <v>8</v>
      </c>
      <c r="W315" s="4">
        <v>61</v>
      </c>
    </row>
    <row r="316" spans="1:23" ht="11.25" customHeight="1" x14ac:dyDescent="0.25">
      <c r="A316" s="4" t="s">
        <v>21</v>
      </c>
      <c r="B316" s="4" t="s">
        <v>22</v>
      </c>
      <c r="C316" s="4" t="s">
        <v>23</v>
      </c>
      <c r="D316" s="4" t="s">
        <v>24</v>
      </c>
      <c r="E316" s="4" t="s">
        <v>31</v>
      </c>
      <c r="F316" s="4" t="s">
        <v>25</v>
      </c>
      <c r="G316" s="4" t="s">
        <v>25</v>
      </c>
      <c r="H316" s="4" t="s">
        <v>25</v>
      </c>
      <c r="I316" s="5">
        <v>44682</v>
      </c>
      <c r="J316" s="6">
        <v>0</v>
      </c>
      <c r="K316" s="6">
        <v>0</v>
      </c>
      <c r="L316" s="6">
        <v>7.9139999999999997</v>
      </c>
      <c r="M316" s="6">
        <v>7.9139999999999997</v>
      </c>
      <c r="N316" s="6">
        <v>7.9139999999999997</v>
      </c>
      <c r="O316" s="6">
        <v>7.9139999999999997</v>
      </c>
      <c r="P316" s="6">
        <v>57</v>
      </c>
      <c r="Q316" s="4" t="s">
        <v>26</v>
      </c>
      <c r="R316" s="4">
        <v>0</v>
      </c>
      <c r="S316" s="4" t="s">
        <v>208</v>
      </c>
      <c r="T316" s="4" t="s">
        <v>333</v>
      </c>
      <c r="U316" s="4">
        <v>0</v>
      </c>
      <c r="V316" s="4">
        <v>8</v>
      </c>
      <c r="W316" s="4">
        <v>61</v>
      </c>
    </row>
    <row r="317" spans="1:23" ht="11.25" customHeight="1" x14ac:dyDescent="0.25">
      <c r="A317" s="4" t="s">
        <v>21</v>
      </c>
      <c r="B317" s="4" t="s">
        <v>22</v>
      </c>
      <c r="C317" s="4" t="s">
        <v>23</v>
      </c>
      <c r="D317" s="4" t="s">
        <v>24</v>
      </c>
      <c r="E317" s="4" t="s">
        <v>31</v>
      </c>
      <c r="F317" s="4" t="s">
        <v>25</v>
      </c>
      <c r="G317" s="4" t="s">
        <v>25</v>
      </c>
      <c r="H317" s="4" t="s">
        <v>25</v>
      </c>
      <c r="I317" s="5">
        <v>44713</v>
      </c>
      <c r="J317" s="6">
        <v>0</v>
      </c>
      <c r="K317" s="6">
        <v>0</v>
      </c>
      <c r="L317" s="6">
        <v>7.9269999999999996</v>
      </c>
      <c r="M317" s="6">
        <v>7.9269999999999996</v>
      </c>
      <c r="N317" s="6">
        <v>7.9269999999999996</v>
      </c>
      <c r="O317" s="6">
        <v>7.9269999999999996</v>
      </c>
      <c r="P317" s="6">
        <v>60</v>
      </c>
      <c r="Q317" s="4" t="s">
        <v>26</v>
      </c>
      <c r="R317" s="4">
        <v>0</v>
      </c>
      <c r="S317" s="4" t="s">
        <v>209</v>
      </c>
      <c r="T317" s="4" t="s">
        <v>334</v>
      </c>
      <c r="U317" s="4">
        <v>0</v>
      </c>
      <c r="V317" s="4">
        <v>8</v>
      </c>
      <c r="W317" s="4">
        <v>61</v>
      </c>
    </row>
    <row r="318" spans="1:23" ht="11.25" customHeight="1" x14ac:dyDescent="0.25">
      <c r="A318" s="4" t="s">
        <v>21</v>
      </c>
      <c r="B318" s="4" t="s">
        <v>22</v>
      </c>
      <c r="C318" s="4" t="s">
        <v>23</v>
      </c>
      <c r="D318" s="4" t="s">
        <v>24</v>
      </c>
      <c r="E318" s="4" t="s">
        <v>31</v>
      </c>
      <c r="F318" s="4" t="s">
        <v>25</v>
      </c>
      <c r="G318" s="4" t="s">
        <v>25</v>
      </c>
      <c r="H318" s="4" t="s">
        <v>25</v>
      </c>
      <c r="I318" s="5">
        <v>44743</v>
      </c>
      <c r="J318" s="6">
        <v>0</v>
      </c>
      <c r="K318" s="6">
        <v>0</v>
      </c>
      <c r="L318" s="6">
        <v>7.6959999999999997</v>
      </c>
      <c r="M318" s="6">
        <v>7.6959999999999997</v>
      </c>
      <c r="N318" s="6">
        <v>7.6959999999999997</v>
      </c>
      <c r="O318" s="6">
        <v>7.6959999999999997</v>
      </c>
      <c r="P318" s="6">
        <v>51</v>
      </c>
      <c r="Q318" s="4" t="s">
        <v>26</v>
      </c>
      <c r="R318" s="4">
        <v>0</v>
      </c>
      <c r="S318" s="4" t="s">
        <v>210</v>
      </c>
      <c r="T318" s="4" t="s">
        <v>335</v>
      </c>
      <c r="U318" s="4">
        <v>0</v>
      </c>
      <c r="V318" s="4">
        <v>8</v>
      </c>
      <c r="W318" s="4">
        <v>61</v>
      </c>
    </row>
    <row r="319" spans="1:23" ht="11.25" customHeight="1" x14ac:dyDescent="0.25">
      <c r="A319" s="4" t="s">
        <v>21</v>
      </c>
      <c r="B319" s="4" t="s">
        <v>22</v>
      </c>
      <c r="C319" s="4" t="s">
        <v>23</v>
      </c>
      <c r="D319" s="4" t="s">
        <v>24</v>
      </c>
      <c r="E319" s="4" t="s">
        <v>31</v>
      </c>
      <c r="F319" s="4" t="s">
        <v>25</v>
      </c>
      <c r="G319" s="4" t="s">
        <v>25</v>
      </c>
      <c r="H319" s="4" t="s">
        <v>25</v>
      </c>
      <c r="I319" s="5">
        <v>44774</v>
      </c>
      <c r="J319" s="6">
        <v>0</v>
      </c>
      <c r="K319" s="6">
        <v>0</v>
      </c>
      <c r="L319" s="6">
        <v>7.2489999999999997</v>
      </c>
      <c r="M319" s="6">
        <v>7.2489999999999997</v>
      </c>
      <c r="N319" s="6">
        <v>7.2489999999999997</v>
      </c>
      <c r="O319" s="6">
        <v>7.2489999999999997</v>
      </c>
      <c r="P319" s="6">
        <v>59</v>
      </c>
      <c r="Q319" s="4" t="s">
        <v>26</v>
      </c>
      <c r="R319" s="4">
        <v>0</v>
      </c>
      <c r="S319" s="4" t="s">
        <v>211</v>
      </c>
      <c r="T319" s="4" t="s">
        <v>336</v>
      </c>
      <c r="U319" s="4">
        <v>0</v>
      </c>
      <c r="V319" s="4">
        <v>8</v>
      </c>
      <c r="W319" s="4">
        <v>61</v>
      </c>
    </row>
    <row r="320" spans="1:23" ht="11.25" customHeight="1" x14ac:dyDescent="0.25">
      <c r="A320" s="4" t="s">
        <v>21</v>
      </c>
      <c r="B320" s="4" t="s">
        <v>22</v>
      </c>
      <c r="C320" s="4" t="s">
        <v>23</v>
      </c>
      <c r="D320" s="4" t="s">
        <v>24</v>
      </c>
      <c r="E320" s="4" t="s">
        <v>32</v>
      </c>
      <c r="F320" s="4" t="s">
        <v>25</v>
      </c>
      <c r="G320" s="4" t="s">
        <v>25</v>
      </c>
      <c r="H320" s="4" t="s">
        <v>25</v>
      </c>
      <c r="I320" s="5">
        <v>44440</v>
      </c>
      <c r="J320" s="6">
        <v>0</v>
      </c>
      <c r="K320" s="6">
        <v>0</v>
      </c>
      <c r="L320" s="6">
        <v>0.58399999999999996</v>
      </c>
      <c r="M320" s="6">
        <v>0.58399999999999996</v>
      </c>
      <c r="N320" s="6">
        <v>0.58399999999999996</v>
      </c>
      <c r="O320" s="6">
        <v>0.58399999999999996</v>
      </c>
      <c r="P320" s="6">
        <v>8</v>
      </c>
      <c r="Q320" s="4" t="s">
        <v>26</v>
      </c>
      <c r="R320" s="4">
        <v>0</v>
      </c>
      <c r="S320" s="4" t="s">
        <v>212</v>
      </c>
      <c r="T320" s="4" t="s">
        <v>337</v>
      </c>
      <c r="U320" s="4">
        <v>0</v>
      </c>
      <c r="V320" s="4">
        <v>26</v>
      </c>
      <c r="W320" s="4">
        <v>79</v>
      </c>
    </row>
    <row r="321" spans="1:23" ht="11.25" customHeight="1" x14ac:dyDescent="0.25">
      <c r="A321" s="4" t="s">
        <v>21</v>
      </c>
      <c r="B321" s="4" t="s">
        <v>22</v>
      </c>
      <c r="C321" s="4" t="s">
        <v>23</v>
      </c>
      <c r="D321" s="4" t="s">
        <v>24</v>
      </c>
      <c r="E321" s="4" t="s">
        <v>32</v>
      </c>
      <c r="F321" s="4" t="s">
        <v>25</v>
      </c>
      <c r="G321" s="4" t="s">
        <v>25</v>
      </c>
      <c r="H321" s="4" t="s">
        <v>25</v>
      </c>
      <c r="I321" s="5">
        <v>44470</v>
      </c>
      <c r="J321" s="6">
        <v>0</v>
      </c>
      <c r="K321" s="6">
        <v>0</v>
      </c>
      <c r="L321" s="6">
        <v>0.60099999999999998</v>
      </c>
      <c r="M321" s="6">
        <v>0.60099999999999998</v>
      </c>
      <c r="N321" s="6">
        <v>0.60099999999999998</v>
      </c>
      <c r="O321" s="6">
        <v>0.60099999999999998</v>
      </c>
      <c r="P321" s="6">
        <v>8</v>
      </c>
      <c r="Q321" s="4" t="s">
        <v>26</v>
      </c>
      <c r="R321" s="4">
        <v>0</v>
      </c>
      <c r="S321" s="4" t="s">
        <v>213</v>
      </c>
      <c r="T321" s="4" t="s">
        <v>338</v>
      </c>
      <c r="U321" s="4">
        <v>0</v>
      </c>
      <c r="V321" s="4">
        <v>26</v>
      </c>
      <c r="W321" s="4">
        <v>79</v>
      </c>
    </row>
    <row r="322" spans="1:23" ht="11.25" customHeight="1" x14ac:dyDescent="0.25">
      <c r="A322" s="4" t="s">
        <v>21</v>
      </c>
      <c r="B322" s="4" t="s">
        <v>22</v>
      </c>
      <c r="C322" s="4" t="s">
        <v>23</v>
      </c>
      <c r="D322" s="4" t="s">
        <v>24</v>
      </c>
      <c r="E322" s="4" t="s">
        <v>32</v>
      </c>
      <c r="F322" s="4" t="s">
        <v>25</v>
      </c>
      <c r="G322" s="4" t="s">
        <v>25</v>
      </c>
      <c r="H322" s="4" t="s">
        <v>25</v>
      </c>
      <c r="I322" s="5">
        <v>44501</v>
      </c>
      <c r="J322" s="6">
        <v>0</v>
      </c>
      <c r="K322" s="6">
        <v>0</v>
      </c>
      <c r="L322" s="6">
        <v>0.67100000000000004</v>
      </c>
      <c r="M322" s="6">
        <v>0.67100000000000004</v>
      </c>
      <c r="N322" s="6">
        <v>0.67100000000000004</v>
      </c>
      <c r="O322" s="6">
        <v>0.67100000000000004</v>
      </c>
      <c r="P322" s="6">
        <v>9</v>
      </c>
      <c r="Q322" s="4" t="s">
        <v>26</v>
      </c>
      <c r="R322" s="4">
        <v>0</v>
      </c>
      <c r="S322" s="4" t="s">
        <v>214</v>
      </c>
      <c r="T322" s="4" t="s">
        <v>339</v>
      </c>
      <c r="U322" s="4">
        <v>0</v>
      </c>
      <c r="V322" s="4">
        <v>26</v>
      </c>
      <c r="W322" s="4">
        <v>79</v>
      </c>
    </row>
    <row r="323" spans="1:23" ht="11.25" customHeight="1" x14ac:dyDescent="0.25">
      <c r="A323" s="4" t="s">
        <v>21</v>
      </c>
      <c r="B323" s="4" t="s">
        <v>22</v>
      </c>
      <c r="C323" s="4" t="s">
        <v>23</v>
      </c>
      <c r="D323" s="4" t="s">
        <v>24</v>
      </c>
      <c r="E323" s="4" t="s">
        <v>32</v>
      </c>
      <c r="F323" s="4" t="s">
        <v>25</v>
      </c>
      <c r="G323" s="4" t="s">
        <v>25</v>
      </c>
      <c r="H323" s="4" t="s">
        <v>25</v>
      </c>
      <c r="I323" s="5">
        <v>44531</v>
      </c>
      <c r="J323" s="6">
        <v>0</v>
      </c>
      <c r="K323" s="6">
        <v>0</v>
      </c>
      <c r="L323" s="6">
        <v>1.2829999999999999</v>
      </c>
      <c r="M323" s="6">
        <v>1.2829999999999999</v>
      </c>
      <c r="N323" s="6">
        <v>1.2829999999999999</v>
      </c>
      <c r="O323" s="6">
        <v>1.2829999999999999</v>
      </c>
      <c r="P323" s="6">
        <v>11</v>
      </c>
      <c r="Q323" s="4" t="s">
        <v>26</v>
      </c>
      <c r="R323" s="4">
        <v>0</v>
      </c>
      <c r="S323" s="4" t="s">
        <v>215</v>
      </c>
      <c r="T323" s="4" t="s">
        <v>340</v>
      </c>
      <c r="U323" s="4">
        <v>0</v>
      </c>
      <c r="V323" s="4">
        <v>26</v>
      </c>
      <c r="W323" s="4">
        <v>79</v>
      </c>
    </row>
    <row r="324" spans="1:23" ht="11.25" customHeight="1" x14ac:dyDescent="0.25">
      <c r="A324" s="4" t="s">
        <v>21</v>
      </c>
      <c r="B324" s="4" t="s">
        <v>22</v>
      </c>
      <c r="C324" s="4" t="s">
        <v>23</v>
      </c>
      <c r="D324" s="4" t="s">
        <v>24</v>
      </c>
      <c r="E324" s="4" t="s">
        <v>32</v>
      </c>
      <c r="F324" s="4" t="s">
        <v>25</v>
      </c>
      <c r="G324" s="4" t="s">
        <v>25</v>
      </c>
      <c r="H324" s="4" t="s">
        <v>25</v>
      </c>
      <c r="I324" s="5">
        <v>44562</v>
      </c>
      <c r="J324" s="6">
        <v>0</v>
      </c>
      <c r="K324" s="6">
        <v>0</v>
      </c>
      <c r="L324" s="6">
        <v>1.1020000000000001</v>
      </c>
      <c r="M324" s="6">
        <v>1.1020000000000001</v>
      </c>
      <c r="N324" s="6">
        <v>1.1020000000000001</v>
      </c>
      <c r="O324" s="6">
        <v>1.1020000000000001</v>
      </c>
      <c r="P324" s="6">
        <v>10</v>
      </c>
      <c r="Q324" s="4" t="s">
        <v>26</v>
      </c>
      <c r="R324" s="4">
        <v>0</v>
      </c>
      <c r="S324" s="4" t="s">
        <v>216</v>
      </c>
      <c r="T324" s="4" t="s">
        <v>341</v>
      </c>
      <c r="U324" s="4">
        <v>0</v>
      </c>
      <c r="V324" s="4">
        <v>26</v>
      </c>
      <c r="W324" s="4">
        <v>79</v>
      </c>
    </row>
    <row r="325" spans="1:23" ht="11.25" customHeight="1" x14ac:dyDescent="0.25">
      <c r="A325" s="4" t="s">
        <v>21</v>
      </c>
      <c r="B325" s="4" t="s">
        <v>22</v>
      </c>
      <c r="C325" s="4" t="s">
        <v>23</v>
      </c>
      <c r="D325" s="4" t="s">
        <v>24</v>
      </c>
      <c r="E325" s="4" t="s">
        <v>32</v>
      </c>
      <c r="F325" s="4" t="s">
        <v>25</v>
      </c>
      <c r="G325" s="4" t="s">
        <v>25</v>
      </c>
      <c r="H325" s="4" t="s">
        <v>25</v>
      </c>
      <c r="I325" s="5">
        <v>44593</v>
      </c>
      <c r="J325" s="6">
        <v>0</v>
      </c>
      <c r="K325" s="6">
        <v>0</v>
      </c>
      <c r="L325" s="6">
        <v>1.478</v>
      </c>
      <c r="M325" s="6">
        <v>1.478</v>
      </c>
      <c r="N325" s="6">
        <v>1.478</v>
      </c>
      <c r="O325" s="6">
        <v>1.478</v>
      </c>
      <c r="P325" s="6">
        <v>18</v>
      </c>
      <c r="Q325" s="4" t="s">
        <v>26</v>
      </c>
      <c r="R325" s="4">
        <v>0</v>
      </c>
      <c r="S325" s="4" t="s">
        <v>217</v>
      </c>
      <c r="T325" s="4" t="s">
        <v>342</v>
      </c>
      <c r="U325" s="4">
        <v>0</v>
      </c>
      <c r="V325" s="4">
        <v>26</v>
      </c>
      <c r="W325" s="4">
        <v>79</v>
      </c>
    </row>
    <row r="326" spans="1:23" ht="11.25" customHeight="1" x14ac:dyDescent="0.25">
      <c r="A326" s="4" t="s">
        <v>21</v>
      </c>
      <c r="B326" s="4" t="s">
        <v>22</v>
      </c>
      <c r="C326" s="4" t="s">
        <v>23</v>
      </c>
      <c r="D326" s="4" t="s">
        <v>24</v>
      </c>
      <c r="E326" s="4" t="s">
        <v>32</v>
      </c>
      <c r="F326" s="4" t="s">
        <v>25</v>
      </c>
      <c r="G326" s="4" t="s">
        <v>25</v>
      </c>
      <c r="H326" s="4" t="s">
        <v>25</v>
      </c>
      <c r="I326" s="5">
        <v>44621</v>
      </c>
      <c r="J326" s="6">
        <v>0</v>
      </c>
      <c r="K326" s="6">
        <v>0</v>
      </c>
      <c r="L326" s="6">
        <v>2.129</v>
      </c>
      <c r="M326" s="6">
        <v>2.129</v>
      </c>
      <c r="N326" s="6">
        <v>2.129</v>
      </c>
      <c r="O326" s="6">
        <v>2.129</v>
      </c>
      <c r="P326" s="6">
        <v>17</v>
      </c>
      <c r="Q326" s="4" t="s">
        <v>26</v>
      </c>
      <c r="R326" s="4">
        <v>0</v>
      </c>
      <c r="S326" s="4" t="s">
        <v>218</v>
      </c>
      <c r="T326" s="4" t="s">
        <v>343</v>
      </c>
      <c r="U326" s="4">
        <v>0</v>
      </c>
      <c r="V326" s="4">
        <v>26</v>
      </c>
      <c r="W326" s="4">
        <v>79</v>
      </c>
    </row>
    <row r="327" spans="1:23" ht="11.25" customHeight="1" x14ac:dyDescent="0.25">
      <c r="A327" s="4" t="s">
        <v>21</v>
      </c>
      <c r="B327" s="4" t="s">
        <v>22</v>
      </c>
      <c r="C327" s="4" t="s">
        <v>23</v>
      </c>
      <c r="D327" s="4" t="s">
        <v>24</v>
      </c>
      <c r="E327" s="4" t="s">
        <v>32</v>
      </c>
      <c r="F327" s="4" t="s">
        <v>25</v>
      </c>
      <c r="G327" s="4" t="s">
        <v>25</v>
      </c>
      <c r="H327" s="4" t="s">
        <v>25</v>
      </c>
      <c r="I327" s="5">
        <v>44652</v>
      </c>
      <c r="J327" s="6">
        <v>0</v>
      </c>
      <c r="K327" s="6">
        <v>0</v>
      </c>
      <c r="L327" s="6">
        <v>3.052</v>
      </c>
      <c r="M327" s="6">
        <v>3.052</v>
      </c>
      <c r="N327" s="6">
        <v>3.052</v>
      </c>
      <c r="O327" s="6">
        <v>3.052</v>
      </c>
      <c r="P327" s="6">
        <v>36</v>
      </c>
      <c r="Q327" s="4" t="s">
        <v>26</v>
      </c>
      <c r="R327" s="4">
        <v>0</v>
      </c>
      <c r="S327" s="4" t="s">
        <v>219</v>
      </c>
      <c r="T327" s="4" t="s">
        <v>344</v>
      </c>
      <c r="U327" s="4">
        <v>0</v>
      </c>
      <c r="V327" s="4">
        <v>26</v>
      </c>
      <c r="W327" s="4">
        <v>79</v>
      </c>
    </row>
    <row r="328" spans="1:23" ht="11.25" customHeight="1" x14ac:dyDescent="0.25">
      <c r="A328" s="4" t="s">
        <v>21</v>
      </c>
      <c r="B328" s="4" t="s">
        <v>22</v>
      </c>
      <c r="C328" s="4" t="s">
        <v>23</v>
      </c>
      <c r="D328" s="4" t="s">
        <v>24</v>
      </c>
      <c r="E328" s="4" t="s">
        <v>32</v>
      </c>
      <c r="F328" s="4" t="s">
        <v>25</v>
      </c>
      <c r="G328" s="4" t="s">
        <v>25</v>
      </c>
      <c r="H328" s="4" t="s">
        <v>25</v>
      </c>
      <c r="I328" s="5">
        <v>44682</v>
      </c>
      <c r="J328" s="6">
        <v>0</v>
      </c>
      <c r="K328" s="6">
        <v>0</v>
      </c>
      <c r="L328" s="6">
        <v>2.6309999999999998</v>
      </c>
      <c r="M328" s="6">
        <v>2.6309999999999998</v>
      </c>
      <c r="N328" s="6">
        <v>2.6309999999999998</v>
      </c>
      <c r="O328" s="6">
        <v>2.6309999999999998</v>
      </c>
      <c r="P328" s="6">
        <v>40</v>
      </c>
      <c r="Q328" s="4" t="s">
        <v>26</v>
      </c>
      <c r="R328" s="4">
        <v>0</v>
      </c>
      <c r="S328" s="4" t="s">
        <v>220</v>
      </c>
      <c r="T328" s="4" t="s">
        <v>345</v>
      </c>
      <c r="U328" s="4">
        <v>0</v>
      </c>
      <c r="V328" s="4">
        <v>26</v>
      </c>
      <c r="W328" s="4">
        <v>79</v>
      </c>
    </row>
    <row r="329" spans="1:23" ht="11.25" customHeight="1" x14ac:dyDescent="0.25">
      <c r="A329" s="4" t="s">
        <v>21</v>
      </c>
      <c r="B329" s="4" t="s">
        <v>22</v>
      </c>
      <c r="C329" s="4" t="s">
        <v>23</v>
      </c>
      <c r="D329" s="4" t="s">
        <v>24</v>
      </c>
      <c r="E329" s="4" t="s">
        <v>32</v>
      </c>
      <c r="F329" s="4" t="s">
        <v>25</v>
      </c>
      <c r="G329" s="4" t="s">
        <v>25</v>
      </c>
      <c r="H329" s="4" t="s">
        <v>25</v>
      </c>
      <c r="I329" s="5">
        <v>44713</v>
      </c>
      <c r="J329" s="6">
        <v>0</v>
      </c>
      <c r="K329" s="6">
        <v>0</v>
      </c>
      <c r="L329" s="6">
        <v>3.8069999999999999</v>
      </c>
      <c r="M329" s="6">
        <v>3.8069999999999999</v>
      </c>
      <c r="N329" s="6">
        <v>3.8069999999999999</v>
      </c>
      <c r="O329" s="6">
        <v>3.8069999999999999</v>
      </c>
      <c r="P329" s="6">
        <v>36</v>
      </c>
      <c r="Q329" s="4" t="s">
        <v>26</v>
      </c>
      <c r="R329" s="4">
        <v>0</v>
      </c>
      <c r="S329" s="4" t="s">
        <v>221</v>
      </c>
      <c r="T329" s="4" t="s">
        <v>346</v>
      </c>
      <c r="U329" s="4">
        <v>0</v>
      </c>
      <c r="V329" s="4">
        <v>26</v>
      </c>
      <c r="W329" s="4">
        <v>79</v>
      </c>
    </row>
    <row r="330" spans="1:23" ht="11.25" customHeight="1" x14ac:dyDescent="0.25">
      <c r="A330" s="4" t="s">
        <v>21</v>
      </c>
      <c r="B330" s="4" t="s">
        <v>22</v>
      </c>
      <c r="C330" s="4" t="s">
        <v>23</v>
      </c>
      <c r="D330" s="4" t="s">
        <v>24</v>
      </c>
      <c r="E330" s="4" t="s">
        <v>32</v>
      </c>
      <c r="F330" s="4" t="s">
        <v>25</v>
      </c>
      <c r="G330" s="4" t="s">
        <v>25</v>
      </c>
      <c r="H330" s="4" t="s">
        <v>25</v>
      </c>
      <c r="I330" s="5">
        <v>44743</v>
      </c>
      <c r="J330" s="6">
        <v>0</v>
      </c>
      <c r="K330" s="6">
        <v>0</v>
      </c>
      <c r="L330" s="6">
        <v>2.3279999999999998</v>
      </c>
      <c r="M330" s="6">
        <v>2.3279999999999998</v>
      </c>
      <c r="N330" s="6">
        <v>2.3279999999999998</v>
      </c>
      <c r="O330" s="6">
        <v>2.3279999999999998</v>
      </c>
      <c r="P330" s="6">
        <v>37</v>
      </c>
      <c r="Q330" s="4" t="s">
        <v>26</v>
      </c>
      <c r="R330" s="4">
        <v>0</v>
      </c>
      <c r="S330" s="4" t="s">
        <v>222</v>
      </c>
      <c r="T330" s="4" t="s">
        <v>347</v>
      </c>
      <c r="U330" s="4">
        <v>0</v>
      </c>
      <c r="V330" s="4">
        <v>26</v>
      </c>
      <c r="W330" s="4">
        <v>79</v>
      </c>
    </row>
    <row r="331" spans="1:23" ht="11.25" customHeight="1" x14ac:dyDescent="0.25">
      <c r="A331" s="4" t="s">
        <v>27</v>
      </c>
      <c r="B331" s="4" t="s">
        <v>22</v>
      </c>
      <c r="C331" s="4" t="s">
        <v>23</v>
      </c>
      <c r="D331" s="4" t="s">
        <v>24</v>
      </c>
      <c r="E331" s="4" t="s">
        <v>32</v>
      </c>
      <c r="F331" s="4" t="s">
        <v>25</v>
      </c>
      <c r="G331" s="4" t="s">
        <v>25</v>
      </c>
      <c r="H331" s="4" t="s">
        <v>25</v>
      </c>
      <c r="I331" s="5">
        <v>44743</v>
      </c>
      <c r="J331" s="6">
        <v>0</v>
      </c>
      <c r="K331" s="6">
        <v>0</v>
      </c>
      <c r="L331" s="6">
        <v>8.5999999999999993E-2</v>
      </c>
      <c r="M331" s="6">
        <v>8.5999999999999993E-2</v>
      </c>
      <c r="N331" s="6">
        <v>8.5999999999999993E-2</v>
      </c>
      <c r="O331" s="6">
        <v>8.5999999999999993E-2</v>
      </c>
      <c r="P331" s="6">
        <v>0</v>
      </c>
      <c r="Q331" s="4" t="s">
        <v>26</v>
      </c>
      <c r="R331" s="4">
        <v>0</v>
      </c>
      <c r="S331" s="4" t="s">
        <v>222</v>
      </c>
      <c r="T331" s="4" t="s">
        <v>347</v>
      </c>
      <c r="U331" s="4">
        <v>0</v>
      </c>
      <c r="V331" s="4">
        <v>26</v>
      </c>
      <c r="W331" s="4">
        <v>79</v>
      </c>
    </row>
    <row r="332" spans="1:23" ht="11.25" customHeight="1" x14ac:dyDescent="0.25">
      <c r="A332" s="4" t="s">
        <v>21</v>
      </c>
      <c r="B332" s="4" t="s">
        <v>22</v>
      </c>
      <c r="C332" s="4" t="s">
        <v>23</v>
      </c>
      <c r="D332" s="4" t="s">
        <v>24</v>
      </c>
      <c r="E332" s="4" t="s">
        <v>32</v>
      </c>
      <c r="F332" s="4" t="s">
        <v>25</v>
      </c>
      <c r="G332" s="4" t="s">
        <v>25</v>
      </c>
      <c r="H332" s="4" t="s">
        <v>25</v>
      </c>
      <c r="I332" s="5">
        <v>44774</v>
      </c>
      <c r="J332" s="6">
        <v>0</v>
      </c>
      <c r="K332" s="6">
        <v>0</v>
      </c>
      <c r="L332" s="6">
        <v>2.6739999999999999</v>
      </c>
      <c r="M332" s="6">
        <v>2.6739999999999999</v>
      </c>
      <c r="N332" s="6">
        <v>2.6739999999999999</v>
      </c>
      <c r="O332" s="6">
        <v>2.6739999999999999</v>
      </c>
      <c r="P332" s="6">
        <v>31</v>
      </c>
      <c r="Q332" s="4" t="s">
        <v>26</v>
      </c>
      <c r="R332" s="4">
        <v>0</v>
      </c>
      <c r="S332" s="4" t="s">
        <v>223</v>
      </c>
      <c r="T332" s="4" t="s">
        <v>348</v>
      </c>
      <c r="U332" s="4">
        <v>0</v>
      </c>
      <c r="V332" s="4">
        <v>26</v>
      </c>
      <c r="W332" s="4">
        <v>79</v>
      </c>
    </row>
    <row r="333" spans="1:23" ht="11.25" customHeight="1" x14ac:dyDescent="0.25">
      <c r="A333" s="4" t="s">
        <v>21</v>
      </c>
      <c r="B333" s="4" t="s">
        <v>40</v>
      </c>
      <c r="C333" s="4" t="s">
        <v>23</v>
      </c>
      <c r="D333" s="4" t="s">
        <v>41</v>
      </c>
      <c r="E333" s="4" t="s">
        <v>49</v>
      </c>
      <c r="F333" s="4" t="s">
        <v>50</v>
      </c>
      <c r="G333" s="4" t="s">
        <v>25</v>
      </c>
      <c r="H333" s="4" t="s">
        <v>25</v>
      </c>
      <c r="I333" s="5">
        <v>44440</v>
      </c>
      <c r="J333" s="6">
        <v>0</v>
      </c>
      <c r="K333" s="6">
        <v>0</v>
      </c>
      <c r="L333" s="6">
        <v>4.1989999999999998</v>
      </c>
      <c r="M333" s="6">
        <v>4.1989999999999998</v>
      </c>
      <c r="N333" s="6">
        <v>4.1989999999999998</v>
      </c>
      <c r="O333" s="6">
        <v>4.1989999999999998</v>
      </c>
      <c r="P333" s="6">
        <v>0</v>
      </c>
      <c r="Q333" s="4" t="s">
        <v>26</v>
      </c>
      <c r="R333" s="4">
        <v>0</v>
      </c>
      <c r="S333" s="4" t="s">
        <v>224</v>
      </c>
      <c r="T333" s="4" t="s">
        <v>349</v>
      </c>
      <c r="U333" s="4">
        <v>0</v>
      </c>
      <c r="V333" s="4">
        <v>30</v>
      </c>
      <c r="W333" s="4">
        <v>55</v>
      </c>
    </row>
    <row r="334" spans="1:23" ht="11.25" customHeight="1" x14ac:dyDescent="0.25">
      <c r="A334" s="4" t="s">
        <v>28</v>
      </c>
      <c r="B334" s="4" t="s">
        <v>40</v>
      </c>
      <c r="C334" s="4" t="s">
        <v>23</v>
      </c>
      <c r="D334" s="4" t="s">
        <v>41</v>
      </c>
      <c r="E334" s="4" t="s">
        <v>49</v>
      </c>
      <c r="F334" s="4" t="s">
        <v>50</v>
      </c>
      <c r="G334" s="4" t="s">
        <v>25</v>
      </c>
      <c r="H334" s="4" t="s">
        <v>25</v>
      </c>
      <c r="I334" s="5">
        <v>44440</v>
      </c>
      <c r="J334" s="6">
        <v>0</v>
      </c>
      <c r="K334" s="6">
        <v>0</v>
      </c>
      <c r="L334" s="6">
        <v>0.22900000000000001</v>
      </c>
      <c r="M334" s="6">
        <v>0.22900000000000001</v>
      </c>
      <c r="N334" s="6">
        <v>0.22900000000000001</v>
      </c>
      <c r="O334" s="6">
        <v>0.22900000000000001</v>
      </c>
      <c r="P334" s="6">
        <v>0</v>
      </c>
      <c r="Q334" s="4" t="s">
        <v>26</v>
      </c>
      <c r="R334" s="4">
        <v>0</v>
      </c>
      <c r="S334" s="4" t="s">
        <v>224</v>
      </c>
      <c r="T334" s="4" t="s">
        <v>349</v>
      </c>
      <c r="U334" s="4">
        <v>0</v>
      </c>
      <c r="V334" s="4">
        <v>30</v>
      </c>
      <c r="W334" s="4">
        <v>55</v>
      </c>
    </row>
    <row r="335" spans="1:23" ht="11.25" customHeight="1" x14ac:dyDescent="0.25">
      <c r="A335" s="4" t="s">
        <v>21</v>
      </c>
      <c r="B335" s="4" t="s">
        <v>40</v>
      </c>
      <c r="C335" s="4" t="s">
        <v>23</v>
      </c>
      <c r="D335" s="4" t="s">
        <v>41</v>
      </c>
      <c r="E335" s="4" t="s">
        <v>49</v>
      </c>
      <c r="F335" s="4" t="s">
        <v>50</v>
      </c>
      <c r="G335" s="4" t="s">
        <v>25</v>
      </c>
      <c r="H335" s="4" t="s">
        <v>25</v>
      </c>
      <c r="I335" s="5">
        <v>44470</v>
      </c>
      <c r="J335" s="6">
        <v>0</v>
      </c>
      <c r="K335" s="6">
        <v>0</v>
      </c>
      <c r="L335" s="6">
        <v>2.9990000000000001</v>
      </c>
      <c r="M335" s="6">
        <v>2.9990000000000001</v>
      </c>
      <c r="N335" s="6">
        <v>2.9990000000000001</v>
      </c>
      <c r="O335" s="6">
        <v>2.9990000000000001</v>
      </c>
      <c r="P335" s="6">
        <v>0</v>
      </c>
      <c r="Q335" s="4" t="s">
        <v>26</v>
      </c>
      <c r="R335" s="4">
        <v>0</v>
      </c>
      <c r="S335" s="4" t="s">
        <v>225</v>
      </c>
      <c r="T335" s="4" t="s">
        <v>350</v>
      </c>
      <c r="U335" s="4">
        <v>0</v>
      </c>
      <c r="V335" s="4">
        <v>30</v>
      </c>
      <c r="W335" s="4">
        <v>55</v>
      </c>
    </row>
    <row r="336" spans="1:23" ht="11.25" customHeight="1" x14ac:dyDescent="0.25">
      <c r="A336" s="4" t="s">
        <v>28</v>
      </c>
      <c r="B336" s="4" t="s">
        <v>40</v>
      </c>
      <c r="C336" s="4" t="s">
        <v>23</v>
      </c>
      <c r="D336" s="4" t="s">
        <v>41</v>
      </c>
      <c r="E336" s="4" t="s">
        <v>49</v>
      </c>
      <c r="F336" s="4" t="s">
        <v>50</v>
      </c>
      <c r="G336" s="4" t="s">
        <v>25</v>
      </c>
      <c r="H336" s="4" t="s">
        <v>25</v>
      </c>
      <c r="I336" s="5">
        <v>44470</v>
      </c>
      <c r="J336" s="6">
        <v>0</v>
      </c>
      <c r="K336" s="6">
        <v>0</v>
      </c>
      <c r="L336" s="6">
        <v>0.20899999999999999</v>
      </c>
      <c r="M336" s="6">
        <v>0.20899999999999999</v>
      </c>
      <c r="N336" s="6">
        <v>0.20899999999999999</v>
      </c>
      <c r="O336" s="6">
        <v>0.20899999999999999</v>
      </c>
      <c r="P336" s="6">
        <v>0</v>
      </c>
      <c r="Q336" s="4" t="s">
        <v>26</v>
      </c>
      <c r="R336" s="4">
        <v>0</v>
      </c>
      <c r="S336" s="4" t="s">
        <v>225</v>
      </c>
      <c r="T336" s="4" t="s">
        <v>350</v>
      </c>
      <c r="U336" s="4">
        <v>0</v>
      </c>
      <c r="V336" s="4">
        <v>30</v>
      </c>
      <c r="W336" s="4">
        <v>55</v>
      </c>
    </row>
    <row r="337" spans="1:23" ht="11.25" customHeight="1" x14ac:dyDescent="0.25">
      <c r="A337" s="4" t="s">
        <v>21</v>
      </c>
      <c r="B337" s="4" t="s">
        <v>40</v>
      </c>
      <c r="C337" s="4" t="s">
        <v>23</v>
      </c>
      <c r="D337" s="4" t="s">
        <v>41</v>
      </c>
      <c r="E337" s="4" t="s">
        <v>49</v>
      </c>
      <c r="F337" s="4" t="s">
        <v>50</v>
      </c>
      <c r="G337" s="4" t="s">
        <v>25</v>
      </c>
      <c r="H337" s="4" t="s">
        <v>25</v>
      </c>
      <c r="I337" s="5">
        <v>44501</v>
      </c>
      <c r="J337" s="6">
        <v>0</v>
      </c>
      <c r="K337" s="6">
        <v>0</v>
      </c>
      <c r="L337" s="6">
        <v>3.339</v>
      </c>
      <c r="M337" s="6">
        <v>3.339</v>
      </c>
      <c r="N337" s="6">
        <v>3.339</v>
      </c>
      <c r="O337" s="6">
        <v>3.339</v>
      </c>
      <c r="P337" s="6">
        <v>0</v>
      </c>
      <c r="Q337" s="4" t="s">
        <v>26</v>
      </c>
      <c r="R337" s="4">
        <v>0</v>
      </c>
      <c r="S337" s="4" t="s">
        <v>226</v>
      </c>
      <c r="T337" s="4" t="s">
        <v>351</v>
      </c>
      <c r="U337" s="4">
        <v>0</v>
      </c>
      <c r="V337" s="4">
        <v>30</v>
      </c>
      <c r="W337" s="4">
        <v>55</v>
      </c>
    </row>
    <row r="338" spans="1:23" ht="11.25" customHeight="1" x14ac:dyDescent="0.25">
      <c r="A338" s="4" t="s">
        <v>28</v>
      </c>
      <c r="B338" s="4" t="s">
        <v>40</v>
      </c>
      <c r="C338" s="4" t="s">
        <v>23</v>
      </c>
      <c r="D338" s="4" t="s">
        <v>41</v>
      </c>
      <c r="E338" s="4" t="s">
        <v>49</v>
      </c>
      <c r="F338" s="4" t="s">
        <v>50</v>
      </c>
      <c r="G338" s="4" t="s">
        <v>25</v>
      </c>
      <c r="H338" s="4" t="s">
        <v>25</v>
      </c>
      <c r="I338" s="5">
        <v>44501</v>
      </c>
      <c r="J338" s="6">
        <v>0</v>
      </c>
      <c r="K338" s="6">
        <v>0</v>
      </c>
      <c r="L338" s="6">
        <v>0.19600000000000001</v>
      </c>
      <c r="M338" s="6">
        <v>0.19600000000000001</v>
      </c>
      <c r="N338" s="6">
        <v>0.19600000000000001</v>
      </c>
      <c r="O338" s="6">
        <v>0.19600000000000001</v>
      </c>
      <c r="P338" s="6">
        <v>0</v>
      </c>
      <c r="Q338" s="4" t="s">
        <v>26</v>
      </c>
      <c r="R338" s="4">
        <v>0</v>
      </c>
      <c r="S338" s="4" t="s">
        <v>226</v>
      </c>
      <c r="T338" s="4" t="s">
        <v>351</v>
      </c>
      <c r="U338" s="4">
        <v>0</v>
      </c>
      <c r="V338" s="4">
        <v>30</v>
      </c>
      <c r="W338" s="4">
        <v>55</v>
      </c>
    </row>
    <row r="339" spans="1:23" ht="11.25" customHeight="1" x14ac:dyDescent="0.25">
      <c r="A339" s="4" t="s">
        <v>21</v>
      </c>
      <c r="B339" s="4" t="s">
        <v>40</v>
      </c>
      <c r="C339" s="4" t="s">
        <v>23</v>
      </c>
      <c r="D339" s="4" t="s">
        <v>41</v>
      </c>
      <c r="E339" s="4" t="s">
        <v>49</v>
      </c>
      <c r="F339" s="4" t="s">
        <v>50</v>
      </c>
      <c r="G339" s="4" t="s">
        <v>25</v>
      </c>
      <c r="H339" s="4" t="s">
        <v>25</v>
      </c>
      <c r="I339" s="5">
        <v>44531</v>
      </c>
      <c r="J339" s="6">
        <v>0</v>
      </c>
      <c r="K339" s="6">
        <v>0</v>
      </c>
      <c r="L339" s="6">
        <v>2.8740000000000001</v>
      </c>
      <c r="M339" s="6">
        <v>2.8740000000000001</v>
      </c>
      <c r="N339" s="6">
        <v>2.8740000000000001</v>
      </c>
      <c r="O339" s="6">
        <v>2.8740000000000001</v>
      </c>
      <c r="P339" s="6">
        <v>0</v>
      </c>
      <c r="Q339" s="4" t="s">
        <v>26</v>
      </c>
      <c r="R339" s="4">
        <v>0</v>
      </c>
      <c r="S339" s="4" t="s">
        <v>227</v>
      </c>
      <c r="T339" s="4" t="s">
        <v>352</v>
      </c>
      <c r="U339" s="4">
        <v>0</v>
      </c>
      <c r="V339" s="4">
        <v>30</v>
      </c>
      <c r="W339" s="4">
        <v>55</v>
      </c>
    </row>
    <row r="340" spans="1:23" ht="11.25" customHeight="1" x14ac:dyDescent="0.25">
      <c r="A340" s="4" t="s">
        <v>28</v>
      </c>
      <c r="B340" s="4" t="s">
        <v>40</v>
      </c>
      <c r="C340" s="4" t="s">
        <v>23</v>
      </c>
      <c r="D340" s="4" t="s">
        <v>41</v>
      </c>
      <c r="E340" s="4" t="s">
        <v>49</v>
      </c>
      <c r="F340" s="4" t="s">
        <v>50</v>
      </c>
      <c r="G340" s="4" t="s">
        <v>25</v>
      </c>
      <c r="H340" s="4" t="s">
        <v>25</v>
      </c>
      <c r="I340" s="5">
        <v>44531</v>
      </c>
      <c r="J340" s="6">
        <v>0</v>
      </c>
      <c r="K340" s="6">
        <v>0</v>
      </c>
      <c r="L340" s="6">
        <v>0.86199999999999999</v>
      </c>
      <c r="M340" s="6">
        <v>0.86199999999999999</v>
      </c>
      <c r="N340" s="6">
        <v>0.86199999999999999</v>
      </c>
      <c r="O340" s="6">
        <v>0.86199999999999999</v>
      </c>
      <c r="P340" s="6">
        <v>0</v>
      </c>
      <c r="Q340" s="4" t="s">
        <v>26</v>
      </c>
      <c r="R340" s="4">
        <v>0</v>
      </c>
      <c r="S340" s="4" t="s">
        <v>227</v>
      </c>
      <c r="T340" s="4" t="s">
        <v>352</v>
      </c>
      <c r="U340" s="4">
        <v>0</v>
      </c>
      <c r="V340" s="4">
        <v>30</v>
      </c>
      <c r="W340" s="4">
        <v>55</v>
      </c>
    </row>
    <row r="341" spans="1:23" ht="11.25" customHeight="1" x14ac:dyDescent="0.25">
      <c r="A341" s="4" t="s">
        <v>21</v>
      </c>
      <c r="B341" s="4" t="s">
        <v>40</v>
      </c>
      <c r="C341" s="4" t="s">
        <v>23</v>
      </c>
      <c r="D341" s="4" t="s">
        <v>41</v>
      </c>
      <c r="E341" s="4" t="s">
        <v>49</v>
      </c>
      <c r="F341" s="4" t="s">
        <v>50</v>
      </c>
      <c r="G341" s="4" t="s">
        <v>25</v>
      </c>
      <c r="H341" s="4" t="s">
        <v>25</v>
      </c>
      <c r="I341" s="5">
        <v>44562</v>
      </c>
      <c r="J341" s="6">
        <v>0</v>
      </c>
      <c r="K341" s="6">
        <v>0</v>
      </c>
      <c r="L341" s="6">
        <v>4.2919999999999998</v>
      </c>
      <c r="M341" s="6">
        <v>4.2919999999999998</v>
      </c>
      <c r="N341" s="6">
        <v>4.2919999999999998</v>
      </c>
      <c r="O341" s="6">
        <v>4.2919999999999998</v>
      </c>
      <c r="P341" s="6">
        <v>0</v>
      </c>
      <c r="Q341" s="4" t="s">
        <v>26</v>
      </c>
      <c r="R341" s="4">
        <v>0</v>
      </c>
      <c r="S341" s="4" t="s">
        <v>228</v>
      </c>
      <c r="T341" s="4" t="s">
        <v>353</v>
      </c>
      <c r="U341" s="4">
        <v>0</v>
      </c>
      <c r="V341" s="4">
        <v>30</v>
      </c>
      <c r="W341" s="4">
        <v>55</v>
      </c>
    </row>
    <row r="342" spans="1:23" ht="11.25" customHeight="1" x14ac:dyDescent="0.25">
      <c r="A342" s="4" t="s">
        <v>28</v>
      </c>
      <c r="B342" s="4" t="s">
        <v>40</v>
      </c>
      <c r="C342" s="4" t="s">
        <v>23</v>
      </c>
      <c r="D342" s="4" t="s">
        <v>41</v>
      </c>
      <c r="E342" s="4" t="s">
        <v>49</v>
      </c>
      <c r="F342" s="4" t="s">
        <v>50</v>
      </c>
      <c r="G342" s="4" t="s">
        <v>25</v>
      </c>
      <c r="H342" s="4" t="s">
        <v>25</v>
      </c>
      <c r="I342" s="5">
        <v>44562</v>
      </c>
      <c r="J342" s="6">
        <v>0</v>
      </c>
      <c r="K342" s="6">
        <v>0</v>
      </c>
      <c r="L342" s="6">
        <v>0.44400000000000001</v>
      </c>
      <c r="M342" s="6">
        <v>0.44400000000000001</v>
      </c>
      <c r="N342" s="6">
        <v>0.44400000000000001</v>
      </c>
      <c r="O342" s="6">
        <v>0.44400000000000001</v>
      </c>
      <c r="P342" s="6">
        <v>0</v>
      </c>
      <c r="Q342" s="4" t="s">
        <v>26</v>
      </c>
      <c r="R342" s="4">
        <v>0</v>
      </c>
      <c r="S342" s="4" t="s">
        <v>228</v>
      </c>
      <c r="T342" s="4" t="s">
        <v>353</v>
      </c>
      <c r="U342" s="4">
        <v>0</v>
      </c>
      <c r="V342" s="4">
        <v>30</v>
      </c>
      <c r="W342" s="4">
        <v>55</v>
      </c>
    </row>
    <row r="343" spans="1:23" ht="11.25" customHeight="1" x14ac:dyDescent="0.25">
      <c r="A343" s="4" t="s">
        <v>21</v>
      </c>
      <c r="B343" s="4" t="s">
        <v>40</v>
      </c>
      <c r="C343" s="4" t="s">
        <v>23</v>
      </c>
      <c r="D343" s="4" t="s">
        <v>41</v>
      </c>
      <c r="E343" s="4" t="s">
        <v>49</v>
      </c>
      <c r="F343" s="4" t="s">
        <v>50</v>
      </c>
      <c r="G343" s="4" t="s">
        <v>25</v>
      </c>
      <c r="H343" s="4" t="s">
        <v>25</v>
      </c>
      <c r="I343" s="5">
        <v>44593</v>
      </c>
      <c r="J343" s="6">
        <v>0</v>
      </c>
      <c r="K343" s="6">
        <v>0</v>
      </c>
      <c r="L343" s="6">
        <v>4.452</v>
      </c>
      <c r="M343" s="6">
        <v>4.452</v>
      </c>
      <c r="N343" s="6">
        <v>4.452</v>
      </c>
      <c r="O343" s="6">
        <v>4.452</v>
      </c>
      <c r="P343" s="6">
        <v>0</v>
      </c>
      <c r="Q343" s="4" t="s">
        <v>26</v>
      </c>
      <c r="R343" s="4">
        <v>0</v>
      </c>
      <c r="S343" s="4" t="s">
        <v>229</v>
      </c>
      <c r="T343" s="4" t="s">
        <v>354</v>
      </c>
      <c r="U343" s="4">
        <v>0</v>
      </c>
      <c r="V343" s="4">
        <v>30</v>
      </c>
      <c r="W343" s="4">
        <v>55</v>
      </c>
    </row>
    <row r="344" spans="1:23" ht="11.25" customHeight="1" x14ac:dyDescent="0.25">
      <c r="A344" s="4" t="s">
        <v>28</v>
      </c>
      <c r="B344" s="4" t="s">
        <v>40</v>
      </c>
      <c r="C344" s="4" t="s">
        <v>23</v>
      </c>
      <c r="D344" s="4" t="s">
        <v>41</v>
      </c>
      <c r="E344" s="4" t="s">
        <v>49</v>
      </c>
      <c r="F344" s="4" t="s">
        <v>50</v>
      </c>
      <c r="G344" s="4" t="s">
        <v>25</v>
      </c>
      <c r="H344" s="4" t="s">
        <v>25</v>
      </c>
      <c r="I344" s="5">
        <v>44593</v>
      </c>
      <c r="J344" s="6">
        <v>0</v>
      </c>
      <c r="K344" s="6">
        <v>0</v>
      </c>
      <c r="L344" s="6">
        <v>0.33800000000000002</v>
      </c>
      <c r="M344" s="6">
        <v>0.33800000000000002</v>
      </c>
      <c r="N344" s="6">
        <v>0.33800000000000002</v>
      </c>
      <c r="O344" s="6">
        <v>0.33800000000000002</v>
      </c>
      <c r="P344" s="6">
        <v>0</v>
      </c>
      <c r="Q344" s="4" t="s">
        <v>26</v>
      </c>
      <c r="R344" s="4">
        <v>0</v>
      </c>
      <c r="S344" s="4" t="s">
        <v>229</v>
      </c>
      <c r="T344" s="4" t="s">
        <v>354</v>
      </c>
      <c r="U344" s="4">
        <v>0</v>
      </c>
      <c r="V344" s="4">
        <v>30</v>
      </c>
      <c r="W344" s="4">
        <v>55</v>
      </c>
    </row>
    <row r="345" spans="1:23" ht="11.25" customHeight="1" x14ac:dyDescent="0.25">
      <c r="A345" s="4" t="s">
        <v>21</v>
      </c>
      <c r="B345" s="4" t="s">
        <v>40</v>
      </c>
      <c r="C345" s="4" t="s">
        <v>23</v>
      </c>
      <c r="D345" s="4" t="s">
        <v>41</v>
      </c>
      <c r="E345" s="4" t="s">
        <v>49</v>
      </c>
      <c r="F345" s="4" t="s">
        <v>50</v>
      </c>
      <c r="G345" s="4" t="s">
        <v>25</v>
      </c>
      <c r="H345" s="4" t="s">
        <v>25</v>
      </c>
      <c r="I345" s="5">
        <v>44621</v>
      </c>
      <c r="J345" s="6">
        <v>0</v>
      </c>
      <c r="K345" s="6">
        <v>0</v>
      </c>
      <c r="L345" s="6">
        <v>3.6970000000000001</v>
      </c>
      <c r="M345" s="6">
        <v>3.6970000000000001</v>
      </c>
      <c r="N345" s="6">
        <v>3.6970000000000001</v>
      </c>
      <c r="O345" s="6">
        <v>3.6970000000000001</v>
      </c>
      <c r="P345" s="6">
        <v>0</v>
      </c>
      <c r="Q345" s="4" t="s">
        <v>26</v>
      </c>
      <c r="R345" s="4">
        <v>0</v>
      </c>
      <c r="S345" s="4" t="s">
        <v>230</v>
      </c>
      <c r="T345" s="4" t="s">
        <v>355</v>
      </c>
      <c r="U345" s="4">
        <v>0</v>
      </c>
      <c r="V345" s="4">
        <v>30</v>
      </c>
      <c r="W345" s="4">
        <v>55</v>
      </c>
    </row>
    <row r="346" spans="1:23" ht="11.25" customHeight="1" x14ac:dyDescent="0.25">
      <c r="A346" s="4" t="s">
        <v>28</v>
      </c>
      <c r="B346" s="4" t="s">
        <v>40</v>
      </c>
      <c r="C346" s="4" t="s">
        <v>23</v>
      </c>
      <c r="D346" s="4" t="s">
        <v>41</v>
      </c>
      <c r="E346" s="4" t="s">
        <v>49</v>
      </c>
      <c r="F346" s="4" t="s">
        <v>50</v>
      </c>
      <c r="G346" s="4" t="s">
        <v>25</v>
      </c>
      <c r="H346" s="4" t="s">
        <v>25</v>
      </c>
      <c r="I346" s="5">
        <v>44621</v>
      </c>
      <c r="J346" s="6">
        <v>0</v>
      </c>
      <c r="K346" s="6">
        <v>0</v>
      </c>
      <c r="L346" s="6">
        <v>0.374</v>
      </c>
      <c r="M346" s="6">
        <v>0.374</v>
      </c>
      <c r="N346" s="6">
        <v>0.374</v>
      </c>
      <c r="O346" s="6">
        <v>0.374</v>
      </c>
      <c r="P346" s="6">
        <v>0</v>
      </c>
      <c r="Q346" s="4" t="s">
        <v>26</v>
      </c>
      <c r="R346" s="4">
        <v>0</v>
      </c>
      <c r="S346" s="4" t="s">
        <v>230</v>
      </c>
      <c r="T346" s="4" t="s">
        <v>355</v>
      </c>
      <c r="U346" s="4">
        <v>0</v>
      </c>
      <c r="V346" s="4">
        <v>30</v>
      </c>
      <c r="W346" s="4">
        <v>55</v>
      </c>
    </row>
    <row r="347" spans="1:23" ht="11.25" customHeight="1" x14ac:dyDescent="0.25">
      <c r="A347" s="4" t="s">
        <v>21</v>
      </c>
      <c r="B347" s="4" t="s">
        <v>40</v>
      </c>
      <c r="C347" s="4" t="s">
        <v>23</v>
      </c>
      <c r="D347" s="4" t="s">
        <v>41</v>
      </c>
      <c r="E347" s="4" t="s">
        <v>49</v>
      </c>
      <c r="F347" s="4" t="s">
        <v>50</v>
      </c>
      <c r="G347" s="4" t="s">
        <v>25</v>
      </c>
      <c r="H347" s="4" t="s">
        <v>25</v>
      </c>
      <c r="I347" s="5">
        <v>44652</v>
      </c>
      <c r="J347" s="6">
        <v>0</v>
      </c>
      <c r="K347" s="6">
        <v>0</v>
      </c>
      <c r="L347" s="6">
        <v>3.0859999999999999</v>
      </c>
      <c r="M347" s="6">
        <v>3.0859999999999999</v>
      </c>
      <c r="N347" s="6">
        <v>3.0859999999999999</v>
      </c>
      <c r="O347" s="6">
        <v>3.0859999999999999</v>
      </c>
      <c r="P347" s="6">
        <v>0</v>
      </c>
      <c r="Q347" s="4" t="s">
        <v>26</v>
      </c>
      <c r="R347" s="4">
        <v>0</v>
      </c>
      <c r="S347" s="4" t="s">
        <v>231</v>
      </c>
      <c r="T347" s="4" t="s">
        <v>356</v>
      </c>
      <c r="U347" s="4">
        <v>0</v>
      </c>
      <c r="V347" s="4">
        <v>30</v>
      </c>
      <c r="W347" s="4">
        <v>55</v>
      </c>
    </row>
    <row r="348" spans="1:23" ht="11.25" customHeight="1" x14ac:dyDescent="0.25">
      <c r="A348" s="4" t="s">
        <v>28</v>
      </c>
      <c r="B348" s="4" t="s">
        <v>40</v>
      </c>
      <c r="C348" s="4" t="s">
        <v>23</v>
      </c>
      <c r="D348" s="4" t="s">
        <v>41</v>
      </c>
      <c r="E348" s="4" t="s">
        <v>49</v>
      </c>
      <c r="F348" s="4" t="s">
        <v>50</v>
      </c>
      <c r="G348" s="4" t="s">
        <v>25</v>
      </c>
      <c r="H348" s="4" t="s">
        <v>25</v>
      </c>
      <c r="I348" s="5">
        <v>44652</v>
      </c>
      <c r="J348" s="6">
        <v>0</v>
      </c>
      <c r="K348" s="6">
        <v>0</v>
      </c>
      <c r="L348" s="6">
        <v>0.23699999999999999</v>
      </c>
      <c r="M348" s="6">
        <v>0.23699999999999999</v>
      </c>
      <c r="N348" s="6">
        <v>0.23699999999999999</v>
      </c>
      <c r="O348" s="6">
        <v>0.23699999999999999</v>
      </c>
      <c r="P348" s="6">
        <v>0</v>
      </c>
      <c r="Q348" s="4" t="s">
        <v>26</v>
      </c>
      <c r="R348" s="4">
        <v>0</v>
      </c>
      <c r="S348" s="4" t="s">
        <v>231</v>
      </c>
      <c r="T348" s="4" t="s">
        <v>356</v>
      </c>
      <c r="U348" s="4">
        <v>0</v>
      </c>
      <c r="V348" s="4">
        <v>30</v>
      </c>
      <c r="W348" s="4">
        <v>55</v>
      </c>
    </row>
    <row r="349" spans="1:23" ht="11.25" customHeight="1" x14ac:dyDescent="0.25">
      <c r="A349" s="4" t="s">
        <v>21</v>
      </c>
      <c r="B349" s="4" t="s">
        <v>40</v>
      </c>
      <c r="C349" s="4" t="s">
        <v>23</v>
      </c>
      <c r="D349" s="4" t="s">
        <v>41</v>
      </c>
      <c r="E349" s="4" t="s">
        <v>49</v>
      </c>
      <c r="F349" s="4" t="s">
        <v>50</v>
      </c>
      <c r="G349" s="4" t="s">
        <v>25</v>
      </c>
      <c r="H349" s="4" t="s">
        <v>25</v>
      </c>
      <c r="I349" s="5">
        <v>44682</v>
      </c>
      <c r="J349" s="6">
        <v>0</v>
      </c>
      <c r="K349" s="6">
        <v>0</v>
      </c>
      <c r="L349" s="6">
        <v>2.173</v>
      </c>
      <c r="M349" s="6">
        <v>2.173</v>
      </c>
      <c r="N349" s="6">
        <v>2.173</v>
      </c>
      <c r="O349" s="6">
        <v>2.173</v>
      </c>
      <c r="P349" s="6">
        <v>0</v>
      </c>
      <c r="Q349" s="4" t="s">
        <v>26</v>
      </c>
      <c r="R349" s="4">
        <v>0</v>
      </c>
      <c r="S349" s="4" t="s">
        <v>232</v>
      </c>
      <c r="T349" s="4" t="s">
        <v>357</v>
      </c>
      <c r="U349" s="4">
        <v>0</v>
      </c>
      <c r="V349" s="4">
        <v>30</v>
      </c>
      <c r="W349" s="4">
        <v>55</v>
      </c>
    </row>
    <row r="350" spans="1:23" ht="11.25" customHeight="1" x14ac:dyDescent="0.25">
      <c r="A350" s="4" t="s">
        <v>28</v>
      </c>
      <c r="B350" s="4" t="s">
        <v>40</v>
      </c>
      <c r="C350" s="4" t="s">
        <v>23</v>
      </c>
      <c r="D350" s="4" t="s">
        <v>41</v>
      </c>
      <c r="E350" s="4" t="s">
        <v>49</v>
      </c>
      <c r="F350" s="4" t="s">
        <v>50</v>
      </c>
      <c r="G350" s="4" t="s">
        <v>25</v>
      </c>
      <c r="H350" s="4" t="s">
        <v>25</v>
      </c>
      <c r="I350" s="5">
        <v>44682</v>
      </c>
      <c r="J350" s="6">
        <v>0</v>
      </c>
      <c r="K350" s="6">
        <v>0</v>
      </c>
      <c r="L350" s="6">
        <v>0.34200000000000003</v>
      </c>
      <c r="M350" s="6">
        <v>0.34200000000000003</v>
      </c>
      <c r="N350" s="6">
        <v>0.34200000000000003</v>
      </c>
      <c r="O350" s="6">
        <v>0.34200000000000003</v>
      </c>
      <c r="P350" s="6">
        <v>0</v>
      </c>
      <c r="Q350" s="4" t="s">
        <v>26</v>
      </c>
      <c r="R350" s="4">
        <v>0</v>
      </c>
      <c r="S350" s="4" t="s">
        <v>232</v>
      </c>
      <c r="T350" s="4" t="s">
        <v>357</v>
      </c>
      <c r="U350" s="4">
        <v>0</v>
      </c>
      <c r="V350" s="4">
        <v>30</v>
      </c>
      <c r="W350" s="4">
        <v>55</v>
      </c>
    </row>
    <row r="351" spans="1:23" ht="11.25" customHeight="1" x14ac:dyDescent="0.25">
      <c r="A351" s="4" t="s">
        <v>21</v>
      </c>
      <c r="B351" s="4" t="s">
        <v>40</v>
      </c>
      <c r="C351" s="4" t="s">
        <v>23</v>
      </c>
      <c r="D351" s="4" t="s">
        <v>41</v>
      </c>
      <c r="E351" s="4" t="s">
        <v>49</v>
      </c>
      <c r="F351" s="4" t="s">
        <v>50</v>
      </c>
      <c r="G351" s="4" t="s">
        <v>25</v>
      </c>
      <c r="H351" s="4" t="s">
        <v>25</v>
      </c>
      <c r="I351" s="5">
        <v>44713</v>
      </c>
      <c r="J351" s="6">
        <v>0</v>
      </c>
      <c r="K351" s="6">
        <v>0</v>
      </c>
      <c r="L351" s="6">
        <v>3.0910000000000002</v>
      </c>
      <c r="M351" s="6">
        <v>3.0910000000000002</v>
      </c>
      <c r="N351" s="6">
        <v>3.0910000000000002</v>
      </c>
      <c r="O351" s="6">
        <v>3.0910000000000002</v>
      </c>
      <c r="P351" s="6">
        <v>0</v>
      </c>
      <c r="Q351" s="4" t="s">
        <v>26</v>
      </c>
      <c r="R351" s="4">
        <v>0</v>
      </c>
      <c r="S351" s="4" t="s">
        <v>233</v>
      </c>
      <c r="T351" s="4" t="s">
        <v>358</v>
      </c>
      <c r="U351" s="4">
        <v>0</v>
      </c>
      <c r="V351" s="4">
        <v>30</v>
      </c>
      <c r="W351" s="4">
        <v>55</v>
      </c>
    </row>
    <row r="352" spans="1:23" ht="11.25" customHeight="1" x14ac:dyDescent="0.25">
      <c r="A352" s="4" t="s">
        <v>21</v>
      </c>
      <c r="B352" s="4" t="s">
        <v>40</v>
      </c>
      <c r="C352" s="4" t="s">
        <v>23</v>
      </c>
      <c r="D352" s="4" t="s">
        <v>41</v>
      </c>
      <c r="E352" s="4" t="s">
        <v>49</v>
      </c>
      <c r="F352" s="4" t="s">
        <v>50</v>
      </c>
      <c r="G352" s="4" t="s">
        <v>25</v>
      </c>
      <c r="H352" s="4" t="s">
        <v>25</v>
      </c>
      <c r="I352" s="5">
        <v>44743</v>
      </c>
      <c r="J352" s="6">
        <v>0</v>
      </c>
      <c r="K352" s="6">
        <v>0</v>
      </c>
      <c r="L352" s="6">
        <v>2.78</v>
      </c>
      <c r="M352" s="6">
        <v>2.78</v>
      </c>
      <c r="N352" s="6">
        <v>2.78</v>
      </c>
      <c r="O352" s="6">
        <v>2.78</v>
      </c>
      <c r="P352" s="6">
        <v>0</v>
      </c>
      <c r="Q352" s="4" t="s">
        <v>26</v>
      </c>
      <c r="R352" s="4">
        <v>0</v>
      </c>
      <c r="S352" s="4" t="s">
        <v>234</v>
      </c>
      <c r="T352" s="4" t="s">
        <v>359</v>
      </c>
      <c r="U352" s="4">
        <v>0</v>
      </c>
      <c r="V352" s="4">
        <v>30</v>
      </c>
      <c r="W352" s="4">
        <v>55</v>
      </c>
    </row>
    <row r="353" spans="1:23" ht="11.25" customHeight="1" x14ac:dyDescent="0.25">
      <c r="A353" s="4" t="s">
        <v>27</v>
      </c>
      <c r="B353" s="4" t="s">
        <v>40</v>
      </c>
      <c r="C353" s="4" t="s">
        <v>23</v>
      </c>
      <c r="D353" s="4" t="s">
        <v>41</v>
      </c>
      <c r="E353" s="4" t="s">
        <v>49</v>
      </c>
      <c r="F353" s="4" t="s">
        <v>50</v>
      </c>
      <c r="G353" s="4" t="s">
        <v>25</v>
      </c>
      <c r="H353" s="4" t="s">
        <v>25</v>
      </c>
      <c r="I353" s="5">
        <v>44743</v>
      </c>
      <c r="J353" s="6">
        <v>0</v>
      </c>
      <c r="K353" s="6">
        <v>0</v>
      </c>
      <c r="L353" s="6">
        <v>-0.26</v>
      </c>
      <c r="M353" s="6">
        <v>-0.26</v>
      </c>
      <c r="N353" s="6">
        <v>-0.26</v>
      </c>
      <c r="O353" s="6">
        <v>-0.26</v>
      </c>
      <c r="P353" s="6">
        <v>0</v>
      </c>
      <c r="Q353" s="4" t="s">
        <v>26</v>
      </c>
      <c r="R353" s="4">
        <v>0</v>
      </c>
      <c r="S353" s="4" t="s">
        <v>234</v>
      </c>
      <c r="T353" s="4" t="s">
        <v>359</v>
      </c>
      <c r="U353" s="4">
        <v>0</v>
      </c>
      <c r="V353" s="4">
        <v>30</v>
      </c>
      <c r="W353" s="4">
        <v>55</v>
      </c>
    </row>
    <row r="354" spans="1:23" ht="11.25" customHeight="1" x14ac:dyDescent="0.25">
      <c r="A354" s="4" t="s">
        <v>28</v>
      </c>
      <c r="B354" s="4" t="s">
        <v>40</v>
      </c>
      <c r="C354" s="4" t="s">
        <v>23</v>
      </c>
      <c r="D354" s="4" t="s">
        <v>41</v>
      </c>
      <c r="E354" s="4" t="s">
        <v>49</v>
      </c>
      <c r="F354" s="4" t="s">
        <v>50</v>
      </c>
      <c r="G354" s="4" t="s">
        <v>25</v>
      </c>
      <c r="H354" s="4" t="s">
        <v>25</v>
      </c>
      <c r="I354" s="5">
        <v>44743</v>
      </c>
      <c r="J354" s="6">
        <v>0</v>
      </c>
      <c r="K354" s="6">
        <v>0</v>
      </c>
      <c r="L354" s="6">
        <v>0.1</v>
      </c>
      <c r="M354" s="6">
        <v>0.1</v>
      </c>
      <c r="N354" s="6">
        <v>0.1</v>
      </c>
      <c r="O354" s="6">
        <v>0.1</v>
      </c>
      <c r="P354" s="6">
        <v>0</v>
      </c>
      <c r="Q354" s="4" t="s">
        <v>26</v>
      </c>
      <c r="R354" s="4">
        <v>0</v>
      </c>
      <c r="S354" s="4" t="s">
        <v>234</v>
      </c>
      <c r="T354" s="4" t="s">
        <v>359</v>
      </c>
      <c r="U354" s="4">
        <v>0</v>
      </c>
      <c r="V354" s="4">
        <v>30</v>
      </c>
      <c r="W354" s="4">
        <v>55</v>
      </c>
    </row>
    <row r="355" spans="1:23" ht="11.25" customHeight="1" x14ac:dyDescent="0.25">
      <c r="A355" s="4" t="s">
        <v>21</v>
      </c>
      <c r="B355" s="4" t="s">
        <v>40</v>
      </c>
      <c r="C355" s="4" t="s">
        <v>23</v>
      </c>
      <c r="D355" s="4" t="s">
        <v>41</v>
      </c>
      <c r="E355" s="4" t="s">
        <v>49</v>
      </c>
      <c r="F355" s="4" t="s">
        <v>50</v>
      </c>
      <c r="G355" s="4" t="s">
        <v>25</v>
      </c>
      <c r="H355" s="4" t="s">
        <v>25</v>
      </c>
      <c r="I355" s="5">
        <v>44774</v>
      </c>
      <c r="J355" s="6">
        <v>0</v>
      </c>
      <c r="K355" s="6">
        <v>0</v>
      </c>
      <c r="L355" s="6">
        <v>2.8079999999999998</v>
      </c>
      <c r="M355" s="6">
        <v>2.8079999999999998</v>
      </c>
      <c r="N355" s="6">
        <v>2.8079999999999998</v>
      </c>
      <c r="O355" s="6">
        <v>2.8079999999999998</v>
      </c>
      <c r="P355" s="6">
        <v>0</v>
      </c>
      <c r="Q355" s="4" t="s">
        <v>26</v>
      </c>
      <c r="R355" s="4">
        <v>0</v>
      </c>
      <c r="S355" s="4" t="s">
        <v>235</v>
      </c>
      <c r="T355" s="4" t="s">
        <v>360</v>
      </c>
      <c r="U355" s="4">
        <v>0</v>
      </c>
      <c r="V355" s="4">
        <v>30</v>
      </c>
      <c r="W355" s="4">
        <v>55</v>
      </c>
    </row>
    <row r="356" spans="1:23" ht="11.25" customHeight="1" x14ac:dyDescent="0.25">
      <c r="A356" s="4" t="s">
        <v>28</v>
      </c>
      <c r="B356" s="4" t="s">
        <v>40</v>
      </c>
      <c r="C356" s="4" t="s">
        <v>23</v>
      </c>
      <c r="D356" s="4" t="s">
        <v>41</v>
      </c>
      <c r="E356" s="4" t="s">
        <v>49</v>
      </c>
      <c r="F356" s="4" t="s">
        <v>50</v>
      </c>
      <c r="G356" s="4" t="s">
        <v>25</v>
      </c>
      <c r="H356" s="4" t="s">
        <v>25</v>
      </c>
      <c r="I356" s="5">
        <v>44774</v>
      </c>
      <c r="J356" s="6">
        <v>0</v>
      </c>
      <c r="K356" s="6">
        <v>0</v>
      </c>
      <c r="L356" s="6">
        <v>0.1</v>
      </c>
      <c r="M356" s="6">
        <v>0.1</v>
      </c>
      <c r="N356" s="6">
        <v>0.1</v>
      </c>
      <c r="O356" s="6">
        <v>0.1</v>
      </c>
      <c r="P356" s="6">
        <v>0</v>
      </c>
      <c r="Q356" s="4" t="s">
        <v>26</v>
      </c>
      <c r="R356" s="4">
        <v>0</v>
      </c>
      <c r="S356" s="4" t="s">
        <v>235</v>
      </c>
      <c r="T356" s="4" t="s">
        <v>360</v>
      </c>
      <c r="U356" s="4">
        <v>0</v>
      </c>
      <c r="V356" s="4">
        <v>30</v>
      </c>
      <c r="W356" s="4">
        <v>55</v>
      </c>
    </row>
    <row r="357" spans="1:23" ht="11.25" customHeight="1" x14ac:dyDescent="0.25">
      <c r="A357" s="4" t="s">
        <v>21</v>
      </c>
      <c r="B357" s="4" t="s">
        <v>40</v>
      </c>
      <c r="C357" s="4" t="s">
        <v>23</v>
      </c>
      <c r="D357" s="4" t="s">
        <v>41</v>
      </c>
      <c r="E357" s="4" t="s">
        <v>49</v>
      </c>
      <c r="F357" s="4" t="s">
        <v>51</v>
      </c>
      <c r="G357" s="4" t="s">
        <v>25</v>
      </c>
      <c r="H357" s="4" t="s">
        <v>25</v>
      </c>
      <c r="I357" s="5">
        <v>44440</v>
      </c>
      <c r="J357" s="6">
        <v>0</v>
      </c>
      <c r="K357" s="6">
        <v>0</v>
      </c>
      <c r="L357" s="6">
        <v>4.4800000000000004</v>
      </c>
      <c r="M357" s="6">
        <v>1.792</v>
      </c>
      <c r="N357" s="6">
        <v>4.4800000000000004</v>
      </c>
      <c r="O357" s="6">
        <v>1.792</v>
      </c>
      <c r="P357" s="6">
        <v>0</v>
      </c>
      <c r="Q357" s="4" t="s">
        <v>26</v>
      </c>
      <c r="R357" s="4">
        <v>0</v>
      </c>
      <c r="S357" s="4" t="s">
        <v>224</v>
      </c>
      <c r="T357" s="4" t="s">
        <v>349</v>
      </c>
      <c r="U357" s="4">
        <v>0</v>
      </c>
      <c r="V357" s="4">
        <v>30</v>
      </c>
      <c r="W357" s="4">
        <v>55</v>
      </c>
    </row>
    <row r="358" spans="1:23" ht="11.25" customHeight="1" x14ac:dyDescent="0.25">
      <c r="A358" s="4" t="s">
        <v>28</v>
      </c>
      <c r="B358" s="4" t="s">
        <v>40</v>
      </c>
      <c r="C358" s="4" t="s">
        <v>23</v>
      </c>
      <c r="D358" s="4" t="s">
        <v>41</v>
      </c>
      <c r="E358" s="4" t="s">
        <v>49</v>
      </c>
      <c r="F358" s="4" t="s">
        <v>51</v>
      </c>
      <c r="G358" s="4" t="s">
        <v>25</v>
      </c>
      <c r="H358" s="4" t="s">
        <v>25</v>
      </c>
      <c r="I358" s="5">
        <v>44440</v>
      </c>
      <c r="J358" s="6">
        <v>0</v>
      </c>
      <c r="K358" s="6">
        <v>0</v>
      </c>
      <c r="L358" s="6">
        <v>6.0000000000000001E-3</v>
      </c>
      <c r="M358" s="6">
        <v>2.3999999999999998E-3</v>
      </c>
      <c r="N358" s="6">
        <v>6.0000000000000001E-3</v>
      </c>
      <c r="O358" s="6">
        <v>2.3999999999999998E-3</v>
      </c>
      <c r="P358" s="6">
        <v>0</v>
      </c>
      <c r="Q358" s="4" t="s">
        <v>26</v>
      </c>
      <c r="R358" s="4">
        <v>0</v>
      </c>
      <c r="S358" s="4" t="s">
        <v>224</v>
      </c>
      <c r="T358" s="4" t="s">
        <v>349</v>
      </c>
      <c r="U358" s="4">
        <v>0</v>
      </c>
      <c r="V358" s="4">
        <v>30</v>
      </c>
      <c r="W358" s="4">
        <v>55</v>
      </c>
    </row>
    <row r="359" spans="1:23" ht="11.25" customHeight="1" x14ac:dyDescent="0.25">
      <c r="A359" s="4" t="s">
        <v>21</v>
      </c>
      <c r="B359" s="4" t="s">
        <v>40</v>
      </c>
      <c r="C359" s="4" t="s">
        <v>23</v>
      </c>
      <c r="D359" s="4" t="s">
        <v>41</v>
      </c>
      <c r="E359" s="4" t="s">
        <v>49</v>
      </c>
      <c r="F359" s="4" t="s">
        <v>51</v>
      </c>
      <c r="G359" s="4" t="s">
        <v>25</v>
      </c>
      <c r="H359" s="4" t="s">
        <v>25</v>
      </c>
      <c r="I359" s="5">
        <v>44470</v>
      </c>
      <c r="J359" s="6">
        <v>0</v>
      </c>
      <c r="K359" s="6">
        <v>0</v>
      </c>
      <c r="L359" s="6">
        <v>1.861</v>
      </c>
      <c r="M359" s="6">
        <v>0.74439999999999995</v>
      </c>
      <c r="N359" s="6">
        <v>1.861</v>
      </c>
      <c r="O359" s="6">
        <v>0.74439999999999995</v>
      </c>
      <c r="P359" s="6">
        <v>0</v>
      </c>
      <c r="Q359" s="4" t="s">
        <v>26</v>
      </c>
      <c r="R359" s="4">
        <v>0</v>
      </c>
      <c r="S359" s="4" t="s">
        <v>225</v>
      </c>
      <c r="T359" s="4" t="s">
        <v>350</v>
      </c>
      <c r="U359" s="4">
        <v>0</v>
      </c>
      <c r="V359" s="4">
        <v>30</v>
      </c>
      <c r="W359" s="4">
        <v>55</v>
      </c>
    </row>
    <row r="360" spans="1:23" ht="11.25" customHeight="1" x14ac:dyDescent="0.25">
      <c r="A360" s="4" t="s">
        <v>28</v>
      </c>
      <c r="B360" s="4" t="s">
        <v>40</v>
      </c>
      <c r="C360" s="4" t="s">
        <v>23</v>
      </c>
      <c r="D360" s="4" t="s">
        <v>41</v>
      </c>
      <c r="E360" s="4" t="s">
        <v>49</v>
      </c>
      <c r="F360" s="4" t="s">
        <v>51</v>
      </c>
      <c r="G360" s="4" t="s">
        <v>25</v>
      </c>
      <c r="H360" s="4" t="s">
        <v>25</v>
      </c>
      <c r="I360" s="5">
        <v>44470</v>
      </c>
      <c r="J360" s="6">
        <v>0</v>
      </c>
      <c r="K360" s="6">
        <v>0</v>
      </c>
      <c r="L360" s="6">
        <v>5.0000000000000001E-3</v>
      </c>
      <c r="M360" s="6">
        <v>2E-3</v>
      </c>
      <c r="N360" s="6">
        <v>5.0000000000000001E-3</v>
      </c>
      <c r="O360" s="6">
        <v>2E-3</v>
      </c>
      <c r="P360" s="6">
        <v>0</v>
      </c>
      <c r="Q360" s="4" t="s">
        <v>26</v>
      </c>
      <c r="R360" s="4">
        <v>0</v>
      </c>
      <c r="S360" s="4" t="s">
        <v>225</v>
      </c>
      <c r="T360" s="4" t="s">
        <v>350</v>
      </c>
      <c r="U360" s="4">
        <v>0</v>
      </c>
      <c r="V360" s="4">
        <v>30</v>
      </c>
      <c r="W360" s="4">
        <v>55</v>
      </c>
    </row>
    <row r="361" spans="1:23" ht="11.25" customHeight="1" x14ac:dyDescent="0.25">
      <c r="A361" s="4" t="s">
        <v>21</v>
      </c>
      <c r="B361" s="4" t="s">
        <v>40</v>
      </c>
      <c r="C361" s="4" t="s">
        <v>23</v>
      </c>
      <c r="D361" s="4" t="s">
        <v>41</v>
      </c>
      <c r="E361" s="4" t="s">
        <v>49</v>
      </c>
      <c r="F361" s="4" t="s">
        <v>51</v>
      </c>
      <c r="G361" s="4" t="s">
        <v>25</v>
      </c>
      <c r="H361" s="4" t="s">
        <v>25</v>
      </c>
      <c r="I361" s="5">
        <v>44501</v>
      </c>
      <c r="J361" s="6">
        <v>0</v>
      </c>
      <c r="K361" s="6">
        <v>0</v>
      </c>
      <c r="L361" s="6">
        <v>2.6339999999999999</v>
      </c>
      <c r="M361" s="6">
        <v>1.0536000000000001</v>
      </c>
      <c r="N361" s="6">
        <v>2.6339999999999999</v>
      </c>
      <c r="O361" s="6">
        <v>1.0536000000000001</v>
      </c>
      <c r="P361" s="6">
        <v>0</v>
      </c>
      <c r="Q361" s="4" t="s">
        <v>26</v>
      </c>
      <c r="R361" s="4">
        <v>0</v>
      </c>
      <c r="S361" s="4" t="s">
        <v>226</v>
      </c>
      <c r="T361" s="4" t="s">
        <v>351</v>
      </c>
      <c r="U361" s="4">
        <v>0</v>
      </c>
      <c r="V361" s="4">
        <v>30</v>
      </c>
      <c r="W361" s="4">
        <v>55</v>
      </c>
    </row>
    <row r="362" spans="1:23" ht="11.25" customHeight="1" x14ac:dyDescent="0.25">
      <c r="A362" s="4" t="s">
        <v>28</v>
      </c>
      <c r="B362" s="4" t="s">
        <v>40</v>
      </c>
      <c r="C362" s="4" t="s">
        <v>23</v>
      </c>
      <c r="D362" s="4" t="s">
        <v>41</v>
      </c>
      <c r="E362" s="4" t="s">
        <v>49</v>
      </c>
      <c r="F362" s="4" t="s">
        <v>51</v>
      </c>
      <c r="G362" s="4" t="s">
        <v>25</v>
      </c>
      <c r="H362" s="4" t="s">
        <v>25</v>
      </c>
      <c r="I362" s="5">
        <v>44501</v>
      </c>
      <c r="J362" s="6">
        <v>0</v>
      </c>
      <c r="K362" s="6">
        <v>0</v>
      </c>
      <c r="L362" s="6">
        <v>4.0000000000000001E-3</v>
      </c>
      <c r="M362" s="6">
        <v>1.6000000000000001E-3</v>
      </c>
      <c r="N362" s="6">
        <v>4.0000000000000001E-3</v>
      </c>
      <c r="O362" s="6">
        <v>1.6000000000000001E-3</v>
      </c>
      <c r="P362" s="6">
        <v>0</v>
      </c>
      <c r="Q362" s="4" t="s">
        <v>26</v>
      </c>
      <c r="R362" s="4">
        <v>0</v>
      </c>
      <c r="S362" s="4" t="s">
        <v>226</v>
      </c>
      <c r="T362" s="4" t="s">
        <v>351</v>
      </c>
      <c r="U362" s="4">
        <v>0</v>
      </c>
      <c r="V362" s="4">
        <v>30</v>
      </c>
      <c r="W362" s="4">
        <v>55</v>
      </c>
    </row>
    <row r="363" spans="1:23" ht="11.25" customHeight="1" x14ac:dyDescent="0.25">
      <c r="A363" s="4" t="s">
        <v>21</v>
      </c>
      <c r="B363" s="4" t="s">
        <v>40</v>
      </c>
      <c r="C363" s="4" t="s">
        <v>23</v>
      </c>
      <c r="D363" s="4" t="s">
        <v>41</v>
      </c>
      <c r="E363" s="4" t="s">
        <v>49</v>
      </c>
      <c r="F363" s="4" t="s">
        <v>51</v>
      </c>
      <c r="G363" s="4" t="s">
        <v>25</v>
      </c>
      <c r="H363" s="4" t="s">
        <v>25</v>
      </c>
      <c r="I363" s="5">
        <v>44531</v>
      </c>
      <c r="J363" s="6">
        <v>0</v>
      </c>
      <c r="K363" s="6">
        <v>0</v>
      </c>
      <c r="L363" s="6">
        <v>4.6260000000000003</v>
      </c>
      <c r="M363" s="6">
        <v>1.8504</v>
      </c>
      <c r="N363" s="6">
        <v>4.6260000000000003</v>
      </c>
      <c r="O363" s="6">
        <v>1.8504</v>
      </c>
      <c r="P363" s="6">
        <v>0</v>
      </c>
      <c r="Q363" s="4" t="s">
        <v>26</v>
      </c>
      <c r="R363" s="4">
        <v>0</v>
      </c>
      <c r="S363" s="4" t="s">
        <v>227</v>
      </c>
      <c r="T363" s="4" t="s">
        <v>352</v>
      </c>
      <c r="U363" s="4">
        <v>0</v>
      </c>
      <c r="V363" s="4">
        <v>30</v>
      </c>
      <c r="W363" s="4">
        <v>55</v>
      </c>
    </row>
    <row r="364" spans="1:23" ht="11.25" customHeight="1" x14ac:dyDescent="0.25">
      <c r="A364" s="4" t="s">
        <v>28</v>
      </c>
      <c r="B364" s="4" t="s">
        <v>40</v>
      </c>
      <c r="C364" s="4" t="s">
        <v>23</v>
      </c>
      <c r="D364" s="4" t="s">
        <v>41</v>
      </c>
      <c r="E364" s="4" t="s">
        <v>49</v>
      </c>
      <c r="F364" s="4" t="s">
        <v>51</v>
      </c>
      <c r="G364" s="4" t="s">
        <v>25</v>
      </c>
      <c r="H364" s="4" t="s">
        <v>25</v>
      </c>
      <c r="I364" s="5">
        <v>44531</v>
      </c>
      <c r="J364" s="6">
        <v>0</v>
      </c>
      <c r="K364" s="6">
        <v>0</v>
      </c>
      <c r="L364" s="6">
        <v>0.39100000000000001</v>
      </c>
      <c r="M364" s="6">
        <v>0.15640000000000001</v>
      </c>
      <c r="N364" s="6">
        <v>0.39100000000000001</v>
      </c>
      <c r="O364" s="6">
        <v>0.15640000000000001</v>
      </c>
      <c r="P364" s="6">
        <v>0</v>
      </c>
      <c r="Q364" s="4" t="s">
        <v>26</v>
      </c>
      <c r="R364" s="4">
        <v>0</v>
      </c>
      <c r="S364" s="4" t="s">
        <v>227</v>
      </c>
      <c r="T364" s="4" t="s">
        <v>352</v>
      </c>
      <c r="U364" s="4">
        <v>0</v>
      </c>
      <c r="V364" s="4">
        <v>30</v>
      </c>
      <c r="W364" s="4">
        <v>55</v>
      </c>
    </row>
    <row r="365" spans="1:23" ht="11.25" customHeight="1" x14ac:dyDescent="0.25">
      <c r="A365" s="4" t="s">
        <v>21</v>
      </c>
      <c r="B365" s="4" t="s">
        <v>40</v>
      </c>
      <c r="C365" s="4" t="s">
        <v>23</v>
      </c>
      <c r="D365" s="4" t="s">
        <v>41</v>
      </c>
      <c r="E365" s="4" t="s">
        <v>49</v>
      </c>
      <c r="F365" s="4" t="s">
        <v>51</v>
      </c>
      <c r="G365" s="4" t="s">
        <v>25</v>
      </c>
      <c r="H365" s="4" t="s">
        <v>25</v>
      </c>
      <c r="I365" s="5">
        <v>44562</v>
      </c>
      <c r="J365" s="6">
        <v>0</v>
      </c>
      <c r="K365" s="6">
        <v>0</v>
      </c>
      <c r="L365" s="6">
        <v>7.93</v>
      </c>
      <c r="M365" s="6">
        <v>3.1720000000000002</v>
      </c>
      <c r="N365" s="6">
        <v>7.93</v>
      </c>
      <c r="O365" s="6">
        <v>3.1720000000000002</v>
      </c>
      <c r="P365" s="6">
        <v>0</v>
      </c>
      <c r="Q365" s="4" t="s">
        <v>26</v>
      </c>
      <c r="R365" s="4">
        <v>0</v>
      </c>
      <c r="S365" s="4" t="s">
        <v>228</v>
      </c>
      <c r="T365" s="4" t="s">
        <v>353</v>
      </c>
      <c r="U365" s="4">
        <v>0</v>
      </c>
      <c r="V365" s="4">
        <v>30</v>
      </c>
      <c r="W365" s="4">
        <v>55</v>
      </c>
    </row>
    <row r="366" spans="1:23" ht="11.25" customHeight="1" x14ac:dyDescent="0.25">
      <c r="A366" s="4" t="s">
        <v>28</v>
      </c>
      <c r="B366" s="4" t="s">
        <v>40</v>
      </c>
      <c r="C366" s="4" t="s">
        <v>23</v>
      </c>
      <c r="D366" s="4" t="s">
        <v>41</v>
      </c>
      <c r="E366" s="4" t="s">
        <v>49</v>
      </c>
      <c r="F366" s="4" t="s">
        <v>51</v>
      </c>
      <c r="G366" s="4" t="s">
        <v>25</v>
      </c>
      <c r="H366" s="4" t="s">
        <v>25</v>
      </c>
      <c r="I366" s="5">
        <v>44562</v>
      </c>
      <c r="J366" s="6">
        <v>0</v>
      </c>
      <c r="K366" s="6">
        <v>0</v>
      </c>
      <c r="L366" s="6">
        <v>0.86899999999999999</v>
      </c>
      <c r="M366" s="6">
        <v>0.34760000000000002</v>
      </c>
      <c r="N366" s="6">
        <v>0.86899999999999999</v>
      </c>
      <c r="O366" s="6">
        <v>0.34760000000000002</v>
      </c>
      <c r="P366" s="6">
        <v>0</v>
      </c>
      <c r="Q366" s="4" t="s">
        <v>26</v>
      </c>
      <c r="R366" s="4">
        <v>0</v>
      </c>
      <c r="S366" s="4" t="s">
        <v>228</v>
      </c>
      <c r="T366" s="4" t="s">
        <v>353</v>
      </c>
      <c r="U366" s="4">
        <v>0</v>
      </c>
      <c r="V366" s="4">
        <v>30</v>
      </c>
      <c r="W366" s="4">
        <v>55</v>
      </c>
    </row>
    <row r="367" spans="1:23" ht="11.25" customHeight="1" x14ac:dyDescent="0.25">
      <c r="A367" s="4" t="s">
        <v>21</v>
      </c>
      <c r="B367" s="4" t="s">
        <v>40</v>
      </c>
      <c r="C367" s="4" t="s">
        <v>23</v>
      </c>
      <c r="D367" s="4" t="s">
        <v>41</v>
      </c>
      <c r="E367" s="4" t="s">
        <v>49</v>
      </c>
      <c r="F367" s="4" t="s">
        <v>51</v>
      </c>
      <c r="G367" s="4" t="s">
        <v>25</v>
      </c>
      <c r="H367" s="4" t="s">
        <v>25</v>
      </c>
      <c r="I367" s="5">
        <v>44593</v>
      </c>
      <c r="J367" s="6">
        <v>0</v>
      </c>
      <c r="K367" s="6">
        <v>0</v>
      </c>
      <c r="L367" s="6">
        <v>4.54</v>
      </c>
      <c r="M367" s="6">
        <v>1.8160000000000001</v>
      </c>
      <c r="N367" s="6">
        <v>4.54</v>
      </c>
      <c r="O367" s="6">
        <v>1.8160000000000001</v>
      </c>
      <c r="P367" s="6">
        <v>0</v>
      </c>
      <c r="Q367" s="4" t="s">
        <v>26</v>
      </c>
      <c r="R367" s="4">
        <v>0</v>
      </c>
      <c r="S367" s="4" t="s">
        <v>229</v>
      </c>
      <c r="T367" s="4" t="s">
        <v>354</v>
      </c>
      <c r="U367" s="4">
        <v>0</v>
      </c>
      <c r="V367" s="4">
        <v>30</v>
      </c>
      <c r="W367" s="4">
        <v>55</v>
      </c>
    </row>
    <row r="368" spans="1:23" ht="11.25" customHeight="1" x14ac:dyDescent="0.25">
      <c r="A368" s="4" t="s">
        <v>28</v>
      </c>
      <c r="B368" s="4" t="s">
        <v>40</v>
      </c>
      <c r="C368" s="4" t="s">
        <v>23</v>
      </c>
      <c r="D368" s="4" t="s">
        <v>41</v>
      </c>
      <c r="E368" s="4" t="s">
        <v>49</v>
      </c>
      <c r="F368" s="4" t="s">
        <v>51</v>
      </c>
      <c r="G368" s="4" t="s">
        <v>25</v>
      </c>
      <c r="H368" s="4" t="s">
        <v>25</v>
      </c>
      <c r="I368" s="5">
        <v>44593</v>
      </c>
      <c r="J368" s="6">
        <v>0</v>
      </c>
      <c r="K368" s="6">
        <v>0</v>
      </c>
      <c r="L368" s="6">
        <v>0.13700000000000001</v>
      </c>
      <c r="M368" s="6">
        <v>5.4800000000000001E-2</v>
      </c>
      <c r="N368" s="6">
        <v>0.13700000000000001</v>
      </c>
      <c r="O368" s="6">
        <v>5.4800000000000001E-2</v>
      </c>
      <c r="P368" s="6">
        <v>0</v>
      </c>
      <c r="Q368" s="4" t="s">
        <v>26</v>
      </c>
      <c r="R368" s="4">
        <v>0</v>
      </c>
      <c r="S368" s="4" t="s">
        <v>229</v>
      </c>
      <c r="T368" s="4" t="s">
        <v>354</v>
      </c>
      <c r="U368" s="4">
        <v>0</v>
      </c>
      <c r="V368" s="4">
        <v>30</v>
      </c>
      <c r="W368" s="4">
        <v>55</v>
      </c>
    </row>
    <row r="369" spans="1:23" ht="11.25" customHeight="1" x14ac:dyDescent="0.25">
      <c r="A369" s="4" t="s">
        <v>21</v>
      </c>
      <c r="B369" s="4" t="s">
        <v>40</v>
      </c>
      <c r="C369" s="4" t="s">
        <v>23</v>
      </c>
      <c r="D369" s="4" t="s">
        <v>41</v>
      </c>
      <c r="E369" s="4" t="s">
        <v>49</v>
      </c>
      <c r="F369" s="4" t="s">
        <v>51</v>
      </c>
      <c r="G369" s="4" t="s">
        <v>25</v>
      </c>
      <c r="H369" s="4" t="s">
        <v>25</v>
      </c>
      <c r="I369" s="5">
        <v>44621</v>
      </c>
      <c r="J369" s="6">
        <v>0</v>
      </c>
      <c r="K369" s="6">
        <v>0</v>
      </c>
      <c r="L369" s="6">
        <v>3.331</v>
      </c>
      <c r="M369" s="6">
        <v>1.3324</v>
      </c>
      <c r="N369" s="6">
        <v>3.331</v>
      </c>
      <c r="O369" s="6">
        <v>1.3324</v>
      </c>
      <c r="P369" s="6">
        <v>0</v>
      </c>
      <c r="Q369" s="4" t="s">
        <v>26</v>
      </c>
      <c r="R369" s="4">
        <v>0</v>
      </c>
      <c r="S369" s="4" t="s">
        <v>230</v>
      </c>
      <c r="T369" s="4" t="s">
        <v>355</v>
      </c>
      <c r="U369" s="4">
        <v>0</v>
      </c>
      <c r="V369" s="4">
        <v>30</v>
      </c>
      <c r="W369" s="4">
        <v>55</v>
      </c>
    </row>
    <row r="370" spans="1:23" ht="11.25" customHeight="1" x14ac:dyDescent="0.25">
      <c r="A370" s="4" t="s">
        <v>28</v>
      </c>
      <c r="B370" s="4" t="s">
        <v>40</v>
      </c>
      <c r="C370" s="4" t="s">
        <v>23</v>
      </c>
      <c r="D370" s="4" t="s">
        <v>41</v>
      </c>
      <c r="E370" s="4" t="s">
        <v>49</v>
      </c>
      <c r="F370" s="4" t="s">
        <v>51</v>
      </c>
      <c r="G370" s="4" t="s">
        <v>25</v>
      </c>
      <c r="H370" s="4" t="s">
        <v>25</v>
      </c>
      <c r="I370" s="5">
        <v>44621</v>
      </c>
      <c r="J370" s="6">
        <v>0</v>
      </c>
      <c r="K370" s="6">
        <v>0</v>
      </c>
      <c r="L370" s="6">
        <v>0.246</v>
      </c>
      <c r="M370" s="6">
        <v>9.8400000000000001E-2</v>
      </c>
      <c r="N370" s="6">
        <v>0.246</v>
      </c>
      <c r="O370" s="6">
        <v>9.8400000000000001E-2</v>
      </c>
      <c r="P370" s="6">
        <v>0</v>
      </c>
      <c r="Q370" s="4" t="s">
        <v>26</v>
      </c>
      <c r="R370" s="4">
        <v>0</v>
      </c>
      <c r="S370" s="4" t="s">
        <v>230</v>
      </c>
      <c r="T370" s="4" t="s">
        <v>355</v>
      </c>
      <c r="U370" s="4">
        <v>0</v>
      </c>
      <c r="V370" s="4">
        <v>30</v>
      </c>
      <c r="W370" s="4">
        <v>55</v>
      </c>
    </row>
    <row r="371" spans="1:23" ht="11.25" customHeight="1" x14ac:dyDescent="0.25">
      <c r="A371" s="4" t="s">
        <v>21</v>
      </c>
      <c r="B371" s="4" t="s">
        <v>40</v>
      </c>
      <c r="C371" s="4" t="s">
        <v>23</v>
      </c>
      <c r="D371" s="4" t="s">
        <v>41</v>
      </c>
      <c r="E371" s="4" t="s">
        <v>49</v>
      </c>
      <c r="F371" s="4" t="s">
        <v>51</v>
      </c>
      <c r="G371" s="4" t="s">
        <v>25</v>
      </c>
      <c r="H371" s="4" t="s">
        <v>25</v>
      </c>
      <c r="I371" s="5">
        <v>44652</v>
      </c>
      <c r="J371" s="6">
        <v>0</v>
      </c>
      <c r="K371" s="6">
        <v>0</v>
      </c>
      <c r="L371" s="6">
        <v>1.518</v>
      </c>
      <c r="M371" s="6">
        <v>0.60719999999999996</v>
      </c>
      <c r="N371" s="6">
        <v>1.518</v>
      </c>
      <c r="O371" s="6">
        <v>0.60719999999999996</v>
      </c>
      <c r="P371" s="6">
        <v>0</v>
      </c>
      <c r="Q371" s="4" t="s">
        <v>26</v>
      </c>
      <c r="R371" s="4">
        <v>0</v>
      </c>
      <c r="S371" s="4" t="s">
        <v>231</v>
      </c>
      <c r="T371" s="4" t="s">
        <v>356</v>
      </c>
      <c r="U371" s="4">
        <v>0</v>
      </c>
      <c r="V371" s="4">
        <v>30</v>
      </c>
      <c r="W371" s="4">
        <v>55</v>
      </c>
    </row>
    <row r="372" spans="1:23" ht="11.25" customHeight="1" x14ac:dyDescent="0.25">
      <c r="A372" s="4" t="s">
        <v>28</v>
      </c>
      <c r="B372" s="4" t="s">
        <v>40</v>
      </c>
      <c r="C372" s="4" t="s">
        <v>23</v>
      </c>
      <c r="D372" s="4" t="s">
        <v>41</v>
      </c>
      <c r="E372" s="4" t="s">
        <v>49</v>
      </c>
      <c r="F372" s="4" t="s">
        <v>51</v>
      </c>
      <c r="G372" s="4" t="s">
        <v>25</v>
      </c>
      <c r="H372" s="4" t="s">
        <v>25</v>
      </c>
      <c r="I372" s="5">
        <v>44652</v>
      </c>
      <c r="J372" s="6">
        <v>0</v>
      </c>
      <c r="K372" s="6">
        <v>0</v>
      </c>
      <c r="L372" s="6">
        <v>4.7E-2</v>
      </c>
      <c r="M372" s="6">
        <v>1.8800000000000001E-2</v>
      </c>
      <c r="N372" s="6">
        <v>4.7E-2</v>
      </c>
      <c r="O372" s="6">
        <v>1.8800000000000001E-2</v>
      </c>
      <c r="P372" s="6">
        <v>0</v>
      </c>
      <c r="Q372" s="4" t="s">
        <v>26</v>
      </c>
      <c r="R372" s="4">
        <v>0</v>
      </c>
      <c r="S372" s="4" t="s">
        <v>231</v>
      </c>
      <c r="T372" s="4" t="s">
        <v>356</v>
      </c>
      <c r="U372" s="4">
        <v>0</v>
      </c>
      <c r="V372" s="4">
        <v>30</v>
      </c>
      <c r="W372" s="4">
        <v>55</v>
      </c>
    </row>
    <row r="373" spans="1:23" ht="11.25" customHeight="1" x14ac:dyDescent="0.25">
      <c r="A373" s="4" t="s">
        <v>21</v>
      </c>
      <c r="B373" s="4" t="s">
        <v>40</v>
      </c>
      <c r="C373" s="4" t="s">
        <v>23</v>
      </c>
      <c r="D373" s="4" t="s">
        <v>41</v>
      </c>
      <c r="E373" s="4" t="s">
        <v>49</v>
      </c>
      <c r="F373" s="4" t="s">
        <v>51</v>
      </c>
      <c r="G373" s="4" t="s">
        <v>25</v>
      </c>
      <c r="H373" s="4" t="s">
        <v>25</v>
      </c>
      <c r="I373" s="5">
        <v>44682</v>
      </c>
      <c r="J373" s="6">
        <v>0</v>
      </c>
      <c r="K373" s="6">
        <v>0</v>
      </c>
      <c r="L373" s="6">
        <v>0.59099999999999997</v>
      </c>
      <c r="M373" s="6">
        <v>0.2364</v>
      </c>
      <c r="N373" s="6">
        <v>0.59099999999999997</v>
      </c>
      <c r="O373" s="6">
        <v>0.2364</v>
      </c>
      <c r="P373" s="6">
        <v>0</v>
      </c>
      <c r="Q373" s="4" t="s">
        <v>26</v>
      </c>
      <c r="R373" s="4">
        <v>0</v>
      </c>
      <c r="S373" s="4" t="s">
        <v>232</v>
      </c>
      <c r="T373" s="4" t="s">
        <v>357</v>
      </c>
      <c r="U373" s="4">
        <v>0</v>
      </c>
      <c r="V373" s="4">
        <v>30</v>
      </c>
      <c r="W373" s="4">
        <v>55</v>
      </c>
    </row>
    <row r="374" spans="1:23" ht="11.25" customHeight="1" x14ac:dyDescent="0.25">
      <c r="A374" s="4" t="s">
        <v>28</v>
      </c>
      <c r="B374" s="4" t="s">
        <v>40</v>
      </c>
      <c r="C374" s="4" t="s">
        <v>23</v>
      </c>
      <c r="D374" s="4" t="s">
        <v>41</v>
      </c>
      <c r="E374" s="4" t="s">
        <v>49</v>
      </c>
      <c r="F374" s="4" t="s">
        <v>51</v>
      </c>
      <c r="G374" s="4" t="s">
        <v>25</v>
      </c>
      <c r="H374" s="4" t="s">
        <v>25</v>
      </c>
      <c r="I374" s="5">
        <v>44682</v>
      </c>
      <c r="J374" s="6">
        <v>0</v>
      </c>
      <c r="K374" s="6">
        <v>0</v>
      </c>
      <c r="L374" s="6">
        <v>6.9000000000000006E-2</v>
      </c>
      <c r="M374" s="6">
        <v>2.76E-2</v>
      </c>
      <c r="N374" s="6">
        <v>6.9000000000000006E-2</v>
      </c>
      <c r="O374" s="6">
        <v>2.76E-2</v>
      </c>
      <c r="P374" s="6">
        <v>0</v>
      </c>
      <c r="Q374" s="4" t="s">
        <v>26</v>
      </c>
      <c r="R374" s="4">
        <v>0</v>
      </c>
      <c r="S374" s="4" t="s">
        <v>232</v>
      </c>
      <c r="T374" s="4" t="s">
        <v>357</v>
      </c>
      <c r="U374" s="4">
        <v>0</v>
      </c>
      <c r="V374" s="4">
        <v>30</v>
      </c>
      <c r="W374" s="4">
        <v>55</v>
      </c>
    </row>
    <row r="375" spans="1:23" ht="11.25" customHeight="1" x14ac:dyDescent="0.25">
      <c r="A375" s="4" t="s">
        <v>21</v>
      </c>
      <c r="B375" s="4" t="s">
        <v>40</v>
      </c>
      <c r="C375" s="4" t="s">
        <v>23</v>
      </c>
      <c r="D375" s="4" t="s">
        <v>41</v>
      </c>
      <c r="E375" s="4" t="s">
        <v>49</v>
      </c>
      <c r="F375" s="4" t="s">
        <v>51</v>
      </c>
      <c r="G375" s="4" t="s">
        <v>25</v>
      </c>
      <c r="H375" s="4" t="s">
        <v>25</v>
      </c>
      <c r="I375" s="5">
        <v>44713</v>
      </c>
      <c r="J375" s="6">
        <v>0</v>
      </c>
      <c r="K375" s="6">
        <v>0</v>
      </c>
      <c r="L375" s="6">
        <v>0.83799999999999997</v>
      </c>
      <c r="M375" s="6">
        <v>0.3352</v>
      </c>
      <c r="N375" s="6">
        <v>0.83799999999999997</v>
      </c>
      <c r="O375" s="6">
        <v>0.3352</v>
      </c>
      <c r="P375" s="6">
        <v>0</v>
      </c>
      <c r="Q375" s="4" t="s">
        <v>26</v>
      </c>
      <c r="R375" s="4">
        <v>0</v>
      </c>
      <c r="S375" s="4" t="s">
        <v>233</v>
      </c>
      <c r="T375" s="4" t="s">
        <v>358</v>
      </c>
      <c r="U375" s="4">
        <v>0</v>
      </c>
      <c r="V375" s="4">
        <v>30</v>
      </c>
      <c r="W375" s="4">
        <v>55</v>
      </c>
    </row>
    <row r="376" spans="1:23" ht="11.25" customHeight="1" x14ac:dyDescent="0.25">
      <c r="A376" s="4" t="s">
        <v>21</v>
      </c>
      <c r="B376" s="4" t="s">
        <v>40</v>
      </c>
      <c r="C376" s="4" t="s">
        <v>23</v>
      </c>
      <c r="D376" s="4" t="s">
        <v>41</v>
      </c>
      <c r="E376" s="4" t="s">
        <v>49</v>
      </c>
      <c r="F376" s="4" t="s">
        <v>51</v>
      </c>
      <c r="G376" s="4" t="s">
        <v>25</v>
      </c>
      <c r="H376" s="4" t="s">
        <v>25</v>
      </c>
      <c r="I376" s="5">
        <v>44743</v>
      </c>
      <c r="J376" s="6">
        <v>0</v>
      </c>
      <c r="K376" s="6">
        <v>0</v>
      </c>
      <c r="L376" s="6">
        <v>0.85399999999999998</v>
      </c>
      <c r="M376" s="6">
        <v>0.34160000000000001</v>
      </c>
      <c r="N376" s="6">
        <v>0.85399999999999998</v>
      </c>
      <c r="O376" s="6">
        <v>0.34160000000000001</v>
      </c>
      <c r="P376" s="6">
        <v>0</v>
      </c>
      <c r="Q376" s="4" t="s">
        <v>26</v>
      </c>
      <c r="R376" s="4">
        <v>0</v>
      </c>
      <c r="S376" s="4" t="s">
        <v>234</v>
      </c>
      <c r="T376" s="4" t="s">
        <v>359</v>
      </c>
      <c r="U376" s="4">
        <v>0</v>
      </c>
      <c r="V376" s="4">
        <v>30</v>
      </c>
      <c r="W376" s="4">
        <v>55</v>
      </c>
    </row>
    <row r="377" spans="1:23" ht="11.25" customHeight="1" x14ac:dyDescent="0.25">
      <c r="A377" s="4" t="s">
        <v>27</v>
      </c>
      <c r="B377" s="4" t="s">
        <v>40</v>
      </c>
      <c r="C377" s="4" t="s">
        <v>23</v>
      </c>
      <c r="D377" s="4" t="s">
        <v>41</v>
      </c>
      <c r="E377" s="4" t="s">
        <v>49</v>
      </c>
      <c r="F377" s="4" t="s">
        <v>51</v>
      </c>
      <c r="G377" s="4" t="s">
        <v>25</v>
      </c>
      <c r="H377" s="4" t="s">
        <v>25</v>
      </c>
      <c r="I377" s="5">
        <v>44743</v>
      </c>
      <c r="J377" s="6">
        <v>0</v>
      </c>
      <c r="K377" s="6">
        <v>0</v>
      </c>
      <c r="L377" s="6">
        <v>-0.187</v>
      </c>
      <c r="M377" s="6">
        <v>-7.4800000000000005E-2</v>
      </c>
      <c r="N377" s="6">
        <v>-0.187</v>
      </c>
      <c r="O377" s="6">
        <v>-7.4800000000000005E-2</v>
      </c>
      <c r="P377" s="6">
        <v>0</v>
      </c>
      <c r="Q377" s="4" t="s">
        <v>26</v>
      </c>
      <c r="R377" s="4">
        <v>0</v>
      </c>
      <c r="S377" s="4" t="s">
        <v>234</v>
      </c>
      <c r="T377" s="4" t="s">
        <v>359</v>
      </c>
      <c r="U377" s="4">
        <v>0</v>
      </c>
      <c r="V377" s="4">
        <v>30</v>
      </c>
      <c r="W377" s="4">
        <v>55</v>
      </c>
    </row>
    <row r="378" spans="1:23" ht="11.25" customHeight="1" x14ac:dyDescent="0.25">
      <c r="A378" s="4" t="s">
        <v>21</v>
      </c>
      <c r="B378" s="4" t="s">
        <v>40</v>
      </c>
      <c r="C378" s="4" t="s">
        <v>23</v>
      </c>
      <c r="D378" s="4" t="s">
        <v>41</v>
      </c>
      <c r="E378" s="4" t="s">
        <v>49</v>
      </c>
      <c r="F378" s="4" t="s">
        <v>51</v>
      </c>
      <c r="G378" s="4" t="s">
        <v>25</v>
      </c>
      <c r="H378" s="4" t="s">
        <v>25</v>
      </c>
      <c r="I378" s="5">
        <v>44774</v>
      </c>
      <c r="J378" s="6">
        <v>0</v>
      </c>
      <c r="K378" s="6">
        <v>0</v>
      </c>
      <c r="L378" s="6">
        <v>0.77700000000000002</v>
      </c>
      <c r="M378" s="6">
        <v>0.31080000000000002</v>
      </c>
      <c r="N378" s="6">
        <v>0.77700000000000002</v>
      </c>
      <c r="O378" s="6">
        <v>0.31080000000000002</v>
      </c>
      <c r="P378" s="6">
        <v>0</v>
      </c>
      <c r="Q378" s="4" t="s">
        <v>26</v>
      </c>
      <c r="R378" s="4">
        <v>0</v>
      </c>
      <c r="S378" s="4" t="s">
        <v>235</v>
      </c>
      <c r="T378" s="4" t="s">
        <v>360</v>
      </c>
      <c r="U378" s="4">
        <v>0</v>
      </c>
      <c r="V378" s="4">
        <v>30</v>
      </c>
      <c r="W378" s="4">
        <v>55</v>
      </c>
    </row>
    <row r="379" spans="1:23" ht="11.25" customHeight="1" x14ac:dyDescent="0.25">
      <c r="A379" s="4" t="s">
        <v>21</v>
      </c>
      <c r="B379" s="4" t="s">
        <v>40</v>
      </c>
      <c r="C379" s="4" t="s">
        <v>23</v>
      </c>
      <c r="D379" s="4" t="s">
        <v>41</v>
      </c>
      <c r="E379" s="4" t="s">
        <v>52</v>
      </c>
      <c r="F379" s="4" t="s">
        <v>50</v>
      </c>
      <c r="G379" s="4" t="s">
        <v>25</v>
      </c>
      <c r="H379" s="4" t="s">
        <v>25</v>
      </c>
      <c r="I379" s="5">
        <v>44440</v>
      </c>
      <c r="J379" s="6">
        <v>0</v>
      </c>
      <c r="K379" s="6">
        <v>0</v>
      </c>
      <c r="L379" s="6">
        <v>7.766</v>
      </c>
      <c r="M379" s="6">
        <v>7.766</v>
      </c>
      <c r="N379" s="6">
        <v>7.766</v>
      </c>
      <c r="O379" s="6">
        <v>7.766</v>
      </c>
      <c r="P379" s="6">
        <v>0</v>
      </c>
      <c r="Q379" s="4" t="s">
        <v>26</v>
      </c>
      <c r="R379" s="4">
        <v>0</v>
      </c>
      <c r="S379" s="4" t="s">
        <v>224</v>
      </c>
      <c r="T379" s="4" t="s">
        <v>349</v>
      </c>
      <c r="U379" s="4">
        <v>0</v>
      </c>
      <c r="V379" s="4">
        <v>30</v>
      </c>
      <c r="W379" s="4">
        <v>55</v>
      </c>
    </row>
    <row r="380" spans="1:23" ht="11.25" customHeight="1" x14ac:dyDescent="0.25">
      <c r="A380" s="4" t="s">
        <v>28</v>
      </c>
      <c r="B380" s="4" t="s">
        <v>40</v>
      </c>
      <c r="C380" s="4" t="s">
        <v>23</v>
      </c>
      <c r="D380" s="4" t="s">
        <v>41</v>
      </c>
      <c r="E380" s="4" t="s">
        <v>52</v>
      </c>
      <c r="F380" s="4" t="s">
        <v>50</v>
      </c>
      <c r="G380" s="4" t="s">
        <v>25</v>
      </c>
      <c r="H380" s="4" t="s">
        <v>25</v>
      </c>
      <c r="I380" s="5">
        <v>44440</v>
      </c>
      <c r="J380" s="6">
        <v>0</v>
      </c>
      <c r="K380" s="6">
        <v>0</v>
      </c>
      <c r="L380" s="6">
        <v>0.05</v>
      </c>
      <c r="M380" s="6">
        <v>0.05</v>
      </c>
      <c r="N380" s="6">
        <v>0.05</v>
      </c>
      <c r="O380" s="6">
        <v>0.05</v>
      </c>
      <c r="P380" s="6">
        <v>0</v>
      </c>
      <c r="Q380" s="4" t="s">
        <v>26</v>
      </c>
      <c r="R380" s="4">
        <v>0</v>
      </c>
      <c r="S380" s="4" t="s">
        <v>224</v>
      </c>
      <c r="T380" s="4" t="s">
        <v>349</v>
      </c>
      <c r="U380" s="4">
        <v>0</v>
      </c>
      <c r="V380" s="4">
        <v>30</v>
      </c>
      <c r="W380" s="4">
        <v>55</v>
      </c>
    </row>
    <row r="381" spans="1:23" ht="11.25" customHeight="1" x14ac:dyDescent="0.25">
      <c r="A381" s="4" t="s">
        <v>21</v>
      </c>
      <c r="B381" s="4" t="s">
        <v>40</v>
      </c>
      <c r="C381" s="4" t="s">
        <v>23</v>
      </c>
      <c r="D381" s="4" t="s">
        <v>41</v>
      </c>
      <c r="E381" s="4" t="s">
        <v>52</v>
      </c>
      <c r="F381" s="4" t="s">
        <v>50</v>
      </c>
      <c r="G381" s="4" t="s">
        <v>25</v>
      </c>
      <c r="H381" s="4" t="s">
        <v>25</v>
      </c>
      <c r="I381" s="5">
        <v>44470</v>
      </c>
      <c r="J381" s="6">
        <v>0</v>
      </c>
      <c r="K381" s="6">
        <v>0</v>
      </c>
      <c r="L381" s="6">
        <v>7.407</v>
      </c>
      <c r="M381" s="6">
        <v>7.407</v>
      </c>
      <c r="N381" s="6">
        <v>7.407</v>
      </c>
      <c r="O381" s="6">
        <v>7.407</v>
      </c>
      <c r="P381" s="6">
        <v>0</v>
      </c>
      <c r="Q381" s="4" t="s">
        <v>26</v>
      </c>
      <c r="R381" s="4">
        <v>0</v>
      </c>
      <c r="S381" s="4" t="s">
        <v>225</v>
      </c>
      <c r="T381" s="4" t="s">
        <v>350</v>
      </c>
      <c r="U381" s="4">
        <v>0</v>
      </c>
      <c r="V381" s="4">
        <v>30</v>
      </c>
      <c r="W381" s="4">
        <v>55</v>
      </c>
    </row>
    <row r="382" spans="1:23" ht="11.25" customHeight="1" x14ac:dyDescent="0.25">
      <c r="A382" s="4" t="s">
        <v>28</v>
      </c>
      <c r="B382" s="4" t="s">
        <v>40</v>
      </c>
      <c r="C382" s="4" t="s">
        <v>23</v>
      </c>
      <c r="D382" s="4" t="s">
        <v>41</v>
      </c>
      <c r="E382" s="4" t="s">
        <v>52</v>
      </c>
      <c r="F382" s="4" t="s">
        <v>50</v>
      </c>
      <c r="G382" s="4" t="s">
        <v>25</v>
      </c>
      <c r="H382" s="4" t="s">
        <v>25</v>
      </c>
      <c r="I382" s="5">
        <v>44470</v>
      </c>
      <c r="J382" s="6">
        <v>0</v>
      </c>
      <c r="K382" s="6">
        <v>0</v>
      </c>
      <c r="L382" s="6">
        <v>0.05</v>
      </c>
      <c r="M382" s="6">
        <v>0.05</v>
      </c>
      <c r="N382" s="6">
        <v>0.05</v>
      </c>
      <c r="O382" s="6">
        <v>0.05</v>
      </c>
      <c r="P382" s="6">
        <v>0</v>
      </c>
      <c r="Q382" s="4" t="s">
        <v>26</v>
      </c>
      <c r="R382" s="4">
        <v>0</v>
      </c>
      <c r="S382" s="4" t="s">
        <v>225</v>
      </c>
      <c r="T382" s="4" t="s">
        <v>350</v>
      </c>
      <c r="U382" s="4">
        <v>0</v>
      </c>
      <c r="V382" s="4">
        <v>30</v>
      </c>
      <c r="W382" s="4">
        <v>55</v>
      </c>
    </row>
    <row r="383" spans="1:23" ht="11.25" customHeight="1" x14ac:dyDescent="0.25">
      <c r="A383" s="4" t="s">
        <v>21</v>
      </c>
      <c r="B383" s="4" t="s">
        <v>40</v>
      </c>
      <c r="C383" s="4" t="s">
        <v>23</v>
      </c>
      <c r="D383" s="4" t="s">
        <v>41</v>
      </c>
      <c r="E383" s="4" t="s">
        <v>52</v>
      </c>
      <c r="F383" s="4" t="s">
        <v>50</v>
      </c>
      <c r="G383" s="4" t="s">
        <v>25</v>
      </c>
      <c r="H383" s="4" t="s">
        <v>25</v>
      </c>
      <c r="I383" s="5">
        <v>44501</v>
      </c>
      <c r="J383" s="6">
        <v>0</v>
      </c>
      <c r="K383" s="6">
        <v>0</v>
      </c>
      <c r="L383" s="6">
        <v>4.6059999999999999</v>
      </c>
      <c r="M383" s="6">
        <v>4.6059999999999999</v>
      </c>
      <c r="N383" s="6">
        <v>4.6059999999999999</v>
      </c>
      <c r="O383" s="6">
        <v>4.6059999999999999</v>
      </c>
      <c r="P383" s="6">
        <v>0</v>
      </c>
      <c r="Q383" s="4" t="s">
        <v>26</v>
      </c>
      <c r="R383" s="4">
        <v>0</v>
      </c>
      <c r="S383" s="4" t="s">
        <v>226</v>
      </c>
      <c r="T383" s="4" t="s">
        <v>351</v>
      </c>
      <c r="U383" s="4">
        <v>0</v>
      </c>
      <c r="V383" s="4">
        <v>30</v>
      </c>
      <c r="W383" s="4">
        <v>55</v>
      </c>
    </row>
    <row r="384" spans="1:23" ht="11.25" customHeight="1" x14ac:dyDescent="0.25">
      <c r="A384" s="4" t="s">
        <v>28</v>
      </c>
      <c r="B384" s="4" t="s">
        <v>40</v>
      </c>
      <c r="C384" s="4" t="s">
        <v>23</v>
      </c>
      <c r="D384" s="4" t="s">
        <v>41</v>
      </c>
      <c r="E384" s="4" t="s">
        <v>52</v>
      </c>
      <c r="F384" s="4" t="s">
        <v>50</v>
      </c>
      <c r="G384" s="4" t="s">
        <v>25</v>
      </c>
      <c r="H384" s="4" t="s">
        <v>25</v>
      </c>
      <c r="I384" s="5">
        <v>44501</v>
      </c>
      <c r="J384" s="6">
        <v>0</v>
      </c>
      <c r="K384" s="6">
        <v>0</v>
      </c>
      <c r="L384" s="6">
        <v>1.756</v>
      </c>
      <c r="M384" s="6">
        <v>1.756</v>
      </c>
      <c r="N384" s="6">
        <v>1.756</v>
      </c>
      <c r="O384" s="6">
        <v>1.756</v>
      </c>
      <c r="P384" s="6">
        <v>0</v>
      </c>
      <c r="Q384" s="4" t="s">
        <v>26</v>
      </c>
      <c r="R384" s="4">
        <v>0</v>
      </c>
      <c r="S384" s="4" t="s">
        <v>226</v>
      </c>
      <c r="T384" s="4" t="s">
        <v>351</v>
      </c>
      <c r="U384" s="4">
        <v>0</v>
      </c>
      <c r="V384" s="4">
        <v>30</v>
      </c>
      <c r="W384" s="4">
        <v>55</v>
      </c>
    </row>
    <row r="385" spans="1:23" ht="11.25" customHeight="1" x14ac:dyDescent="0.25">
      <c r="A385" s="4" t="s">
        <v>21</v>
      </c>
      <c r="B385" s="4" t="s">
        <v>40</v>
      </c>
      <c r="C385" s="4" t="s">
        <v>23</v>
      </c>
      <c r="D385" s="4" t="s">
        <v>41</v>
      </c>
      <c r="E385" s="4" t="s">
        <v>52</v>
      </c>
      <c r="F385" s="4" t="s">
        <v>50</v>
      </c>
      <c r="G385" s="4" t="s">
        <v>25</v>
      </c>
      <c r="H385" s="4" t="s">
        <v>25</v>
      </c>
      <c r="I385" s="5">
        <v>44531</v>
      </c>
      <c r="J385" s="6">
        <v>0</v>
      </c>
      <c r="K385" s="6">
        <v>0</v>
      </c>
      <c r="L385" s="6">
        <v>4.41</v>
      </c>
      <c r="M385" s="6">
        <v>4.41</v>
      </c>
      <c r="N385" s="6">
        <v>4.41</v>
      </c>
      <c r="O385" s="6">
        <v>4.41</v>
      </c>
      <c r="P385" s="6">
        <v>0</v>
      </c>
      <c r="Q385" s="4" t="s">
        <v>26</v>
      </c>
      <c r="R385" s="4">
        <v>0</v>
      </c>
      <c r="S385" s="4" t="s">
        <v>227</v>
      </c>
      <c r="T385" s="4" t="s">
        <v>352</v>
      </c>
      <c r="U385" s="4">
        <v>0</v>
      </c>
      <c r="V385" s="4">
        <v>30</v>
      </c>
      <c r="W385" s="4">
        <v>55</v>
      </c>
    </row>
    <row r="386" spans="1:23" ht="11.25" customHeight="1" x14ac:dyDescent="0.25">
      <c r="A386" s="4" t="s">
        <v>28</v>
      </c>
      <c r="B386" s="4" t="s">
        <v>40</v>
      </c>
      <c r="C386" s="4" t="s">
        <v>23</v>
      </c>
      <c r="D386" s="4" t="s">
        <v>41</v>
      </c>
      <c r="E386" s="4" t="s">
        <v>52</v>
      </c>
      <c r="F386" s="4" t="s">
        <v>50</v>
      </c>
      <c r="G386" s="4" t="s">
        <v>25</v>
      </c>
      <c r="H386" s="4" t="s">
        <v>25</v>
      </c>
      <c r="I386" s="5">
        <v>44531</v>
      </c>
      <c r="J386" s="6">
        <v>0</v>
      </c>
      <c r="K386" s="6">
        <v>0</v>
      </c>
      <c r="L386" s="6">
        <v>1.4179999999999999</v>
      </c>
      <c r="M386" s="6">
        <v>1.4179999999999999</v>
      </c>
      <c r="N386" s="6">
        <v>1.4179999999999999</v>
      </c>
      <c r="O386" s="6">
        <v>1.4179999999999999</v>
      </c>
      <c r="P386" s="6">
        <v>0</v>
      </c>
      <c r="Q386" s="4" t="s">
        <v>26</v>
      </c>
      <c r="R386" s="4">
        <v>0</v>
      </c>
      <c r="S386" s="4" t="s">
        <v>227</v>
      </c>
      <c r="T386" s="4" t="s">
        <v>352</v>
      </c>
      <c r="U386" s="4">
        <v>0</v>
      </c>
      <c r="V386" s="4">
        <v>30</v>
      </c>
      <c r="W386" s="4">
        <v>55</v>
      </c>
    </row>
    <row r="387" spans="1:23" ht="11.25" customHeight="1" x14ac:dyDescent="0.25">
      <c r="A387" s="4" t="s">
        <v>21</v>
      </c>
      <c r="B387" s="4" t="s">
        <v>40</v>
      </c>
      <c r="C387" s="4" t="s">
        <v>23</v>
      </c>
      <c r="D387" s="4" t="s">
        <v>41</v>
      </c>
      <c r="E387" s="4" t="s">
        <v>52</v>
      </c>
      <c r="F387" s="4" t="s">
        <v>50</v>
      </c>
      <c r="G387" s="4" t="s">
        <v>25</v>
      </c>
      <c r="H387" s="4" t="s">
        <v>25</v>
      </c>
      <c r="I387" s="5">
        <v>44562</v>
      </c>
      <c r="J387" s="6">
        <v>0</v>
      </c>
      <c r="K387" s="6">
        <v>0</v>
      </c>
      <c r="L387" s="6">
        <v>8.9499999999999993</v>
      </c>
      <c r="M387" s="6">
        <v>8.9499999999999993</v>
      </c>
      <c r="N387" s="6">
        <v>8.9499999999999993</v>
      </c>
      <c r="O387" s="6">
        <v>8.9499999999999993</v>
      </c>
      <c r="P387" s="6">
        <v>0</v>
      </c>
      <c r="Q387" s="4" t="s">
        <v>26</v>
      </c>
      <c r="R387" s="4">
        <v>0</v>
      </c>
      <c r="S387" s="4" t="s">
        <v>228</v>
      </c>
      <c r="T387" s="4" t="s">
        <v>353</v>
      </c>
      <c r="U387" s="4">
        <v>0</v>
      </c>
      <c r="V387" s="4">
        <v>30</v>
      </c>
      <c r="W387" s="4">
        <v>55</v>
      </c>
    </row>
    <row r="388" spans="1:23" ht="11.25" customHeight="1" x14ac:dyDescent="0.25">
      <c r="A388" s="4" t="s">
        <v>28</v>
      </c>
      <c r="B388" s="4" t="s">
        <v>40</v>
      </c>
      <c r="C388" s="4" t="s">
        <v>23</v>
      </c>
      <c r="D388" s="4" t="s">
        <v>41</v>
      </c>
      <c r="E388" s="4" t="s">
        <v>52</v>
      </c>
      <c r="F388" s="4" t="s">
        <v>50</v>
      </c>
      <c r="G388" s="4" t="s">
        <v>25</v>
      </c>
      <c r="H388" s="4" t="s">
        <v>25</v>
      </c>
      <c r="I388" s="5">
        <v>44562</v>
      </c>
      <c r="J388" s="6">
        <v>0</v>
      </c>
      <c r="K388" s="6">
        <v>0</v>
      </c>
      <c r="L388" s="6">
        <v>0.76900000000000002</v>
      </c>
      <c r="M388" s="6">
        <v>0.76900000000000002</v>
      </c>
      <c r="N388" s="6">
        <v>0.76900000000000002</v>
      </c>
      <c r="O388" s="6">
        <v>0.76900000000000002</v>
      </c>
      <c r="P388" s="6">
        <v>0</v>
      </c>
      <c r="Q388" s="4" t="s">
        <v>26</v>
      </c>
      <c r="R388" s="4">
        <v>0</v>
      </c>
      <c r="S388" s="4" t="s">
        <v>228</v>
      </c>
      <c r="T388" s="4" t="s">
        <v>353</v>
      </c>
      <c r="U388" s="4">
        <v>0</v>
      </c>
      <c r="V388" s="4">
        <v>30</v>
      </c>
      <c r="W388" s="4">
        <v>55</v>
      </c>
    </row>
    <row r="389" spans="1:23" ht="11.25" customHeight="1" x14ac:dyDescent="0.25">
      <c r="A389" s="4" t="s">
        <v>21</v>
      </c>
      <c r="B389" s="4" t="s">
        <v>40</v>
      </c>
      <c r="C389" s="4" t="s">
        <v>23</v>
      </c>
      <c r="D389" s="4" t="s">
        <v>41</v>
      </c>
      <c r="E389" s="4" t="s">
        <v>52</v>
      </c>
      <c r="F389" s="4" t="s">
        <v>50</v>
      </c>
      <c r="G389" s="4" t="s">
        <v>25</v>
      </c>
      <c r="H389" s="4" t="s">
        <v>25</v>
      </c>
      <c r="I389" s="5">
        <v>44593</v>
      </c>
      <c r="J389" s="6">
        <v>0</v>
      </c>
      <c r="K389" s="6">
        <v>0</v>
      </c>
      <c r="L389" s="6">
        <v>11.526999999999999</v>
      </c>
      <c r="M389" s="6">
        <v>11.526999999999999</v>
      </c>
      <c r="N389" s="6">
        <v>11.526999999999999</v>
      </c>
      <c r="O389" s="6">
        <v>11.526999999999999</v>
      </c>
      <c r="P389" s="6">
        <v>0</v>
      </c>
      <c r="Q389" s="4" t="s">
        <v>26</v>
      </c>
      <c r="R389" s="4">
        <v>0</v>
      </c>
      <c r="S389" s="4" t="s">
        <v>229</v>
      </c>
      <c r="T389" s="4" t="s">
        <v>354</v>
      </c>
      <c r="U389" s="4">
        <v>0</v>
      </c>
      <c r="V389" s="4">
        <v>30</v>
      </c>
      <c r="W389" s="4">
        <v>55</v>
      </c>
    </row>
    <row r="390" spans="1:23" ht="11.25" customHeight="1" x14ac:dyDescent="0.25">
      <c r="A390" s="4" t="s">
        <v>28</v>
      </c>
      <c r="B390" s="4" t="s">
        <v>40</v>
      </c>
      <c r="C390" s="4" t="s">
        <v>23</v>
      </c>
      <c r="D390" s="4" t="s">
        <v>41</v>
      </c>
      <c r="E390" s="4" t="s">
        <v>52</v>
      </c>
      <c r="F390" s="4" t="s">
        <v>50</v>
      </c>
      <c r="G390" s="4" t="s">
        <v>25</v>
      </c>
      <c r="H390" s="4" t="s">
        <v>25</v>
      </c>
      <c r="I390" s="5">
        <v>44593</v>
      </c>
      <c r="J390" s="6">
        <v>0</v>
      </c>
      <c r="K390" s="6">
        <v>0</v>
      </c>
      <c r="L390" s="6">
        <v>1.095</v>
      </c>
      <c r="M390" s="6">
        <v>1.095</v>
      </c>
      <c r="N390" s="6">
        <v>1.095</v>
      </c>
      <c r="O390" s="6">
        <v>1.095</v>
      </c>
      <c r="P390" s="6">
        <v>0</v>
      </c>
      <c r="Q390" s="4" t="s">
        <v>26</v>
      </c>
      <c r="R390" s="4">
        <v>0</v>
      </c>
      <c r="S390" s="4" t="s">
        <v>229</v>
      </c>
      <c r="T390" s="4" t="s">
        <v>354</v>
      </c>
      <c r="U390" s="4">
        <v>0</v>
      </c>
      <c r="V390" s="4">
        <v>30</v>
      </c>
      <c r="W390" s="4">
        <v>55</v>
      </c>
    </row>
    <row r="391" spans="1:23" ht="11.25" customHeight="1" x14ac:dyDescent="0.25">
      <c r="A391" s="4" t="s">
        <v>21</v>
      </c>
      <c r="B391" s="4" t="s">
        <v>40</v>
      </c>
      <c r="C391" s="4" t="s">
        <v>23</v>
      </c>
      <c r="D391" s="4" t="s">
        <v>41</v>
      </c>
      <c r="E391" s="4" t="s">
        <v>52</v>
      </c>
      <c r="F391" s="4" t="s">
        <v>50</v>
      </c>
      <c r="G391" s="4" t="s">
        <v>25</v>
      </c>
      <c r="H391" s="4" t="s">
        <v>25</v>
      </c>
      <c r="I391" s="5">
        <v>44621</v>
      </c>
      <c r="J391" s="6">
        <v>0</v>
      </c>
      <c r="K391" s="6">
        <v>0</v>
      </c>
      <c r="L391" s="6">
        <v>7.798</v>
      </c>
      <c r="M391" s="6">
        <v>7.798</v>
      </c>
      <c r="N391" s="6">
        <v>7.798</v>
      </c>
      <c r="O391" s="6">
        <v>7.798</v>
      </c>
      <c r="P391" s="6">
        <v>0</v>
      </c>
      <c r="Q391" s="4" t="s">
        <v>26</v>
      </c>
      <c r="R391" s="4">
        <v>0</v>
      </c>
      <c r="S391" s="4" t="s">
        <v>230</v>
      </c>
      <c r="T391" s="4" t="s">
        <v>355</v>
      </c>
      <c r="U391" s="4">
        <v>0</v>
      </c>
      <c r="V391" s="4">
        <v>30</v>
      </c>
      <c r="W391" s="4">
        <v>55</v>
      </c>
    </row>
    <row r="392" spans="1:23" ht="11.25" customHeight="1" x14ac:dyDescent="0.25">
      <c r="A392" s="4" t="s">
        <v>28</v>
      </c>
      <c r="B392" s="4" t="s">
        <v>40</v>
      </c>
      <c r="C392" s="4" t="s">
        <v>23</v>
      </c>
      <c r="D392" s="4" t="s">
        <v>41</v>
      </c>
      <c r="E392" s="4" t="s">
        <v>52</v>
      </c>
      <c r="F392" s="4" t="s">
        <v>50</v>
      </c>
      <c r="G392" s="4" t="s">
        <v>25</v>
      </c>
      <c r="H392" s="4" t="s">
        <v>25</v>
      </c>
      <c r="I392" s="5">
        <v>44621</v>
      </c>
      <c r="J392" s="6">
        <v>0</v>
      </c>
      <c r="K392" s="6">
        <v>0</v>
      </c>
      <c r="L392" s="6">
        <v>1.1040000000000001</v>
      </c>
      <c r="M392" s="6">
        <v>1.1040000000000001</v>
      </c>
      <c r="N392" s="6">
        <v>1.1040000000000001</v>
      </c>
      <c r="O392" s="6">
        <v>1.1040000000000001</v>
      </c>
      <c r="P392" s="6">
        <v>0</v>
      </c>
      <c r="Q392" s="4" t="s">
        <v>26</v>
      </c>
      <c r="R392" s="4">
        <v>0</v>
      </c>
      <c r="S392" s="4" t="s">
        <v>230</v>
      </c>
      <c r="T392" s="4" t="s">
        <v>355</v>
      </c>
      <c r="U392" s="4">
        <v>0</v>
      </c>
      <c r="V392" s="4">
        <v>30</v>
      </c>
      <c r="W392" s="4">
        <v>55</v>
      </c>
    </row>
    <row r="393" spans="1:23" ht="11.25" customHeight="1" x14ac:dyDescent="0.25">
      <c r="A393" s="4" t="s">
        <v>21</v>
      </c>
      <c r="B393" s="4" t="s">
        <v>40</v>
      </c>
      <c r="C393" s="4" t="s">
        <v>23</v>
      </c>
      <c r="D393" s="4" t="s">
        <v>41</v>
      </c>
      <c r="E393" s="4" t="s">
        <v>52</v>
      </c>
      <c r="F393" s="4" t="s">
        <v>50</v>
      </c>
      <c r="G393" s="4" t="s">
        <v>25</v>
      </c>
      <c r="H393" s="4" t="s">
        <v>25</v>
      </c>
      <c r="I393" s="5">
        <v>44652</v>
      </c>
      <c r="J393" s="6">
        <v>0</v>
      </c>
      <c r="K393" s="6">
        <v>0</v>
      </c>
      <c r="L393" s="6">
        <v>6.8460000000000001</v>
      </c>
      <c r="M393" s="6">
        <v>6.8460000000000001</v>
      </c>
      <c r="N393" s="6">
        <v>6.8460000000000001</v>
      </c>
      <c r="O393" s="6">
        <v>6.8460000000000001</v>
      </c>
      <c r="P393" s="6">
        <v>0</v>
      </c>
      <c r="Q393" s="4" t="s">
        <v>26</v>
      </c>
      <c r="R393" s="4">
        <v>0</v>
      </c>
      <c r="S393" s="4" t="s">
        <v>231</v>
      </c>
      <c r="T393" s="4" t="s">
        <v>356</v>
      </c>
      <c r="U393" s="4">
        <v>0</v>
      </c>
      <c r="V393" s="4">
        <v>30</v>
      </c>
      <c r="W393" s="4">
        <v>55</v>
      </c>
    </row>
    <row r="394" spans="1:23" ht="11.25" customHeight="1" x14ac:dyDescent="0.25">
      <c r="A394" s="4" t="s">
        <v>28</v>
      </c>
      <c r="B394" s="4" t="s">
        <v>40</v>
      </c>
      <c r="C394" s="4" t="s">
        <v>23</v>
      </c>
      <c r="D394" s="4" t="s">
        <v>41</v>
      </c>
      <c r="E394" s="4" t="s">
        <v>52</v>
      </c>
      <c r="F394" s="4" t="s">
        <v>50</v>
      </c>
      <c r="G394" s="4" t="s">
        <v>25</v>
      </c>
      <c r="H394" s="4" t="s">
        <v>25</v>
      </c>
      <c r="I394" s="5">
        <v>44652</v>
      </c>
      <c r="J394" s="6">
        <v>0</v>
      </c>
      <c r="K394" s="6">
        <v>0</v>
      </c>
      <c r="L394" s="6">
        <v>1.19</v>
      </c>
      <c r="M394" s="6">
        <v>1.19</v>
      </c>
      <c r="N394" s="6">
        <v>1.19</v>
      </c>
      <c r="O394" s="6">
        <v>1.19</v>
      </c>
      <c r="P394" s="6">
        <v>0</v>
      </c>
      <c r="Q394" s="4" t="s">
        <v>26</v>
      </c>
      <c r="R394" s="4">
        <v>0</v>
      </c>
      <c r="S394" s="4" t="s">
        <v>231</v>
      </c>
      <c r="T394" s="4" t="s">
        <v>356</v>
      </c>
      <c r="U394" s="4">
        <v>0</v>
      </c>
      <c r="V394" s="4">
        <v>30</v>
      </c>
      <c r="W394" s="4">
        <v>55</v>
      </c>
    </row>
    <row r="395" spans="1:23" ht="11.25" customHeight="1" x14ac:dyDescent="0.25">
      <c r="A395" s="4" t="s">
        <v>21</v>
      </c>
      <c r="B395" s="4" t="s">
        <v>40</v>
      </c>
      <c r="C395" s="4" t="s">
        <v>23</v>
      </c>
      <c r="D395" s="4" t="s">
        <v>41</v>
      </c>
      <c r="E395" s="4" t="s">
        <v>52</v>
      </c>
      <c r="F395" s="4" t="s">
        <v>50</v>
      </c>
      <c r="G395" s="4" t="s">
        <v>25</v>
      </c>
      <c r="H395" s="4" t="s">
        <v>25</v>
      </c>
      <c r="I395" s="5">
        <v>44682</v>
      </c>
      <c r="J395" s="6">
        <v>0</v>
      </c>
      <c r="K395" s="6">
        <v>0</v>
      </c>
      <c r="L395" s="6">
        <v>5.0679999999999996</v>
      </c>
      <c r="M395" s="6">
        <v>5.0679999999999996</v>
      </c>
      <c r="N395" s="6">
        <v>5.0679999999999996</v>
      </c>
      <c r="O395" s="6">
        <v>5.0679999999999996</v>
      </c>
      <c r="P395" s="6">
        <v>0</v>
      </c>
      <c r="Q395" s="4" t="s">
        <v>26</v>
      </c>
      <c r="R395" s="4">
        <v>0</v>
      </c>
      <c r="S395" s="4" t="s">
        <v>232</v>
      </c>
      <c r="T395" s="4" t="s">
        <v>357</v>
      </c>
      <c r="U395" s="4">
        <v>0</v>
      </c>
      <c r="V395" s="4">
        <v>30</v>
      </c>
      <c r="W395" s="4">
        <v>55</v>
      </c>
    </row>
    <row r="396" spans="1:23" ht="11.25" customHeight="1" x14ac:dyDescent="0.25">
      <c r="A396" s="4" t="s">
        <v>28</v>
      </c>
      <c r="B396" s="4" t="s">
        <v>40</v>
      </c>
      <c r="C396" s="4" t="s">
        <v>23</v>
      </c>
      <c r="D396" s="4" t="s">
        <v>41</v>
      </c>
      <c r="E396" s="4" t="s">
        <v>52</v>
      </c>
      <c r="F396" s="4" t="s">
        <v>50</v>
      </c>
      <c r="G396" s="4" t="s">
        <v>25</v>
      </c>
      <c r="H396" s="4" t="s">
        <v>25</v>
      </c>
      <c r="I396" s="5">
        <v>44682</v>
      </c>
      <c r="J396" s="6">
        <v>0</v>
      </c>
      <c r="K396" s="6">
        <v>0</v>
      </c>
      <c r="L396" s="6">
        <v>0.1</v>
      </c>
      <c r="M396" s="6">
        <v>0.1</v>
      </c>
      <c r="N396" s="6">
        <v>0.1</v>
      </c>
      <c r="O396" s="6">
        <v>0.1</v>
      </c>
      <c r="P396" s="6">
        <v>0</v>
      </c>
      <c r="Q396" s="4" t="s">
        <v>26</v>
      </c>
      <c r="R396" s="4">
        <v>0</v>
      </c>
      <c r="S396" s="4" t="s">
        <v>232</v>
      </c>
      <c r="T396" s="4" t="s">
        <v>357</v>
      </c>
      <c r="U396" s="4">
        <v>0</v>
      </c>
      <c r="V396" s="4">
        <v>30</v>
      </c>
      <c r="W396" s="4">
        <v>55</v>
      </c>
    </row>
    <row r="397" spans="1:23" ht="11.25" customHeight="1" x14ac:dyDescent="0.25">
      <c r="A397" s="4" t="s">
        <v>21</v>
      </c>
      <c r="B397" s="4" t="s">
        <v>40</v>
      </c>
      <c r="C397" s="4" t="s">
        <v>23</v>
      </c>
      <c r="D397" s="4" t="s">
        <v>41</v>
      </c>
      <c r="E397" s="4" t="s">
        <v>52</v>
      </c>
      <c r="F397" s="4" t="s">
        <v>50</v>
      </c>
      <c r="G397" s="4" t="s">
        <v>25</v>
      </c>
      <c r="H397" s="4" t="s">
        <v>25</v>
      </c>
      <c r="I397" s="5">
        <v>44713</v>
      </c>
      <c r="J397" s="6">
        <v>0</v>
      </c>
      <c r="K397" s="6">
        <v>0</v>
      </c>
      <c r="L397" s="6">
        <v>5.0439999999999996</v>
      </c>
      <c r="M397" s="6">
        <v>5.0439999999999996</v>
      </c>
      <c r="N397" s="6">
        <v>5.0439999999999996</v>
      </c>
      <c r="O397" s="6">
        <v>5.0439999999999996</v>
      </c>
      <c r="P397" s="6">
        <v>0</v>
      </c>
      <c r="Q397" s="4" t="s">
        <v>26</v>
      </c>
      <c r="R397" s="4">
        <v>0</v>
      </c>
      <c r="S397" s="4" t="s">
        <v>233</v>
      </c>
      <c r="T397" s="4" t="s">
        <v>358</v>
      </c>
      <c r="U397" s="4">
        <v>0</v>
      </c>
      <c r="V397" s="4">
        <v>30</v>
      </c>
      <c r="W397" s="4">
        <v>55</v>
      </c>
    </row>
    <row r="398" spans="1:23" ht="11.25" customHeight="1" x14ac:dyDescent="0.25">
      <c r="A398" s="4" t="s">
        <v>28</v>
      </c>
      <c r="B398" s="4" t="s">
        <v>40</v>
      </c>
      <c r="C398" s="4" t="s">
        <v>23</v>
      </c>
      <c r="D398" s="4" t="s">
        <v>41</v>
      </c>
      <c r="E398" s="4" t="s">
        <v>52</v>
      </c>
      <c r="F398" s="4" t="s">
        <v>50</v>
      </c>
      <c r="G398" s="4" t="s">
        <v>25</v>
      </c>
      <c r="H398" s="4" t="s">
        <v>25</v>
      </c>
      <c r="I398" s="5">
        <v>44713</v>
      </c>
      <c r="J398" s="6">
        <v>0</v>
      </c>
      <c r="K398" s="6">
        <v>0</v>
      </c>
      <c r="L398" s="6">
        <v>0.2</v>
      </c>
      <c r="M398" s="6">
        <v>0.2</v>
      </c>
      <c r="N398" s="6">
        <v>0.2</v>
      </c>
      <c r="O398" s="6">
        <v>0.2</v>
      </c>
      <c r="P398" s="6">
        <v>0</v>
      </c>
      <c r="Q398" s="4" t="s">
        <v>26</v>
      </c>
      <c r="R398" s="4">
        <v>0</v>
      </c>
      <c r="S398" s="4" t="s">
        <v>233</v>
      </c>
      <c r="T398" s="4" t="s">
        <v>358</v>
      </c>
      <c r="U398" s="4">
        <v>0</v>
      </c>
      <c r="V398" s="4">
        <v>30</v>
      </c>
      <c r="W398" s="4">
        <v>55</v>
      </c>
    </row>
    <row r="399" spans="1:23" ht="11.25" customHeight="1" x14ac:dyDescent="0.25">
      <c r="A399" s="4" t="s">
        <v>21</v>
      </c>
      <c r="B399" s="4" t="s">
        <v>40</v>
      </c>
      <c r="C399" s="4" t="s">
        <v>23</v>
      </c>
      <c r="D399" s="4" t="s">
        <v>41</v>
      </c>
      <c r="E399" s="4" t="s">
        <v>52</v>
      </c>
      <c r="F399" s="4" t="s">
        <v>50</v>
      </c>
      <c r="G399" s="4" t="s">
        <v>25</v>
      </c>
      <c r="H399" s="4" t="s">
        <v>25</v>
      </c>
      <c r="I399" s="5">
        <v>44743</v>
      </c>
      <c r="J399" s="6">
        <v>0</v>
      </c>
      <c r="K399" s="6">
        <v>0</v>
      </c>
      <c r="L399" s="6">
        <v>3.3410000000000002</v>
      </c>
      <c r="M399" s="6">
        <v>3.3410000000000002</v>
      </c>
      <c r="N399" s="6">
        <v>3.3410000000000002</v>
      </c>
      <c r="O399" s="6">
        <v>3.3410000000000002</v>
      </c>
      <c r="P399" s="6">
        <v>0</v>
      </c>
      <c r="Q399" s="4" t="s">
        <v>26</v>
      </c>
      <c r="R399" s="4">
        <v>0</v>
      </c>
      <c r="S399" s="4" t="s">
        <v>234</v>
      </c>
      <c r="T399" s="4" t="s">
        <v>359</v>
      </c>
      <c r="U399" s="4">
        <v>0</v>
      </c>
      <c r="V399" s="4">
        <v>30</v>
      </c>
      <c r="W399" s="4">
        <v>55</v>
      </c>
    </row>
    <row r="400" spans="1:23" ht="11.25" customHeight="1" x14ac:dyDescent="0.25">
      <c r="A400" s="4" t="s">
        <v>28</v>
      </c>
      <c r="B400" s="4" t="s">
        <v>40</v>
      </c>
      <c r="C400" s="4" t="s">
        <v>23</v>
      </c>
      <c r="D400" s="4" t="s">
        <v>41</v>
      </c>
      <c r="E400" s="4" t="s">
        <v>52</v>
      </c>
      <c r="F400" s="4" t="s">
        <v>50</v>
      </c>
      <c r="G400" s="4" t="s">
        <v>25</v>
      </c>
      <c r="H400" s="4" t="s">
        <v>25</v>
      </c>
      <c r="I400" s="5">
        <v>44743</v>
      </c>
      <c r="J400" s="6">
        <v>0</v>
      </c>
      <c r="K400" s="6">
        <v>0</v>
      </c>
      <c r="L400" s="6">
        <v>0.2</v>
      </c>
      <c r="M400" s="6">
        <v>0.2</v>
      </c>
      <c r="N400" s="6">
        <v>0.2</v>
      </c>
      <c r="O400" s="6">
        <v>0.2</v>
      </c>
      <c r="P400" s="6">
        <v>0</v>
      </c>
      <c r="Q400" s="4" t="s">
        <v>26</v>
      </c>
      <c r="R400" s="4">
        <v>0</v>
      </c>
      <c r="S400" s="4" t="s">
        <v>234</v>
      </c>
      <c r="T400" s="4" t="s">
        <v>359</v>
      </c>
      <c r="U400" s="4">
        <v>0</v>
      </c>
      <c r="V400" s="4">
        <v>30</v>
      </c>
      <c r="W400" s="4">
        <v>55</v>
      </c>
    </row>
    <row r="401" spans="1:23" ht="11.25" customHeight="1" x14ac:dyDescent="0.25">
      <c r="A401" s="4" t="s">
        <v>21</v>
      </c>
      <c r="B401" s="4" t="s">
        <v>40</v>
      </c>
      <c r="C401" s="4" t="s">
        <v>23</v>
      </c>
      <c r="D401" s="4" t="s">
        <v>41</v>
      </c>
      <c r="E401" s="4" t="s">
        <v>52</v>
      </c>
      <c r="F401" s="4" t="s">
        <v>50</v>
      </c>
      <c r="G401" s="4" t="s">
        <v>25</v>
      </c>
      <c r="H401" s="4" t="s">
        <v>25</v>
      </c>
      <c r="I401" s="5">
        <v>44774</v>
      </c>
      <c r="J401" s="6">
        <v>0</v>
      </c>
      <c r="K401" s="6">
        <v>0</v>
      </c>
      <c r="L401" s="6">
        <v>3.7090000000000001</v>
      </c>
      <c r="M401" s="6">
        <v>3.7090000000000001</v>
      </c>
      <c r="N401" s="6">
        <v>3.7090000000000001</v>
      </c>
      <c r="O401" s="6">
        <v>3.7090000000000001</v>
      </c>
      <c r="P401" s="6">
        <v>0</v>
      </c>
      <c r="Q401" s="4" t="s">
        <v>26</v>
      </c>
      <c r="R401" s="4">
        <v>0</v>
      </c>
      <c r="S401" s="4" t="s">
        <v>235</v>
      </c>
      <c r="T401" s="4" t="s">
        <v>360</v>
      </c>
      <c r="U401" s="4">
        <v>0</v>
      </c>
      <c r="V401" s="4">
        <v>30</v>
      </c>
      <c r="W401" s="4">
        <v>55</v>
      </c>
    </row>
    <row r="402" spans="1:23" ht="11.25" customHeight="1" x14ac:dyDescent="0.25">
      <c r="A402" s="4" t="s">
        <v>28</v>
      </c>
      <c r="B402" s="4" t="s">
        <v>40</v>
      </c>
      <c r="C402" s="4" t="s">
        <v>23</v>
      </c>
      <c r="D402" s="4" t="s">
        <v>41</v>
      </c>
      <c r="E402" s="4" t="s">
        <v>52</v>
      </c>
      <c r="F402" s="4" t="s">
        <v>50</v>
      </c>
      <c r="G402" s="4" t="s">
        <v>25</v>
      </c>
      <c r="H402" s="4" t="s">
        <v>25</v>
      </c>
      <c r="I402" s="5">
        <v>44774</v>
      </c>
      <c r="J402" s="6">
        <v>0</v>
      </c>
      <c r="K402" s="6">
        <v>0</v>
      </c>
      <c r="L402" s="6">
        <v>0.2</v>
      </c>
      <c r="M402" s="6">
        <v>0.2</v>
      </c>
      <c r="N402" s="6">
        <v>0.2</v>
      </c>
      <c r="O402" s="6">
        <v>0.2</v>
      </c>
      <c r="P402" s="6">
        <v>0</v>
      </c>
      <c r="Q402" s="4" t="s">
        <v>26</v>
      </c>
      <c r="R402" s="4">
        <v>0</v>
      </c>
      <c r="S402" s="4" t="s">
        <v>235</v>
      </c>
      <c r="T402" s="4" t="s">
        <v>360</v>
      </c>
      <c r="U402" s="4">
        <v>0</v>
      </c>
      <c r="V402" s="4">
        <v>30</v>
      </c>
      <c r="W402" s="4">
        <v>55</v>
      </c>
    </row>
    <row r="403" spans="1:23" ht="11.25" customHeight="1" x14ac:dyDescent="0.25">
      <c r="A403" s="4" t="s">
        <v>21</v>
      </c>
      <c r="B403" s="4" t="s">
        <v>40</v>
      </c>
      <c r="C403" s="4" t="s">
        <v>23</v>
      </c>
      <c r="D403" s="4" t="s">
        <v>41</v>
      </c>
      <c r="E403" s="4" t="s">
        <v>52</v>
      </c>
      <c r="F403" s="4" t="s">
        <v>51</v>
      </c>
      <c r="G403" s="4" t="s">
        <v>25</v>
      </c>
      <c r="H403" s="4" t="s">
        <v>25</v>
      </c>
      <c r="I403" s="5">
        <v>44440</v>
      </c>
      <c r="J403" s="6">
        <v>0</v>
      </c>
      <c r="K403" s="6">
        <v>0</v>
      </c>
      <c r="L403" s="6">
        <v>10.45</v>
      </c>
      <c r="M403" s="6">
        <v>4.18</v>
      </c>
      <c r="N403" s="6">
        <v>10.45</v>
      </c>
      <c r="O403" s="6">
        <v>4.18</v>
      </c>
      <c r="P403" s="6">
        <v>0</v>
      </c>
      <c r="Q403" s="4" t="s">
        <v>26</v>
      </c>
      <c r="R403" s="4">
        <v>0</v>
      </c>
      <c r="S403" s="4" t="s">
        <v>224</v>
      </c>
      <c r="T403" s="4" t="s">
        <v>349</v>
      </c>
      <c r="U403" s="4">
        <v>0</v>
      </c>
      <c r="V403" s="4">
        <v>30</v>
      </c>
      <c r="W403" s="4">
        <v>55</v>
      </c>
    </row>
    <row r="404" spans="1:23" ht="11.25" customHeight="1" x14ac:dyDescent="0.25">
      <c r="A404" s="4" t="s">
        <v>28</v>
      </c>
      <c r="B404" s="4" t="s">
        <v>40</v>
      </c>
      <c r="C404" s="4" t="s">
        <v>23</v>
      </c>
      <c r="D404" s="4" t="s">
        <v>41</v>
      </c>
      <c r="E404" s="4" t="s">
        <v>52</v>
      </c>
      <c r="F404" s="4" t="s">
        <v>51</v>
      </c>
      <c r="G404" s="4" t="s">
        <v>25</v>
      </c>
      <c r="H404" s="4" t="s">
        <v>25</v>
      </c>
      <c r="I404" s="5">
        <v>44440</v>
      </c>
      <c r="J404" s="6">
        <v>0</v>
      </c>
      <c r="K404" s="6">
        <v>0</v>
      </c>
      <c r="L404" s="6">
        <v>0.05</v>
      </c>
      <c r="M404" s="6">
        <v>0.02</v>
      </c>
      <c r="N404" s="6">
        <v>0.05</v>
      </c>
      <c r="O404" s="6">
        <v>0.02</v>
      </c>
      <c r="P404" s="6">
        <v>0</v>
      </c>
      <c r="Q404" s="4" t="s">
        <v>26</v>
      </c>
      <c r="R404" s="4">
        <v>0</v>
      </c>
      <c r="S404" s="4" t="s">
        <v>224</v>
      </c>
      <c r="T404" s="4" t="s">
        <v>349</v>
      </c>
      <c r="U404" s="4">
        <v>0</v>
      </c>
      <c r="V404" s="4">
        <v>30</v>
      </c>
      <c r="W404" s="4">
        <v>55</v>
      </c>
    </row>
    <row r="405" spans="1:23" ht="11.25" customHeight="1" x14ac:dyDescent="0.25">
      <c r="A405" s="4" t="s">
        <v>21</v>
      </c>
      <c r="B405" s="4" t="s">
        <v>40</v>
      </c>
      <c r="C405" s="4" t="s">
        <v>23</v>
      </c>
      <c r="D405" s="4" t="s">
        <v>41</v>
      </c>
      <c r="E405" s="4" t="s">
        <v>52</v>
      </c>
      <c r="F405" s="4" t="s">
        <v>51</v>
      </c>
      <c r="G405" s="4" t="s">
        <v>25</v>
      </c>
      <c r="H405" s="4" t="s">
        <v>25</v>
      </c>
      <c r="I405" s="5">
        <v>44470</v>
      </c>
      <c r="J405" s="6">
        <v>0</v>
      </c>
      <c r="K405" s="6">
        <v>0</v>
      </c>
      <c r="L405" s="6">
        <v>9.8000000000000007</v>
      </c>
      <c r="M405" s="6">
        <v>3.92</v>
      </c>
      <c r="N405" s="6">
        <v>9.8000000000000007</v>
      </c>
      <c r="O405" s="6">
        <v>3.92</v>
      </c>
      <c r="P405" s="6">
        <v>0</v>
      </c>
      <c r="Q405" s="4" t="s">
        <v>26</v>
      </c>
      <c r="R405" s="4">
        <v>0</v>
      </c>
      <c r="S405" s="4" t="s">
        <v>225</v>
      </c>
      <c r="T405" s="4" t="s">
        <v>350</v>
      </c>
      <c r="U405" s="4">
        <v>0</v>
      </c>
      <c r="V405" s="4">
        <v>30</v>
      </c>
      <c r="W405" s="4">
        <v>55</v>
      </c>
    </row>
    <row r="406" spans="1:23" ht="11.25" customHeight="1" x14ac:dyDescent="0.25">
      <c r="A406" s="4" t="s">
        <v>28</v>
      </c>
      <c r="B406" s="4" t="s">
        <v>40</v>
      </c>
      <c r="C406" s="4" t="s">
        <v>23</v>
      </c>
      <c r="D406" s="4" t="s">
        <v>41</v>
      </c>
      <c r="E406" s="4" t="s">
        <v>52</v>
      </c>
      <c r="F406" s="4" t="s">
        <v>51</v>
      </c>
      <c r="G406" s="4" t="s">
        <v>25</v>
      </c>
      <c r="H406" s="4" t="s">
        <v>25</v>
      </c>
      <c r="I406" s="5">
        <v>44470</v>
      </c>
      <c r="J406" s="6">
        <v>0</v>
      </c>
      <c r="K406" s="6">
        <v>0</v>
      </c>
      <c r="L406" s="6">
        <v>0.33200000000000002</v>
      </c>
      <c r="M406" s="6">
        <v>0.1328</v>
      </c>
      <c r="N406" s="6">
        <v>0.33200000000000002</v>
      </c>
      <c r="O406" s="6">
        <v>0.1328</v>
      </c>
      <c r="P406" s="6">
        <v>0</v>
      </c>
      <c r="Q406" s="4" t="s">
        <v>26</v>
      </c>
      <c r="R406" s="4">
        <v>0</v>
      </c>
      <c r="S406" s="4" t="s">
        <v>225</v>
      </c>
      <c r="T406" s="4" t="s">
        <v>350</v>
      </c>
      <c r="U406" s="4">
        <v>0</v>
      </c>
      <c r="V406" s="4">
        <v>30</v>
      </c>
      <c r="W406" s="4">
        <v>55</v>
      </c>
    </row>
    <row r="407" spans="1:23" ht="11.25" customHeight="1" x14ac:dyDescent="0.25">
      <c r="A407" s="4" t="s">
        <v>21</v>
      </c>
      <c r="B407" s="4" t="s">
        <v>40</v>
      </c>
      <c r="C407" s="4" t="s">
        <v>23</v>
      </c>
      <c r="D407" s="4" t="s">
        <v>41</v>
      </c>
      <c r="E407" s="4" t="s">
        <v>52</v>
      </c>
      <c r="F407" s="4" t="s">
        <v>51</v>
      </c>
      <c r="G407" s="4" t="s">
        <v>25</v>
      </c>
      <c r="H407" s="4" t="s">
        <v>25</v>
      </c>
      <c r="I407" s="5">
        <v>44501</v>
      </c>
      <c r="J407" s="6">
        <v>0</v>
      </c>
      <c r="K407" s="6">
        <v>0</v>
      </c>
      <c r="L407" s="6">
        <v>7.8129999999999997</v>
      </c>
      <c r="M407" s="6">
        <v>3.1252</v>
      </c>
      <c r="N407" s="6">
        <v>7.8129999999999997</v>
      </c>
      <c r="O407" s="6">
        <v>3.1252</v>
      </c>
      <c r="P407" s="6">
        <v>0</v>
      </c>
      <c r="Q407" s="4" t="s">
        <v>26</v>
      </c>
      <c r="R407" s="4">
        <v>0</v>
      </c>
      <c r="S407" s="4" t="s">
        <v>226</v>
      </c>
      <c r="T407" s="4" t="s">
        <v>351</v>
      </c>
      <c r="U407" s="4">
        <v>0</v>
      </c>
      <c r="V407" s="4">
        <v>30</v>
      </c>
      <c r="W407" s="4">
        <v>55</v>
      </c>
    </row>
    <row r="408" spans="1:23" ht="11.25" customHeight="1" x14ac:dyDescent="0.25">
      <c r="A408" s="4" t="s">
        <v>28</v>
      </c>
      <c r="B408" s="4" t="s">
        <v>40</v>
      </c>
      <c r="C408" s="4" t="s">
        <v>23</v>
      </c>
      <c r="D408" s="4" t="s">
        <v>41</v>
      </c>
      <c r="E408" s="4" t="s">
        <v>52</v>
      </c>
      <c r="F408" s="4" t="s">
        <v>51</v>
      </c>
      <c r="G408" s="4" t="s">
        <v>25</v>
      </c>
      <c r="H408" s="4" t="s">
        <v>25</v>
      </c>
      <c r="I408" s="5">
        <v>44501</v>
      </c>
      <c r="J408" s="6">
        <v>0</v>
      </c>
      <c r="K408" s="6">
        <v>0</v>
      </c>
      <c r="L408" s="6">
        <v>4.7329999999999997</v>
      </c>
      <c r="M408" s="6">
        <v>1.8932</v>
      </c>
      <c r="N408" s="6">
        <v>4.7329999999999997</v>
      </c>
      <c r="O408" s="6">
        <v>1.8932</v>
      </c>
      <c r="P408" s="6">
        <v>0</v>
      </c>
      <c r="Q408" s="4" t="s">
        <v>26</v>
      </c>
      <c r="R408" s="4">
        <v>0</v>
      </c>
      <c r="S408" s="4" t="s">
        <v>226</v>
      </c>
      <c r="T408" s="4" t="s">
        <v>351</v>
      </c>
      <c r="U408" s="4">
        <v>0</v>
      </c>
      <c r="V408" s="4">
        <v>30</v>
      </c>
      <c r="W408" s="4">
        <v>55</v>
      </c>
    </row>
    <row r="409" spans="1:23" ht="11.25" customHeight="1" x14ac:dyDescent="0.25">
      <c r="A409" s="4" t="s">
        <v>21</v>
      </c>
      <c r="B409" s="4" t="s">
        <v>40</v>
      </c>
      <c r="C409" s="4" t="s">
        <v>23</v>
      </c>
      <c r="D409" s="4" t="s">
        <v>41</v>
      </c>
      <c r="E409" s="4" t="s">
        <v>52</v>
      </c>
      <c r="F409" s="4" t="s">
        <v>51</v>
      </c>
      <c r="G409" s="4" t="s">
        <v>25</v>
      </c>
      <c r="H409" s="4" t="s">
        <v>25</v>
      </c>
      <c r="I409" s="5">
        <v>44531</v>
      </c>
      <c r="J409" s="6">
        <v>0</v>
      </c>
      <c r="K409" s="6">
        <v>0</v>
      </c>
      <c r="L409" s="6">
        <v>7.7880000000000003</v>
      </c>
      <c r="M409" s="6">
        <v>3.1152000000000002</v>
      </c>
      <c r="N409" s="6">
        <v>7.7880000000000003</v>
      </c>
      <c r="O409" s="6">
        <v>3.1152000000000002</v>
      </c>
      <c r="P409" s="6">
        <v>0</v>
      </c>
      <c r="Q409" s="4" t="s">
        <v>26</v>
      </c>
      <c r="R409" s="4">
        <v>0</v>
      </c>
      <c r="S409" s="4" t="s">
        <v>227</v>
      </c>
      <c r="T409" s="4" t="s">
        <v>352</v>
      </c>
      <c r="U409" s="4">
        <v>0</v>
      </c>
      <c r="V409" s="4">
        <v>30</v>
      </c>
      <c r="W409" s="4">
        <v>55</v>
      </c>
    </row>
    <row r="410" spans="1:23" ht="11.25" customHeight="1" x14ac:dyDescent="0.25">
      <c r="A410" s="4" t="s">
        <v>28</v>
      </c>
      <c r="B410" s="4" t="s">
        <v>40</v>
      </c>
      <c r="C410" s="4" t="s">
        <v>23</v>
      </c>
      <c r="D410" s="4" t="s">
        <v>41</v>
      </c>
      <c r="E410" s="4" t="s">
        <v>52</v>
      </c>
      <c r="F410" s="4" t="s">
        <v>51</v>
      </c>
      <c r="G410" s="4" t="s">
        <v>25</v>
      </c>
      <c r="H410" s="4" t="s">
        <v>25</v>
      </c>
      <c r="I410" s="5">
        <v>44531</v>
      </c>
      <c r="J410" s="6">
        <v>0</v>
      </c>
      <c r="K410" s="6">
        <v>0</v>
      </c>
      <c r="L410" s="6">
        <v>4.2050000000000001</v>
      </c>
      <c r="M410" s="6">
        <v>1.6819999999999999</v>
      </c>
      <c r="N410" s="6">
        <v>4.2050000000000001</v>
      </c>
      <c r="O410" s="6">
        <v>1.6819999999999999</v>
      </c>
      <c r="P410" s="6">
        <v>0</v>
      </c>
      <c r="Q410" s="4" t="s">
        <v>26</v>
      </c>
      <c r="R410" s="4">
        <v>0</v>
      </c>
      <c r="S410" s="4" t="s">
        <v>227</v>
      </c>
      <c r="T410" s="4" t="s">
        <v>352</v>
      </c>
      <c r="U410" s="4">
        <v>0</v>
      </c>
      <c r="V410" s="4">
        <v>30</v>
      </c>
      <c r="W410" s="4">
        <v>55</v>
      </c>
    </row>
    <row r="411" spans="1:23" ht="11.25" customHeight="1" x14ac:dyDescent="0.25">
      <c r="A411" s="4" t="s">
        <v>21</v>
      </c>
      <c r="B411" s="4" t="s">
        <v>40</v>
      </c>
      <c r="C411" s="4" t="s">
        <v>23</v>
      </c>
      <c r="D411" s="4" t="s">
        <v>41</v>
      </c>
      <c r="E411" s="4" t="s">
        <v>52</v>
      </c>
      <c r="F411" s="4" t="s">
        <v>51</v>
      </c>
      <c r="G411" s="4" t="s">
        <v>25</v>
      </c>
      <c r="H411" s="4" t="s">
        <v>25</v>
      </c>
      <c r="I411" s="5">
        <v>44562</v>
      </c>
      <c r="J411" s="6">
        <v>0</v>
      </c>
      <c r="K411" s="6">
        <v>0</v>
      </c>
      <c r="L411" s="6">
        <v>11.555</v>
      </c>
      <c r="M411" s="6">
        <v>4.6219999999999999</v>
      </c>
      <c r="N411" s="6">
        <v>11.555</v>
      </c>
      <c r="O411" s="6">
        <v>4.6219999999999999</v>
      </c>
      <c r="P411" s="6">
        <v>0</v>
      </c>
      <c r="Q411" s="4" t="s">
        <v>26</v>
      </c>
      <c r="R411" s="4">
        <v>0</v>
      </c>
      <c r="S411" s="4" t="s">
        <v>228</v>
      </c>
      <c r="T411" s="4" t="s">
        <v>353</v>
      </c>
      <c r="U411" s="4">
        <v>0</v>
      </c>
      <c r="V411" s="4">
        <v>30</v>
      </c>
      <c r="W411" s="4">
        <v>55</v>
      </c>
    </row>
    <row r="412" spans="1:23" ht="11.25" customHeight="1" x14ac:dyDescent="0.25">
      <c r="A412" s="4" t="s">
        <v>28</v>
      </c>
      <c r="B412" s="4" t="s">
        <v>40</v>
      </c>
      <c r="C412" s="4" t="s">
        <v>23</v>
      </c>
      <c r="D412" s="4" t="s">
        <v>41</v>
      </c>
      <c r="E412" s="4" t="s">
        <v>52</v>
      </c>
      <c r="F412" s="4" t="s">
        <v>51</v>
      </c>
      <c r="G412" s="4" t="s">
        <v>25</v>
      </c>
      <c r="H412" s="4" t="s">
        <v>25</v>
      </c>
      <c r="I412" s="5">
        <v>44562</v>
      </c>
      <c r="J412" s="6">
        <v>0</v>
      </c>
      <c r="K412" s="6">
        <v>0</v>
      </c>
      <c r="L412" s="6">
        <v>5.0960000000000001</v>
      </c>
      <c r="M412" s="6">
        <v>2.0384000000000002</v>
      </c>
      <c r="N412" s="6">
        <v>5.0960000000000001</v>
      </c>
      <c r="O412" s="6">
        <v>2.0384000000000002</v>
      </c>
      <c r="P412" s="6">
        <v>0</v>
      </c>
      <c r="Q412" s="4" t="s">
        <v>26</v>
      </c>
      <c r="R412" s="4">
        <v>0</v>
      </c>
      <c r="S412" s="4" t="s">
        <v>228</v>
      </c>
      <c r="T412" s="4" t="s">
        <v>353</v>
      </c>
      <c r="U412" s="4">
        <v>0</v>
      </c>
      <c r="V412" s="4">
        <v>30</v>
      </c>
      <c r="W412" s="4">
        <v>55</v>
      </c>
    </row>
    <row r="413" spans="1:23" ht="11.25" customHeight="1" x14ac:dyDescent="0.25">
      <c r="A413" s="4" t="s">
        <v>21</v>
      </c>
      <c r="B413" s="4" t="s">
        <v>40</v>
      </c>
      <c r="C413" s="4" t="s">
        <v>23</v>
      </c>
      <c r="D413" s="4" t="s">
        <v>41</v>
      </c>
      <c r="E413" s="4" t="s">
        <v>52</v>
      </c>
      <c r="F413" s="4" t="s">
        <v>51</v>
      </c>
      <c r="G413" s="4" t="s">
        <v>25</v>
      </c>
      <c r="H413" s="4" t="s">
        <v>25</v>
      </c>
      <c r="I413" s="5">
        <v>44593</v>
      </c>
      <c r="J413" s="6">
        <v>0</v>
      </c>
      <c r="K413" s="6">
        <v>0</v>
      </c>
      <c r="L413" s="6">
        <v>14.553000000000001</v>
      </c>
      <c r="M413" s="6">
        <v>5.8212000000000002</v>
      </c>
      <c r="N413" s="6">
        <v>14.553000000000001</v>
      </c>
      <c r="O413" s="6">
        <v>5.8212000000000002</v>
      </c>
      <c r="P413" s="6">
        <v>0</v>
      </c>
      <c r="Q413" s="4" t="s">
        <v>26</v>
      </c>
      <c r="R413" s="4">
        <v>0</v>
      </c>
      <c r="S413" s="4" t="s">
        <v>229</v>
      </c>
      <c r="T413" s="4" t="s">
        <v>354</v>
      </c>
      <c r="U413" s="4">
        <v>0</v>
      </c>
      <c r="V413" s="4">
        <v>30</v>
      </c>
      <c r="W413" s="4">
        <v>55</v>
      </c>
    </row>
    <row r="414" spans="1:23" ht="11.25" customHeight="1" x14ac:dyDescent="0.25">
      <c r="A414" s="4" t="s">
        <v>28</v>
      </c>
      <c r="B414" s="4" t="s">
        <v>40</v>
      </c>
      <c r="C414" s="4" t="s">
        <v>23</v>
      </c>
      <c r="D414" s="4" t="s">
        <v>41</v>
      </c>
      <c r="E414" s="4" t="s">
        <v>52</v>
      </c>
      <c r="F414" s="4" t="s">
        <v>51</v>
      </c>
      <c r="G414" s="4" t="s">
        <v>25</v>
      </c>
      <c r="H414" s="4" t="s">
        <v>25</v>
      </c>
      <c r="I414" s="5">
        <v>44593</v>
      </c>
      <c r="J414" s="6">
        <v>0</v>
      </c>
      <c r="K414" s="6">
        <v>0</v>
      </c>
      <c r="L414" s="6">
        <v>3.141</v>
      </c>
      <c r="M414" s="6">
        <v>1.2564</v>
      </c>
      <c r="N414" s="6">
        <v>3.141</v>
      </c>
      <c r="O414" s="6">
        <v>1.2564</v>
      </c>
      <c r="P414" s="6">
        <v>0</v>
      </c>
      <c r="Q414" s="4" t="s">
        <v>26</v>
      </c>
      <c r="R414" s="4">
        <v>0</v>
      </c>
      <c r="S414" s="4" t="s">
        <v>229</v>
      </c>
      <c r="T414" s="4" t="s">
        <v>354</v>
      </c>
      <c r="U414" s="4">
        <v>0</v>
      </c>
      <c r="V414" s="4">
        <v>30</v>
      </c>
      <c r="W414" s="4">
        <v>55</v>
      </c>
    </row>
    <row r="415" spans="1:23" ht="11.25" customHeight="1" x14ac:dyDescent="0.25">
      <c r="A415" s="4" t="s">
        <v>21</v>
      </c>
      <c r="B415" s="4" t="s">
        <v>40</v>
      </c>
      <c r="C415" s="4" t="s">
        <v>23</v>
      </c>
      <c r="D415" s="4" t="s">
        <v>41</v>
      </c>
      <c r="E415" s="4" t="s">
        <v>52</v>
      </c>
      <c r="F415" s="4" t="s">
        <v>51</v>
      </c>
      <c r="G415" s="4" t="s">
        <v>25</v>
      </c>
      <c r="H415" s="4" t="s">
        <v>25</v>
      </c>
      <c r="I415" s="5">
        <v>44621</v>
      </c>
      <c r="J415" s="6">
        <v>0</v>
      </c>
      <c r="K415" s="6">
        <v>0</v>
      </c>
      <c r="L415" s="6">
        <v>9.7349999999999994</v>
      </c>
      <c r="M415" s="6">
        <v>3.8940000000000001</v>
      </c>
      <c r="N415" s="6">
        <v>9.7349999999999994</v>
      </c>
      <c r="O415" s="6">
        <v>3.8940000000000001</v>
      </c>
      <c r="P415" s="6">
        <v>0</v>
      </c>
      <c r="Q415" s="4" t="s">
        <v>26</v>
      </c>
      <c r="R415" s="4">
        <v>0</v>
      </c>
      <c r="S415" s="4" t="s">
        <v>230</v>
      </c>
      <c r="T415" s="4" t="s">
        <v>355</v>
      </c>
      <c r="U415" s="4">
        <v>0</v>
      </c>
      <c r="V415" s="4">
        <v>30</v>
      </c>
      <c r="W415" s="4">
        <v>55</v>
      </c>
    </row>
    <row r="416" spans="1:23" ht="11.25" customHeight="1" x14ac:dyDescent="0.25">
      <c r="A416" s="4" t="s">
        <v>28</v>
      </c>
      <c r="B416" s="4" t="s">
        <v>40</v>
      </c>
      <c r="C416" s="4" t="s">
        <v>23</v>
      </c>
      <c r="D416" s="4" t="s">
        <v>41</v>
      </c>
      <c r="E416" s="4" t="s">
        <v>52</v>
      </c>
      <c r="F416" s="4" t="s">
        <v>51</v>
      </c>
      <c r="G416" s="4" t="s">
        <v>25</v>
      </c>
      <c r="H416" s="4" t="s">
        <v>25</v>
      </c>
      <c r="I416" s="5">
        <v>44621</v>
      </c>
      <c r="J416" s="6">
        <v>0</v>
      </c>
      <c r="K416" s="6">
        <v>0</v>
      </c>
      <c r="L416" s="6">
        <v>5.3739999999999997</v>
      </c>
      <c r="M416" s="6">
        <v>2.1496</v>
      </c>
      <c r="N416" s="6">
        <v>5.3739999999999997</v>
      </c>
      <c r="O416" s="6">
        <v>2.1496</v>
      </c>
      <c r="P416" s="6">
        <v>0</v>
      </c>
      <c r="Q416" s="4" t="s">
        <v>26</v>
      </c>
      <c r="R416" s="4">
        <v>0</v>
      </c>
      <c r="S416" s="4" t="s">
        <v>230</v>
      </c>
      <c r="T416" s="4" t="s">
        <v>355</v>
      </c>
      <c r="U416" s="4">
        <v>0</v>
      </c>
      <c r="V416" s="4">
        <v>30</v>
      </c>
      <c r="W416" s="4">
        <v>55</v>
      </c>
    </row>
    <row r="417" spans="1:23" ht="11.25" customHeight="1" x14ac:dyDescent="0.25">
      <c r="A417" s="4" t="s">
        <v>21</v>
      </c>
      <c r="B417" s="4" t="s">
        <v>40</v>
      </c>
      <c r="C417" s="4" t="s">
        <v>23</v>
      </c>
      <c r="D417" s="4" t="s">
        <v>41</v>
      </c>
      <c r="E417" s="4" t="s">
        <v>52</v>
      </c>
      <c r="F417" s="4" t="s">
        <v>51</v>
      </c>
      <c r="G417" s="4" t="s">
        <v>25</v>
      </c>
      <c r="H417" s="4" t="s">
        <v>25</v>
      </c>
      <c r="I417" s="5">
        <v>44652</v>
      </c>
      <c r="J417" s="6">
        <v>0</v>
      </c>
      <c r="K417" s="6">
        <v>0</v>
      </c>
      <c r="L417" s="6">
        <v>8.1129999999999995</v>
      </c>
      <c r="M417" s="6">
        <v>3.2452000000000001</v>
      </c>
      <c r="N417" s="6">
        <v>8.1129999999999995</v>
      </c>
      <c r="O417" s="6">
        <v>3.2452000000000001</v>
      </c>
      <c r="P417" s="6">
        <v>0</v>
      </c>
      <c r="Q417" s="4" t="s">
        <v>26</v>
      </c>
      <c r="R417" s="4">
        <v>0</v>
      </c>
      <c r="S417" s="4" t="s">
        <v>231</v>
      </c>
      <c r="T417" s="4" t="s">
        <v>356</v>
      </c>
      <c r="U417" s="4">
        <v>0</v>
      </c>
      <c r="V417" s="4">
        <v>30</v>
      </c>
      <c r="W417" s="4">
        <v>55</v>
      </c>
    </row>
    <row r="418" spans="1:23" ht="11.25" customHeight="1" x14ac:dyDescent="0.25">
      <c r="A418" s="4" t="s">
        <v>28</v>
      </c>
      <c r="B418" s="4" t="s">
        <v>40</v>
      </c>
      <c r="C418" s="4" t="s">
        <v>23</v>
      </c>
      <c r="D418" s="4" t="s">
        <v>41</v>
      </c>
      <c r="E418" s="4" t="s">
        <v>52</v>
      </c>
      <c r="F418" s="4" t="s">
        <v>51</v>
      </c>
      <c r="G418" s="4" t="s">
        <v>25</v>
      </c>
      <c r="H418" s="4" t="s">
        <v>25</v>
      </c>
      <c r="I418" s="5">
        <v>44652</v>
      </c>
      <c r="J418" s="6">
        <v>0</v>
      </c>
      <c r="K418" s="6">
        <v>0</v>
      </c>
      <c r="L418" s="6">
        <v>4.2119999999999997</v>
      </c>
      <c r="M418" s="6">
        <v>1.6848000000000001</v>
      </c>
      <c r="N418" s="6">
        <v>4.2119999999999997</v>
      </c>
      <c r="O418" s="6">
        <v>1.6848000000000001</v>
      </c>
      <c r="P418" s="6">
        <v>0</v>
      </c>
      <c r="Q418" s="4" t="s">
        <v>26</v>
      </c>
      <c r="R418" s="4">
        <v>0</v>
      </c>
      <c r="S418" s="4" t="s">
        <v>231</v>
      </c>
      <c r="T418" s="4" t="s">
        <v>356</v>
      </c>
      <c r="U418" s="4">
        <v>0</v>
      </c>
      <c r="V418" s="4">
        <v>30</v>
      </c>
      <c r="W418" s="4">
        <v>55</v>
      </c>
    </row>
    <row r="419" spans="1:23" ht="11.25" customHeight="1" x14ac:dyDescent="0.25">
      <c r="A419" s="4" t="s">
        <v>21</v>
      </c>
      <c r="B419" s="4" t="s">
        <v>40</v>
      </c>
      <c r="C419" s="4" t="s">
        <v>23</v>
      </c>
      <c r="D419" s="4" t="s">
        <v>41</v>
      </c>
      <c r="E419" s="4" t="s">
        <v>52</v>
      </c>
      <c r="F419" s="4" t="s">
        <v>51</v>
      </c>
      <c r="G419" s="4" t="s">
        <v>25</v>
      </c>
      <c r="H419" s="4" t="s">
        <v>25</v>
      </c>
      <c r="I419" s="5">
        <v>44682</v>
      </c>
      <c r="J419" s="6">
        <v>0</v>
      </c>
      <c r="K419" s="6">
        <v>0</v>
      </c>
      <c r="L419" s="6">
        <v>5.1079999999999997</v>
      </c>
      <c r="M419" s="6">
        <v>2.0432000000000001</v>
      </c>
      <c r="N419" s="6">
        <v>5.1079999999999997</v>
      </c>
      <c r="O419" s="6">
        <v>2.0432000000000001</v>
      </c>
      <c r="P419" s="6">
        <v>0</v>
      </c>
      <c r="Q419" s="4" t="s">
        <v>26</v>
      </c>
      <c r="R419" s="4">
        <v>0</v>
      </c>
      <c r="S419" s="4" t="s">
        <v>232</v>
      </c>
      <c r="T419" s="4" t="s">
        <v>357</v>
      </c>
      <c r="U419" s="4">
        <v>0</v>
      </c>
      <c r="V419" s="4">
        <v>30</v>
      </c>
      <c r="W419" s="4">
        <v>55</v>
      </c>
    </row>
    <row r="420" spans="1:23" ht="11.25" customHeight="1" x14ac:dyDescent="0.25">
      <c r="A420" s="4" t="s">
        <v>28</v>
      </c>
      <c r="B420" s="4" t="s">
        <v>40</v>
      </c>
      <c r="C420" s="4" t="s">
        <v>23</v>
      </c>
      <c r="D420" s="4" t="s">
        <v>41</v>
      </c>
      <c r="E420" s="4" t="s">
        <v>52</v>
      </c>
      <c r="F420" s="4" t="s">
        <v>51</v>
      </c>
      <c r="G420" s="4" t="s">
        <v>25</v>
      </c>
      <c r="H420" s="4" t="s">
        <v>25</v>
      </c>
      <c r="I420" s="5">
        <v>44682</v>
      </c>
      <c r="J420" s="6">
        <v>0</v>
      </c>
      <c r="K420" s="6">
        <v>0</v>
      </c>
      <c r="L420" s="6">
        <v>1.173</v>
      </c>
      <c r="M420" s="6">
        <v>0.46920000000000001</v>
      </c>
      <c r="N420" s="6">
        <v>1.173</v>
      </c>
      <c r="O420" s="6">
        <v>0.46920000000000001</v>
      </c>
      <c r="P420" s="6">
        <v>0</v>
      </c>
      <c r="Q420" s="4" t="s">
        <v>26</v>
      </c>
      <c r="R420" s="4">
        <v>0</v>
      </c>
      <c r="S420" s="4" t="s">
        <v>232</v>
      </c>
      <c r="T420" s="4" t="s">
        <v>357</v>
      </c>
      <c r="U420" s="4">
        <v>0</v>
      </c>
      <c r="V420" s="4">
        <v>30</v>
      </c>
      <c r="W420" s="4">
        <v>55</v>
      </c>
    </row>
    <row r="421" spans="1:23" ht="11.25" customHeight="1" x14ac:dyDescent="0.25">
      <c r="A421" s="4" t="s">
        <v>21</v>
      </c>
      <c r="B421" s="4" t="s">
        <v>40</v>
      </c>
      <c r="C421" s="4" t="s">
        <v>23</v>
      </c>
      <c r="D421" s="4" t="s">
        <v>41</v>
      </c>
      <c r="E421" s="4" t="s">
        <v>52</v>
      </c>
      <c r="F421" s="4" t="s">
        <v>51</v>
      </c>
      <c r="G421" s="4" t="s">
        <v>25</v>
      </c>
      <c r="H421" s="4" t="s">
        <v>25</v>
      </c>
      <c r="I421" s="5">
        <v>44713</v>
      </c>
      <c r="J421" s="6">
        <v>0</v>
      </c>
      <c r="K421" s="6">
        <v>0</v>
      </c>
      <c r="L421" s="6">
        <v>5.6449999999999996</v>
      </c>
      <c r="M421" s="6">
        <v>2.258</v>
      </c>
      <c r="N421" s="6">
        <v>5.6449999999999996</v>
      </c>
      <c r="O421" s="6">
        <v>2.258</v>
      </c>
      <c r="P421" s="6">
        <v>0</v>
      </c>
      <c r="Q421" s="4" t="s">
        <v>26</v>
      </c>
      <c r="R421" s="4">
        <v>0</v>
      </c>
      <c r="S421" s="4" t="s">
        <v>233</v>
      </c>
      <c r="T421" s="4" t="s">
        <v>358</v>
      </c>
      <c r="U421" s="4">
        <v>0</v>
      </c>
      <c r="V421" s="4">
        <v>30</v>
      </c>
      <c r="W421" s="4">
        <v>55</v>
      </c>
    </row>
    <row r="422" spans="1:23" ht="11.25" customHeight="1" x14ac:dyDescent="0.25">
      <c r="A422" s="4" t="s">
        <v>21</v>
      </c>
      <c r="B422" s="4" t="s">
        <v>40</v>
      </c>
      <c r="C422" s="4" t="s">
        <v>23</v>
      </c>
      <c r="D422" s="4" t="s">
        <v>41</v>
      </c>
      <c r="E422" s="4" t="s">
        <v>52</v>
      </c>
      <c r="F422" s="4" t="s">
        <v>51</v>
      </c>
      <c r="G422" s="4" t="s">
        <v>25</v>
      </c>
      <c r="H422" s="4" t="s">
        <v>25</v>
      </c>
      <c r="I422" s="5">
        <v>44743</v>
      </c>
      <c r="J422" s="6">
        <v>0</v>
      </c>
      <c r="K422" s="6">
        <v>0</v>
      </c>
      <c r="L422" s="6">
        <v>4.4489999999999998</v>
      </c>
      <c r="M422" s="6">
        <v>1.7796000000000001</v>
      </c>
      <c r="N422" s="6">
        <v>4.4489999999999998</v>
      </c>
      <c r="O422" s="6">
        <v>1.7796000000000001</v>
      </c>
      <c r="P422" s="6">
        <v>0</v>
      </c>
      <c r="Q422" s="4" t="s">
        <v>26</v>
      </c>
      <c r="R422" s="4">
        <v>0</v>
      </c>
      <c r="S422" s="4" t="s">
        <v>234</v>
      </c>
      <c r="T422" s="4" t="s">
        <v>359</v>
      </c>
      <c r="U422" s="4">
        <v>0</v>
      </c>
      <c r="V422" s="4">
        <v>30</v>
      </c>
      <c r="W422" s="4">
        <v>55</v>
      </c>
    </row>
    <row r="423" spans="1:23" ht="11.25" customHeight="1" x14ac:dyDescent="0.25">
      <c r="A423" s="4" t="s">
        <v>21</v>
      </c>
      <c r="B423" s="4" t="s">
        <v>40</v>
      </c>
      <c r="C423" s="4" t="s">
        <v>23</v>
      </c>
      <c r="D423" s="4" t="s">
        <v>41</v>
      </c>
      <c r="E423" s="4" t="s">
        <v>52</v>
      </c>
      <c r="F423" s="4" t="s">
        <v>51</v>
      </c>
      <c r="G423" s="4" t="s">
        <v>25</v>
      </c>
      <c r="H423" s="4" t="s">
        <v>25</v>
      </c>
      <c r="I423" s="5">
        <v>44774</v>
      </c>
      <c r="J423" s="6">
        <v>0</v>
      </c>
      <c r="K423" s="6">
        <v>0</v>
      </c>
      <c r="L423" s="6">
        <v>5.0010000000000003</v>
      </c>
      <c r="M423" s="6">
        <v>2.0004</v>
      </c>
      <c r="N423" s="6">
        <v>5.0010000000000003</v>
      </c>
      <c r="O423" s="6">
        <v>2.0004</v>
      </c>
      <c r="P423" s="6">
        <v>0</v>
      </c>
      <c r="Q423" s="4" t="s">
        <v>26</v>
      </c>
      <c r="R423" s="4">
        <v>0</v>
      </c>
      <c r="S423" s="4" t="s">
        <v>235</v>
      </c>
      <c r="T423" s="4" t="s">
        <v>360</v>
      </c>
      <c r="U423" s="4">
        <v>0</v>
      </c>
      <c r="V423" s="4">
        <v>30</v>
      </c>
      <c r="W423" s="4">
        <v>55</v>
      </c>
    </row>
    <row r="424" spans="1:23" ht="11.25" customHeight="1" x14ac:dyDescent="0.25">
      <c r="A424" s="4" t="s">
        <v>21</v>
      </c>
      <c r="B424" s="4" t="s">
        <v>40</v>
      </c>
      <c r="C424" s="4" t="s">
        <v>23</v>
      </c>
      <c r="D424" s="4" t="s">
        <v>41</v>
      </c>
      <c r="E424" s="4" t="s">
        <v>25</v>
      </c>
      <c r="F424" s="4" t="s">
        <v>25</v>
      </c>
      <c r="G424" s="4" t="s">
        <v>25</v>
      </c>
      <c r="H424" s="4" t="s">
        <v>25</v>
      </c>
      <c r="I424" s="5">
        <v>44440</v>
      </c>
      <c r="J424" s="6">
        <v>0</v>
      </c>
      <c r="K424" s="6">
        <v>0</v>
      </c>
      <c r="L424" s="6">
        <v>3318.7579999999998</v>
      </c>
      <c r="M424" s="6">
        <v>3318.7579999999998</v>
      </c>
      <c r="N424" s="6">
        <v>3318.7579999999998</v>
      </c>
      <c r="O424" s="6">
        <v>3318.7579999999998</v>
      </c>
      <c r="P424" s="6">
        <v>6547</v>
      </c>
      <c r="Q424" s="4" t="s">
        <v>26</v>
      </c>
      <c r="R424" s="4">
        <v>0</v>
      </c>
      <c r="S424" s="4" t="s">
        <v>224</v>
      </c>
      <c r="T424" s="4" t="s">
        <v>349</v>
      </c>
      <c r="U424" s="4">
        <v>0</v>
      </c>
      <c r="V424" s="4">
        <v>30</v>
      </c>
      <c r="W424" s="4">
        <v>55</v>
      </c>
    </row>
    <row r="425" spans="1:23" ht="11.25" customHeight="1" x14ac:dyDescent="0.25">
      <c r="A425" s="4" t="s">
        <v>27</v>
      </c>
      <c r="B425" s="4" t="s">
        <v>40</v>
      </c>
      <c r="C425" s="4" t="s">
        <v>23</v>
      </c>
      <c r="D425" s="4" t="s">
        <v>41</v>
      </c>
      <c r="E425" s="4" t="s">
        <v>25</v>
      </c>
      <c r="F425" s="4" t="s">
        <v>25</v>
      </c>
      <c r="G425" s="4" t="s">
        <v>25</v>
      </c>
      <c r="H425" s="4" t="s">
        <v>25</v>
      </c>
      <c r="I425" s="5">
        <v>44440</v>
      </c>
      <c r="J425" s="6">
        <v>0</v>
      </c>
      <c r="K425" s="6">
        <v>0</v>
      </c>
      <c r="L425" s="6">
        <v>-2.5430000000000001</v>
      </c>
      <c r="M425" s="6">
        <v>-2.5430000000000001</v>
      </c>
      <c r="N425" s="6">
        <v>-2.5430000000000001</v>
      </c>
      <c r="O425" s="6">
        <v>-2.5430000000000001</v>
      </c>
      <c r="P425" s="6">
        <v>0</v>
      </c>
      <c r="Q425" s="4" t="s">
        <v>26</v>
      </c>
      <c r="R425" s="4">
        <v>0</v>
      </c>
      <c r="S425" s="4" t="s">
        <v>224</v>
      </c>
      <c r="T425" s="4" t="s">
        <v>349</v>
      </c>
      <c r="U425" s="4">
        <v>0</v>
      </c>
      <c r="V425" s="4">
        <v>30</v>
      </c>
      <c r="W425" s="4">
        <v>55</v>
      </c>
    </row>
    <row r="426" spans="1:23" ht="11.25" customHeight="1" x14ac:dyDescent="0.25">
      <c r="A426" s="4" t="s">
        <v>28</v>
      </c>
      <c r="B426" s="4" t="s">
        <v>40</v>
      </c>
      <c r="C426" s="4" t="s">
        <v>23</v>
      </c>
      <c r="D426" s="4" t="s">
        <v>41</v>
      </c>
      <c r="E426" s="4" t="s">
        <v>25</v>
      </c>
      <c r="F426" s="4" t="s">
        <v>25</v>
      </c>
      <c r="G426" s="4" t="s">
        <v>25</v>
      </c>
      <c r="H426" s="4" t="s">
        <v>25</v>
      </c>
      <c r="I426" s="5">
        <v>44440</v>
      </c>
      <c r="J426" s="6">
        <v>0</v>
      </c>
      <c r="K426" s="6">
        <v>0</v>
      </c>
      <c r="L426" s="6">
        <v>225.55</v>
      </c>
      <c r="M426" s="6">
        <v>225.55</v>
      </c>
      <c r="N426" s="6">
        <v>225.55</v>
      </c>
      <c r="O426" s="6">
        <v>225.55</v>
      </c>
      <c r="P426" s="6">
        <v>405</v>
      </c>
      <c r="Q426" s="4" t="s">
        <v>26</v>
      </c>
      <c r="R426" s="4">
        <v>0</v>
      </c>
      <c r="S426" s="4" t="s">
        <v>224</v>
      </c>
      <c r="T426" s="4" t="s">
        <v>349</v>
      </c>
      <c r="U426" s="4">
        <v>0</v>
      </c>
      <c r="V426" s="4">
        <v>30</v>
      </c>
      <c r="W426" s="4">
        <v>55</v>
      </c>
    </row>
    <row r="427" spans="1:23" ht="11.25" customHeight="1" x14ac:dyDescent="0.25">
      <c r="A427" s="4" t="s">
        <v>21</v>
      </c>
      <c r="B427" s="4" t="s">
        <v>40</v>
      </c>
      <c r="C427" s="4" t="s">
        <v>23</v>
      </c>
      <c r="D427" s="4" t="s">
        <v>41</v>
      </c>
      <c r="E427" s="4" t="s">
        <v>25</v>
      </c>
      <c r="F427" s="4" t="s">
        <v>25</v>
      </c>
      <c r="G427" s="4" t="s">
        <v>25</v>
      </c>
      <c r="H427" s="4" t="s">
        <v>25</v>
      </c>
      <c r="I427" s="5">
        <v>44470</v>
      </c>
      <c r="J427" s="6">
        <v>0</v>
      </c>
      <c r="K427" s="6">
        <v>0</v>
      </c>
      <c r="L427" s="6">
        <v>3208.328</v>
      </c>
      <c r="M427" s="6">
        <v>3208.328</v>
      </c>
      <c r="N427" s="6">
        <v>3208.328</v>
      </c>
      <c r="O427" s="6">
        <v>3208.328</v>
      </c>
      <c r="P427" s="6">
        <v>6542</v>
      </c>
      <c r="Q427" s="4" t="s">
        <v>26</v>
      </c>
      <c r="R427" s="4">
        <v>0</v>
      </c>
      <c r="S427" s="4" t="s">
        <v>225</v>
      </c>
      <c r="T427" s="4" t="s">
        <v>350</v>
      </c>
      <c r="U427" s="4">
        <v>0</v>
      </c>
      <c r="V427" s="4">
        <v>30</v>
      </c>
      <c r="W427" s="4">
        <v>55</v>
      </c>
    </row>
    <row r="428" spans="1:23" ht="11.25" customHeight="1" x14ac:dyDescent="0.25">
      <c r="A428" s="4" t="s">
        <v>27</v>
      </c>
      <c r="B428" s="4" t="s">
        <v>40</v>
      </c>
      <c r="C428" s="4" t="s">
        <v>23</v>
      </c>
      <c r="D428" s="4" t="s">
        <v>41</v>
      </c>
      <c r="E428" s="4" t="s">
        <v>25</v>
      </c>
      <c r="F428" s="4" t="s">
        <v>25</v>
      </c>
      <c r="G428" s="4" t="s">
        <v>25</v>
      </c>
      <c r="H428" s="4" t="s">
        <v>25</v>
      </c>
      <c r="I428" s="5">
        <v>44470</v>
      </c>
      <c r="J428" s="6">
        <v>0</v>
      </c>
      <c r="K428" s="6">
        <v>0</v>
      </c>
      <c r="L428" s="6">
        <v>-0.76600000000000001</v>
      </c>
      <c r="M428" s="6">
        <v>-0.76600000000000001</v>
      </c>
      <c r="N428" s="6">
        <v>-0.76600000000000001</v>
      </c>
      <c r="O428" s="6">
        <v>-0.76600000000000001</v>
      </c>
      <c r="P428" s="6">
        <v>0</v>
      </c>
      <c r="Q428" s="4" t="s">
        <v>26</v>
      </c>
      <c r="R428" s="4">
        <v>0</v>
      </c>
      <c r="S428" s="4" t="s">
        <v>225</v>
      </c>
      <c r="T428" s="4" t="s">
        <v>350</v>
      </c>
      <c r="U428" s="4">
        <v>0</v>
      </c>
      <c r="V428" s="4">
        <v>30</v>
      </c>
      <c r="W428" s="4">
        <v>55</v>
      </c>
    </row>
    <row r="429" spans="1:23" ht="11.25" customHeight="1" x14ac:dyDescent="0.25">
      <c r="A429" s="4" t="s">
        <v>28</v>
      </c>
      <c r="B429" s="4" t="s">
        <v>40</v>
      </c>
      <c r="C429" s="4" t="s">
        <v>23</v>
      </c>
      <c r="D429" s="4" t="s">
        <v>41</v>
      </c>
      <c r="E429" s="4" t="s">
        <v>25</v>
      </c>
      <c r="F429" s="4" t="s">
        <v>25</v>
      </c>
      <c r="G429" s="4" t="s">
        <v>25</v>
      </c>
      <c r="H429" s="4" t="s">
        <v>25</v>
      </c>
      <c r="I429" s="5">
        <v>44470</v>
      </c>
      <c r="J429" s="6">
        <v>0</v>
      </c>
      <c r="K429" s="6">
        <v>0</v>
      </c>
      <c r="L429" s="6">
        <v>225.51300000000001</v>
      </c>
      <c r="M429" s="6">
        <v>225.51300000000001</v>
      </c>
      <c r="N429" s="6">
        <v>225.51300000000001</v>
      </c>
      <c r="O429" s="6">
        <v>225.51300000000001</v>
      </c>
      <c r="P429" s="6">
        <v>413</v>
      </c>
      <c r="Q429" s="4" t="s">
        <v>26</v>
      </c>
      <c r="R429" s="4">
        <v>0</v>
      </c>
      <c r="S429" s="4" t="s">
        <v>225</v>
      </c>
      <c r="T429" s="4" t="s">
        <v>350</v>
      </c>
      <c r="U429" s="4">
        <v>0</v>
      </c>
      <c r="V429" s="4">
        <v>30</v>
      </c>
      <c r="W429" s="4">
        <v>55</v>
      </c>
    </row>
    <row r="430" spans="1:23" ht="11.25" customHeight="1" x14ac:dyDescent="0.25">
      <c r="A430" s="4" t="s">
        <v>21</v>
      </c>
      <c r="B430" s="4" t="s">
        <v>40</v>
      </c>
      <c r="C430" s="4" t="s">
        <v>23</v>
      </c>
      <c r="D430" s="4" t="s">
        <v>41</v>
      </c>
      <c r="E430" s="4" t="s">
        <v>25</v>
      </c>
      <c r="F430" s="4" t="s">
        <v>25</v>
      </c>
      <c r="G430" s="4" t="s">
        <v>25</v>
      </c>
      <c r="H430" s="4" t="s">
        <v>25</v>
      </c>
      <c r="I430" s="5">
        <v>44501</v>
      </c>
      <c r="J430" s="6">
        <v>0</v>
      </c>
      <c r="K430" s="6">
        <v>0</v>
      </c>
      <c r="L430" s="6">
        <v>3277.9079999999999</v>
      </c>
      <c r="M430" s="6">
        <v>3277.9079999999999</v>
      </c>
      <c r="N430" s="6">
        <v>3277.9079999999999</v>
      </c>
      <c r="O430" s="6">
        <v>3277.9079999999999</v>
      </c>
      <c r="P430" s="6">
        <v>6488</v>
      </c>
      <c r="Q430" s="4" t="s">
        <v>26</v>
      </c>
      <c r="R430" s="4">
        <v>0</v>
      </c>
      <c r="S430" s="4" t="s">
        <v>226</v>
      </c>
      <c r="T430" s="4" t="s">
        <v>351</v>
      </c>
      <c r="U430" s="4">
        <v>0</v>
      </c>
      <c r="V430" s="4">
        <v>30</v>
      </c>
      <c r="W430" s="4">
        <v>55</v>
      </c>
    </row>
    <row r="431" spans="1:23" ht="11.25" customHeight="1" x14ac:dyDescent="0.25">
      <c r="A431" s="4" t="s">
        <v>27</v>
      </c>
      <c r="B431" s="4" t="s">
        <v>40</v>
      </c>
      <c r="C431" s="4" t="s">
        <v>23</v>
      </c>
      <c r="D431" s="4" t="s">
        <v>41</v>
      </c>
      <c r="E431" s="4" t="s">
        <v>25</v>
      </c>
      <c r="F431" s="4" t="s">
        <v>25</v>
      </c>
      <c r="G431" s="4" t="s">
        <v>25</v>
      </c>
      <c r="H431" s="4" t="s">
        <v>25</v>
      </c>
      <c r="I431" s="5">
        <v>44501</v>
      </c>
      <c r="J431" s="6">
        <v>0</v>
      </c>
      <c r="K431" s="6">
        <v>0</v>
      </c>
      <c r="L431" s="6">
        <v>9.4220000000000006</v>
      </c>
      <c r="M431" s="6">
        <v>9.4220000000000006</v>
      </c>
      <c r="N431" s="6">
        <v>9.4220000000000006</v>
      </c>
      <c r="O431" s="6">
        <v>9.4220000000000006</v>
      </c>
      <c r="P431" s="6">
        <v>0</v>
      </c>
      <c r="Q431" s="4" t="s">
        <v>26</v>
      </c>
      <c r="R431" s="4">
        <v>0</v>
      </c>
      <c r="S431" s="4" t="s">
        <v>226</v>
      </c>
      <c r="T431" s="4" t="s">
        <v>351</v>
      </c>
      <c r="U431" s="4">
        <v>0</v>
      </c>
      <c r="V431" s="4">
        <v>30</v>
      </c>
      <c r="W431" s="4">
        <v>55</v>
      </c>
    </row>
    <row r="432" spans="1:23" ht="11.25" customHeight="1" x14ac:dyDescent="0.25">
      <c r="A432" s="4" t="s">
        <v>28</v>
      </c>
      <c r="B432" s="4" t="s">
        <v>40</v>
      </c>
      <c r="C432" s="4" t="s">
        <v>23</v>
      </c>
      <c r="D432" s="4" t="s">
        <v>41</v>
      </c>
      <c r="E432" s="4" t="s">
        <v>25</v>
      </c>
      <c r="F432" s="4" t="s">
        <v>25</v>
      </c>
      <c r="G432" s="4" t="s">
        <v>25</v>
      </c>
      <c r="H432" s="4" t="s">
        <v>25</v>
      </c>
      <c r="I432" s="5">
        <v>44501</v>
      </c>
      <c r="J432" s="6">
        <v>0</v>
      </c>
      <c r="K432" s="6">
        <v>0</v>
      </c>
      <c r="L432" s="6">
        <v>182.71199999999999</v>
      </c>
      <c r="M432" s="6">
        <v>182.71199999999999</v>
      </c>
      <c r="N432" s="6">
        <v>182.71199999999999</v>
      </c>
      <c r="O432" s="6">
        <v>182.71199999999999</v>
      </c>
      <c r="P432" s="6">
        <v>464</v>
      </c>
      <c r="Q432" s="4" t="s">
        <v>26</v>
      </c>
      <c r="R432" s="4">
        <v>0</v>
      </c>
      <c r="S432" s="4" t="s">
        <v>226</v>
      </c>
      <c r="T432" s="4" t="s">
        <v>351</v>
      </c>
      <c r="U432" s="4">
        <v>0</v>
      </c>
      <c r="V432" s="4">
        <v>30</v>
      </c>
      <c r="W432" s="4">
        <v>55</v>
      </c>
    </row>
    <row r="433" spans="1:23" ht="11.25" customHeight="1" x14ac:dyDescent="0.25">
      <c r="A433" s="4" t="s">
        <v>21</v>
      </c>
      <c r="B433" s="4" t="s">
        <v>40</v>
      </c>
      <c r="C433" s="4" t="s">
        <v>23</v>
      </c>
      <c r="D433" s="4" t="s">
        <v>41</v>
      </c>
      <c r="E433" s="4" t="s">
        <v>25</v>
      </c>
      <c r="F433" s="4" t="s">
        <v>25</v>
      </c>
      <c r="G433" s="4" t="s">
        <v>25</v>
      </c>
      <c r="H433" s="4" t="s">
        <v>25</v>
      </c>
      <c r="I433" s="5">
        <v>44531</v>
      </c>
      <c r="J433" s="6">
        <v>0</v>
      </c>
      <c r="K433" s="6">
        <v>0</v>
      </c>
      <c r="L433" s="6">
        <v>3180.2330000000002</v>
      </c>
      <c r="M433" s="6">
        <v>3180.2330000000002</v>
      </c>
      <c r="N433" s="6">
        <v>3180.2330000000002</v>
      </c>
      <c r="O433" s="6">
        <v>3180.2330000000002</v>
      </c>
      <c r="P433" s="6">
        <v>5569</v>
      </c>
      <c r="Q433" s="4" t="s">
        <v>26</v>
      </c>
      <c r="R433" s="4">
        <v>0</v>
      </c>
      <c r="S433" s="4" t="s">
        <v>227</v>
      </c>
      <c r="T433" s="4" t="s">
        <v>352</v>
      </c>
      <c r="U433" s="4">
        <v>0</v>
      </c>
      <c r="V433" s="4">
        <v>30</v>
      </c>
      <c r="W433" s="4">
        <v>55</v>
      </c>
    </row>
    <row r="434" spans="1:23" ht="11.25" customHeight="1" x14ac:dyDescent="0.25">
      <c r="A434" s="4" t="s">
        <v>27</v>
      </c>
      <c r="B434" s="4" t="s">
        <v>40</v>
      </c>
      <c r="C434" s="4" t="s">
        <v>23</v>
      </c>
      <c r="D434" s="4" t="s">
        <v>41</v>
      </c>
      <c r="E434" s="4" t="s">
        <v>25</v>
      </c>
      <c r="F434" s="4" t="s">
        <v>25</v>
      </c>
      <c r="G434" s="4" t="s">
        <v>25</v>
      </c>
      <c r="H434" s="4" t="s">
        <v>25</v>
      </c>
      <c r="I434" s="5">
        <v>44531</v>
      </c>
      <c r="J434" s="6">
        <v>0</v>
      </c>
      <c r="K434" s="6">
        <v>0</v>
      </c>
      <c r="L434" s="6">
        <v>-0.621</v>
      </c>
      <c r="M434" s="6">
        <v>-0.621</v>
      </c>
      <c r="N434" s="6">
        <v>-0.621</v>
      </c>
      <c r="O434" s="6">
        <v>-0.621</v>
      </c>
      <c r="P434" s="6">
        <v>0</v>
      </c>
      <c r="Q434" s="4" t="s">
        <v>26</v>
      </c>
      <c r="R434" s="4">
        <v>0</v>
      </c>
      <c r="S434" s="4" t="s">
        <v>227</v>
      </c>
      <c r="T434" s="4" t="s">
        <v>352</v>
      </c>
      <c r="U434" s="4">
        <v>0</v>
      </c>
      <c r="V434" s="4">
        <v>30</v>
      </c>
      <c r="W434" s="4">
        <v>55</v>
      </c>
    </row>
    <row r="435" spans="1:23" ht="11.25" customHeight="1" x14ac:dyDescent="0.25">
      <c r="A435" s="4" t="s">
        <v>28</v>
      </c>
      <c r="B435" s="4" t="s">
        <v>40</v>
      </c>
      <c r="C435" s="4" t="s">
        <v>23</v>
      </c>
      <c r="D435" s="4" t="s">
        <v>41</v>
      </c>
      <c r="E435" s="4" t="s">
        <v>25</v>
      </c>
      <c r="F435" s="4" t="s">
        <v>25</v>
      </c>
      <c r="G435" s="4" t="s">
        <v>25</v>
      </c>
      <c r="H435" s="4" t="s">
        <v>25</v>
      </c>
      <c r="I435" s="5">
        <v>44531</v>
      </c>
      <c r="J435" s="6">
        <v>0</v>
      </c>
      <c r="K435" s="6">
        <v>0</v>
      </c>
      <c r="L435" s="6">
        <v>181.08600000000001</v>
      </c>
      <c r="M435" s="6">
        <v>181.08600000000001</v>
      </c>
      <c r="N435" s="6">
        <v>181.08600000000001</v>
      </c>
      <c r="O435" s="6">
        <v>181.08600000000001</v>
      </c>
      <c r="P435" s="6">
        <v>492</v>
      </c>
      <c r="Q435" s="4" t="s">
        <v>26</v>
      </c>
      <c r="R435" s="4">
        <v>0</v>
      </c>
      <c r="S435" s="4" t="s">
        <v>227</v>
      </c>
      <c r="T435" s="4" t="s">
        <v>352</v>
      </c>
      <c r="U435" s="4">
        <v>0</v>
      </c>
      <c r="V435" s="4">
        <v>30</v>
      </c>
      <c r="W435" s="4">
        <v>55</v>
      </c>
    </row>
    <row r="436" spans="1:23" ht="11.25" customHeight="1" x14ac:dyDescent="0.25">
      <c r="A436" s="4" t="s">
        <v>28</v>
      </c>
      <c r="B436" s="4" t="s">
        <v>40</v>
      </c>
      <c r="C436" s="4" t="s">
        <v>23</v>
      </c>
      <c r="D436" s="4" t="s">
        <v>41</v>
      </c>
      <c r="E436" s="4" t="s">
        <v>25</v>
      </c>
      <c r="F436" s="4" t="s">
        <v>25</v>
      </c>
      <c r="G436" s="4" t="s">
        <v>25</v>
      </c>
      <c r="H436" s="4" t="s">
        <v>25</v>
      </c>
      <c r="I436" s="5">
        <v>44531</v>
      </c>
      <c r="J436" s="6">
        <v>0</v>
      </c>
      <c r="K436" s="6">
        <v>0</v>
      </c>
      <c r="L436" s="6">
        <v>-9.7929999999999993</v>
      </c>
      <c r="M436" s="6">
        <v>-9.7929999999999993</v>
      </c>
      <c r="N436" s="6">
        <v>-9.7929999999999993</v>
      </c>
      <c r="O436" s="6">
        <v>-9.7929999999999993</v>
      </c>
      <c r="P436" s="6">
        <v>6</v>
      </c>
      <c r="Q436" s="4" t="s">
        <v>26</v>
      </c>
      <c r="R436" s="4">
        <v>0</v>
      </c>
      <c r="S436" s="4" t="s">
        <v>227</v>
      </c>
      <c r="T436" s="4" t="s">
        <v>352</v>
      </c>
      <c r="U436" s="4">
        <v>0</v>
      </c>
      <c r="V436" s="4">
        <v>30</v>
      </c>
      <c r="W436" s="4">
        <v>55</v>
      </c>
    </row>
    <row r="437" spans="1:23" ht="11.25" customHeight="1" x14ac:dyDescent="0.25">
      <c r="A437" s="4" t="s">
        <v>21</v>
      </c>
      <c r="B437" s="4" t="s">
        <v>40</v>
      </c>
      <c r="C437" s="4" t="s">
        <v>23</v>
      </c>
      <c r="D437" s="4" t="s">
        <v>41</v>
      </c>
      <c r="E437" s="4" t="s">
        <v>25</v>
      </c>
      <c r="F437" s="4" t="s">
        <v>25</v>
      </c>
      <c r="G437" s="4" t="s">
        <v>25</v>
      </c>
      <c r="H437" s="4" t="s">
        <v>25</v>
      </c>
      <c r="I437" s="5">
        <v>44562</v>
      </c>
      <c r="J437" s="6">
        <v>0</v>
      </c>
      <c r="K437" s="6">
        <v>0</v>
      </c>
      <c r="L437" s="6">
        <v>3726.4209999999998</v>
      </c>
      <c r="M437" s="6">
        <v>3726.4209999999998</v>
      </c>
      <c r="N437" s="6">
        <v>3726.4209999999998</v>
      </c>
      <c r="O437" s="6">
        <v>3726.4209999999998</v>
      </c>
      <c r="P437" s="6">
        <v>5588</v>
      </c>
      <c r="Q437" s="4" t="s">
        <v>26</v>
      </c>
      <c r="R437" s="4">
        <v>0</v>
      </c>
      <c r="S437" s="4" t="s">
        <v>228</v>
      </c>
      <c r="T437" s="4" t="s">
        <v>353</v>
      </c>
      <c r="U437" s="4">
        <v>0</v>
      </c>
      <c r="V437" s="4">
        <v>30</v>
      </c>
      <c r="W437" s="4">
        <v>55</v>
      </c>
    </row>
    <row r="438" spans="1:23" ht="11.25" customHeight="1" x14ac:dyDescent="0.25">
      <c r="A438" s="4" t="s">
        <v>27</v>
      </c>
      <c r="B438" s="4" t="s">
        <v>40</v>
      </c>
      <c r="C438" s="4" t="s">
        <v>23</v>
      </c>
      <c r="D438" s="4" t="s">
        <v>41</v>
      </c>
      <c r="E438" s="4" t="s">
        <v>25</v>
      </c>
      <c r="F438" s="4" t="s">
        <v>25</v>
      </c>
      <c r="G438" s="4" t="s">
        <v>25</v>
      </c>
      <c r="H438" s="4" t="s">
        <v>25</v>
      </c>
      <c r="I438" s="5">
        <v>44562</v>
      </c>
      <c r="J438" s="6">
        <v>0</v>
      </c>
      <c r="K438" s="6">
        <v>0</v>
      </c>
      <c r="L438" s="6">
        <v>-1.607</v>
      </c>
      <c r="M438" s="6">
        <v>-1.607</v>
      </c>
      <c r="N438" s="6">
        <v>-1.607</v>
      </c>
      <c r="O438" s="6">
        <v>-1.607</v>
      </c>
      <c r="P438" s="6">
        <v>0</v>
      </c>
      <c r="Q438" s="4" t="s">
        <v>26</v>
      </c>
      <c r="R438" s="4">
        <v>0</v>
      </c>
      <c r="S438" s="4" t="s">
        <v>228</v>
      </c>
      <c r="T438" s="4" t="s">
        <v>353</v>
      </c>
      <c r="U438" s="4">
        <v>0</v>
      </c>
      <c r="V438" s="4">
        <v>30</v>
      </c>
      <c r="W438" s="4">
        <v>55</v>
      </c>
    </row>
    <row r="439" spans="1:23" ht="11.25" customHeight="1" x14ac:dyDescent="0.25">
      <c r="A439" s="4" t="s">
        <v>28</v>
      </c>
      <c r="B439" s="4" t="s">
        <v>40</v>
      </c>
      <c r="C439" s="4" t="s">
        <v>23</v>
      </c>
      <c r="D439" s="4" t="s">
        <v>41</v>
      </c>
      <c r="E439" s="4" t="s">
        <v>25</v>
      </c>
      <c r="F439" s="4" t="s">
        <v>25</v>
      </c>
      <c r="G439" s="4" t="s">
        <v>25</v>
      </c>
      <c r="H439" s="4" t="s">
        <v>25</v>
      </c>
      <c r="I439" s="5">
        <v>44562</v>
      </c>
      <c r="J439" s="6">
        <v>0</v>
      </c>
      <c r="K439" s="6">
        <v>0</v>
      </c>
      <c r="L439" s="6">
        <v>362.125</v>
      </c>
      <c r="M439" s="6">
        <v>362.125</v>
      </c>
      <c r="N439" s="6">
        <v>362.125</v>
      </c>
      <c r="O439" s="6">
        <v>362.125</v>
      </c>
      <c r="P439" s="6">
        <v>525</v>
      </c>
      <c r="Q439" s="4" t="s">
        <v>26</v>
      </c>
      <c r="R439" s="4">
        <v>0</v>
      </c>
      <c r="S439" s="4" t="s">
        <v>228</v>
      </c>
      <c r="T439" s="4" t="s">
        <v>353</v>
      </c>
      <c r="U439" s="4">
        <v>0</v>
      </c>
      <c r="V439" s="4">
        <v>30</v>
      </c>
      <c r="W439" s="4">
        <v>55</v>
      </c>
    </row>
    <row r="440" spans="1:23" ht="11.25" customHeight="1" x14ac:dyDescent="0.25">
      <c r="A440" s="4" t="s">
        <v>21</v>
      </c>
      <c r="B440" s="4" t="s">
        <v>40</v>
      </c>
      <c r="C440" s="4" t="s">
        <v>23</v>
      </c>
      <c r="D440" s="4" t="s">
        <v>41</v>
      </c>
      <c r="E440" s="4" t="s">
        <v>25</v>
      </c>
      <c r="F440" s="4" t="s">
        <v>25</v>
      </c>
      <c r="G440" s="4" t="s">
        <v>25</v>
      </c>
      <c r="H440" s="4" t="s">
        <v>25</v>
      </c>
      <c r="I440" s="5">
        <v>44593</v>
      </c>
      <c r="J440" s="6">
        <v>0</v>
      </c>
      <c r="K440" s="6">
        <v>0</v>
      </c>
      <c r="L440" s="6">
        <v>3680.212</v>
      </c>
      <c r="M440" s="6">
        <v>3680.212</v>
      </c>
      <c r="N440" s="6">
        <v>3680.212</v>
      </c>
      <c r="O440" s="6">
        <v>3680.212</v>
      </c>
      <c r="P440" s="6">
        <v>5613</v>
      </c>
      <c r="Q440" s="4" t="s">
        <v>26</v>
      </c>
      <c r="R440" s="4">
        <v>0</v>
      </c>
      <c r="S440" s="4" t="s">
        <v>229</v>
      </c>
      <c r="T440" s="4" t="s">
        <v>354</v>
      </c>
      <c r="U440" s="4">
        <v>0</v>
      </c>
      <c r="V440" s="4">
        <v>30</v>
      </c>
      <c r="W440" s="4">
        <v>55</v>
      </c>
    </row>
    <row r="441" spans="1:23" ht="11.25" customHeight="1" x14ac:dyDescent="0.25">
      <c r="A441" s="4" t="s">
        <v>27</v>
      </c>
      <c r="B441" s="4" t="s">
        <v>40</v>
      </c>
      <c r="C441" s="4" t="s">
        <v>23</v>
      </c>
      <c r="D441" s="4" t="s">
        <v>41</v>
      </c>
      <c r="E441" s="4" t="s">
        <v>25</v>
      </c>
      <c r="F441" s="4" t="s">
        <v>25</v>
      </c>
      <c r="G441" s="4" t="s">
        <v>25</v>
      </c>
      <c r="H441" s="4" t="s">
        <v>25</v>
      </c>
      <c r="I441" s="5">
        <v>44593</v>
      </c>
      <c r="J441" s="6">
        <v>0</v>
      </c>
      <c r="K441" s="6">
        <v>0</v>
      </c>
      <c r="L441" s="6">
        <v>0.75800000000000001</v>
      </c>
      <c r="M441" s="6">
        <v>0.75800000000000001</v>
      </c>
      <c r="N441" s="6">
        <v>0.75800000000000001</v>
      </c>
      <c r="O441" s="6">
        <v>0.75800000000000001</v>
      </c>
      <c r="P441" s="6">
        <v>0</v>
      </c>
      <c r="Q441" s="4" t="s">
        <v>26</v>
      </c>
      <c r="R441" s="4">
        <v>0</v>
      </c>
      <c r="S441" s="4" t="s">
        <v>229</v>
      </c>
      <c r="T441" s="4" t="s">
        <v>354</v>
      </c>
      <c r="U441" s="4">
        <v>0</v>
      </c>
      <c r="V441" s="4">
        <v>30</v>
      </c>
      <c r="W441" s="4">
        <v>55</v>
      </c>
    </row>
    <row r="442" spans="1:23" ht="11.25" customHeight="1" x14ac:dyDescent="0.25">
      <c r="A442" s="4" t="s">
        <v>28</v>
      </c>
      <c r="B442" s="4" t="s">
        <v>40</v>
      </c>
      <c r="C442" s="4" t="s">
        <v>23</v>
      </c>
      <c r="D442" s="4" t="s">
        <v>41</v>
      </c>
      <c r="E442" s="4" t="s">
        <v>25</v>
      </c>
      <c r="F442" s="4" t="s">
        <v>25</v>
      </c>
      <c r="G442" s="4" t="s">
        <v>25</v>
      </c>
      <c r="H442" s="4" t="s">
        <v>25</v>
      </c>
      <c r="I442" s="5">
        <v>44593</v>
      </c>
      <c r="J442" s="6">
        <v>0</v>
      </c>
      <c r="K442" s="6">
        <v>0</v>
      </c>
      <c r="L442" s="6">
        <v>311.85500000000002</v>
      </c>
      <c r="M442" s="6">
        <v>311.85500000000002</v>
      </c>
      <c r="N442" s="6">
        <v>311.85500000000002</v>
      </c>
      <c r="O442" s="6">
        <v>311.85500000000002</v>
      </c>
      <c r="P442" s="6">
        <v>542</v>
      </c>
      <c r="Q442" s="4" t="s">
        <v>26</v>
      </c>
      <c r="R442" s="4">
        <v>0</v>
      </c>
      <c r="S442" s="4" t="s">
        <v>229</v>
      </c>
      <c r="T442" s="4" t="s">
        <v>354</v>
      </c>
      <c r="U442" s="4">
        <v>0</v>
      </c>
      <c r="V442" s="4">
        <v>30</v>
      </c>
      <c r="W442" s="4">
        <v>55</v>
      </c>
    </row>
    <row r="443" spans="1:23" ht="11.25" customHeight="1" x14ac:dyDescent="0.25">
      <c r="A443" s="4" t="s">
        <v>28</v>
      </c>
      <c r="B443" s="4" t="s">
        <v>40</v>
      </c>
      <c r="C443" s="4" t="s">
        <v>23</v>
      </c>
      <c r="D443" s="4" t="s">
        <v>41</v>
      </c>
      <c r="E443" s="4" t="s">
        <v>25</v>
      </c>
      <c r="F443" s="4" t="s">
        <v>25</v>
      </c>
      <c r="G443" s="4" t="s">
        <v>25</v>
      </c>
      <c r="H443" s="4" t="s">
        <v>25</v>
      </c>
      <c r="I443" s="5">
        <v>44593</v>
      </c>
      <c r="J443" s="6">
        <v>0</v>
      </c>
      <c r="K443" s="6">
        <v>0</v>
      </c>
      <c r="L443" s="6">
        <v>-7.0259999999999998</v>
      </c>
      <c r="M443" s="6">
        <v>-7.0259999999999998</v>
      </c>
      <c r="N443" s="6">
        <v>-7.0259999999999998</v>
      </c>
      <c r="O443" s="6">
        <v>-7.0259999999999998</v>
      </c>
      <c r="P443" s="6">
        <v>5</v>
      </c>
      <c r="Q443" s="4" t="s">
        <v>26</v>
      </c>
      <c r="R443" s="4">
        <v>0</v>
      </c>
      <c r="S443" s="4" t="s">
        <v>229</v>
      </c>
      <c r="T443" s="4" t="s">
        <v>354</v>
      </c>
      <c r="U443" s="4">
        <v>0</v>
      </c>
      <c r="V443" s="4">
        <v>30</v>
      </c>
      <c r="W443" s="4">
        <v>55</v>
      </c>
    </row>
    <row r="444" spans="1:23" ht="11.25" customHeight="1" x14ac:dyDescent="0.25">
      <c r="A444" s="4" t="s">
        <v>21</v>
      </c>
      <c r="B444" s="4" t="s">
        <v>40</v>
      </c>
      <c r="C444" s="4" t="s">
        <v>23</v>
      </c>
      <c r="D444" s="4" t="s">
        <v>41</v>
      </c>
      <c r="E444" s="4" t="s">
        <v>25</v>
      </c>
      <c r="F444" s="4" t="s">
        <v>25</v>
      </c>
      <c r="G444" s="4" t="s">
        <v>25</v>
      </c>
      <c r="H444" s="4" t="s">
        <v>25</v>
      </c>
      <c r="I444" s="5">
        <v>44621</v>
      </c>
      <c r="J444" s="6">
        <v>0</v>
      </c>
      <c r="K444" s="6">
        <v>0</v>
      </c>
      <c r="L444" s="6">
        <v>3204.8240000000001</v>
      </c>
      <c r="M444" s="6">
        <v>3204.8240000000001</v>
      </c>
      <c r="N444" s="6">
        <v>3204.8240000000001</v>
      </c>
      <c r="O444" s="6">
        <v>3204.8240000000001</v>
      </c>
      <c r="P444" s="6">
        <v>5590</v>
      </c>
      <c r="Q444" s="4" t="s">
        <v>26</v>
      </c>
      <c r="R444" s="4">
        <v>0</v>
      </c>
      <c r="S444" s="4" t="s">
        <v>230</v>
      </c>
      <c r="T444" s="4" t="s">
        <v>355</v>
      </c>
      <c r="U444" s="4">
        <v>0</v>
      </c>
      <c r="V444" s="4">
        <v>30</v>
      </c>
      <c r="W444" s="4">
        <v>55</v>
      </c>
    </row>
    <row r="445" spans="1:23" ht="11.25" customHeight="1" x14ac:dyDescent="0.25">
      <c r="A445" s="4" t="s">
        <v>27</v>
      </c>
      <c r="B445" s="4" t="s">
        <v>40</v>
      </c>
      <c r="C445" s="4" t="s">
        <v>23</v>
      </c>
      <c r="D445" s="4" t="s">
        <v>41</v>
      </c>
      <c r="E445" s="4" t="s">
        <v>25</v>
      </c>
      <c r="F445" s="4" t="s">
        <v>25</v>
      </c>
      <c r="G445" s="4" t="s">
        <v>25</v>
      </c>
      <c r="H445" s="4" t="s">
        <v>25</v>
      </c>
      <c r="I445" s="5">
        <v>44621</v>
      </c>
      <c r="J445" s="6">
        <v>0</v>
      </c>
      <c r="K445" s="6">
        <v>0</v>
      </c>
      <c r="L445" s="6">
        <v>-7.67</v>
      </c>
      <c r="M445" s="6">
        <v>-7.67</v>
      </c>
      <c r="N445" s="6">
        <v>-7.67</v>
      </c>
      <c r="O445" s="6">
        <v>-7.67</v>
      </c>
      <c r="P445" s="6">
        <v>0</v>
      </c>
      <c r="Q445" s="4" t="s">
        <v>26</v>
      </c>
      <c r="R445" s="4">
        <v>0</v>
      </c>
      <c r="S445" s="4" t="s">
        <v>230</v>
      </c>
      <c r="T445" s="4" t="s">
        <v>355</v>
      </c>
      <c r="U445" s="4">
        <v>0</v>
      </c>
      <c r="V445" s="4">
        <v>30</v>
      </c>
      <c r="W445" s="4">
        <v>55</v>
      </c>
    </row>
    <row r="446" spans="1:23" ht="11.25" customHeight="1" x14ac:dyDescent="0.25">
      <c r="A446" s="4" t="s">
        <v>28</v>
      </c>
      <c r="B446" s="4" t="s">
        <v>40</v>
      </c>
      <c r="C446" s="4" t="s">
        <v>23</v>
      </c>
      <c r="D446" s="4" t="s">
        <v>41</v>
      </c>
      <c r="E446" s="4" t="s">
        <v>25</v>
      </c>
      <c r="F446" s="4" t="s">
        <v>25</v>
      </c>
      <c r="G446" s="4" t="s">
        <v>25</v>
      </c>
      <c r="H446" s="4" t="s">
        <v>25</v>
      </c>
      <c r="I446" s="5">
        <v>44621</v>
      </c>
      <c r="J446" s="6">
        <v>0</v>
      </c>
      <c r="K446" s="6">
        <v>0</v>
      </c>
      <c r="L446" s="6">
        <v>316.67200000000003</v>
      </c>
      <c r="M446" s="6">
        <v>316.67200000000003</v>
      </c>
      <c r="N446" s="6">
        <v>316.67200000000003</v>
      </c>
      <c r="O446" s="6">
        <v>316.67200000000003</v>
      </c>
      <c r="P446" s="6">
        <v>583</v>
      </c>
      <c r="Q446" s="4" t="s">
        <v>26</v>
      </c>
      <c r="R446" s="4">
        <v>0</v>
      </c>
      <c r="S446" s="4" t="s">
        <v>230</v>
      </c>
      <c r="T446" s="4" t="s">
        <v>355</v>
      </c>
      <c r="U446" s="4">
        <v>0</v>
      </c>
      <c r="V446" s="4">
        <v>30</v>
      </c>
      <c r="W446" s="4">
        <v>55</v>
      </c>
    </row>
    <row r="447" spans="1:23" ht="11.25" customHeight="1" x14ac:dyDescent="0.25">
      <c r="A447" s="4" t="s">
        <v>21</v>
      </c>
      <c r="B447" s="4" t="s">
        <v>40</v>
      </c>
      <c r="C447" s="4" t="s">
        <v>23</v>
      </c>
      <c r="D447" s="4" t="s">
        <v>41</v>
      </c>
      <c r="E447" s="4" t="s">
        <v>25</v>
      </c>
      <c r="F447" s="4" t="s">
        <v>25</v>
      </c>
      <c r="G447" s="4" t="s">
        <v>25</v>
      </c>
      <c r="H447" s="4" t="s">
        <v>25</v>
      </c>
      <c r="I447" s="5">
        <v>44652</v>
      </c>
      <c r="J447" s="6">
        <v>0</v>
      </c>
      <c r="K447" s="6">
        <v>0</v>
      </c>
      <c r="L447" s="6">
        <v>2843.1210000000001</v>
      </c>
      <c r="M447" s="6">
        <v>2843.1210000000001</v>
      </c>
      <c r="N447" s="6">
        <v>2843.1210000000001</v>
      </c>
      <c r="O447" s="6">
        <v>2843.1210000000001</v>
      </c>
      <c r="P447" s="6">
        <v>5557</v>
      </c>
      <c r="Q447" s="4" t="s">
        <v>26</v>
      </c>
      <c r="R447" s="4">
        <v>0</v>
      </c>
      <c r="S447" s="4" t="s">
        <v>231</v>
      </c>
      <c r="T447" s="4" t="s">
        <v>356</v>
      </c>
      <c r="U447" s="4">
        <v>0</v>
      </c>
      <c r="V447" s="4">
        <v>30</v>
      </c>
      <c r="W447" s="4">
        <v>55</v>
      </c>
    </row>
    <row r="448" spans="1:23" ht="11.25" customHeight="1" x14ac:dyDescent="0.25">
      <c r="A448" s="4" t="s">
        <v>27</v>
      </c>
      <c r="B448" s="4" t="s">
        <v>40</v>
      </c>
      <c r="C448" s="4" t="s">
        <v>23</v>
      </c>
      <c r="D448" s="4" t="s">
        <v>41</v>
      </c>
      <c r="E448" s="4" t="s">
        <v>25</v>
      </c>
      <c r="F448" s="4" t="s">
        <v>25</v>
      </c>
      <c r="G448" s="4" t="s">
        <v>25</v>
      </c>
      <c r="H448" s="4" t="s">
        <v>25</v>
      </c>
      <c r="I448" s="5">
        <v>44652</v>
      </c>
      <c r="J448" s="6">
        <v>0</v>
      </c>
      <c r="K448" s="6">
        <v>0</v>
      </c>
      <c r="L448" s="6">
        <v>-0.64100000000000001</v>
      </c>
      <c r="M448" s="6">
        <v>-0.64100000000000001</v>
      </c>
      <c r="N448" s="6">
        <v>-0.64100000000000001</v>
      </c>
      <c r="O448" s="6">
        <v>-0.64100000000000001</v>
      </c>
      <c r="P448" s="6">
        <v>0</v>
      </c>
      <c r="Q448" s="4" t="s">
        <v>26</v>
      </c>
      <c r="R448" s="4">
        <v>0</v>
      </c>
      <c r="S448" s="4" t="s">
        <v>231</v>
      </c>
      <c r="T448" s="4" t="s">
        <v>356</v>
      </c>
      <c r="U448" s="4">
        <v>0</v>
      </c>
      <c r="V448" s="4">
        <v>30</v>
      </c>
      <c r="W448" s="4">
        <v>55</v>
      </c>
    </row>
    <row r="449" spans="1:23" ht="11.25" customHeight="1" x14ac:dyDescent="0.25">
      <c r="A449" s="4" t="s">
        <v>28</v>
      </c>
      <c r="B449" s="4" t="s">
        <v>40</v>
      </c>
      <c r="C449" s="4" t="s">
        <v>23</v>
      </c>
      <c r="D449" s="4" t="s">
        <v>41</v>
      </c>
      <c r="E449" s="4" t="s">
        <v>25</v>
      </c>
      <c r="F449" s="4" t="s">
        <v>25</v>
      </c>
      <c r="G449" s="4" t="s">
        <v>25</v>
      </c>
      <c r="H449" s="4" t="s">
        <v>25</v>
      </c>
      <c r="I449" s="5">
        <v>44652</v>
      </c>
      <c r="J449" s="6">
        <v>0</v>
      </c>
      <c r="K449" s="6">
        <v>0</v>
      </c>
      <c r="L449" s="6">
        <v>291.96100000000001</v>
      </c>
      <c r="M449" s="6">
        <v>291.96100000000001</v>
      </c>
      <c r="N449" s="6">
        <v>291.96100000000001</v>
      </c>
      <c r="O449" s="6">
        <v>291.96100000000001</v>
      </c>
      <c r="P449" s="6">
        <v>607</v>
      </c>
      <c r="Q449" s="4" t="s">
        <v>26</v>
      </c>
      <c r="R449" s="4">
        <v>0</v>
      </c>
      <c r="S449" s="4" t="s">
        <v>231</v>
      </c>
      <c r="T449" s="4" t="s">
        <v>356</v>
      </c>
      <c r="U449" s="4">
        <v>0</v>
      </c>
      <c r="V449" s="4">
        <v>30</v>
      </c>
      <c r="W449" s="4">
        <v>55</v>
      </c>
    </row>
    <row r="450" spans="1:23" ht="11.25" customHeight="1" x14ac:dyDescent="0.25">
      <c r="A450" s="4" t="s">
        <v>28</v>
      </c>
      <c r="B450" s="4" t="s">
        <v>40</v>
      </c>
      <c r="C450" s="4" t="s">
        <v>23</v>
      </c>
      <c r="D450" s="4" t="s">
        <v>41</v>
      </c>
      <c r="E450" s="4" t="s">
        <v>25</v>
      </c>
      <c r="F450" s="4" t="s">
        <v>25</v>
      </c>
      <c r="G450" s="4" t="s">
        <v>25</v>
      </c>
      <c r="H450" s="4" t="s">
        <v>25</v>
      </c>
      <c r="I450" s="5">
        <v>44652</v>
      </c>
      <c r="J450" s="6">
        <v>0</v>
      </c>
      <c r="K450" s="6">
        <v>0</v>
      </c>
      <c r="L450" s="6">
        <v>-4.2</v>
      </c>
      <c r="M450" s="6">
        <v>-4.2</v>
      </c>
      <c r="N450" s="6">
        <v>-4.2</v>
      </c>
      <c r="O450" s="6">
        <v>-4.2</v>
      </c>
      <c r="P450" s="6">
        <v>2</v>
      </c>
      <c r="Q450" s="4" t="s">
        <v>26</v>
      </c>
      <c r="R450" s="4">
        <v>0</v>
      </c>
      <c r="S450" s="4" t="s">
        <v>231</v>
      </c>
      <c r="T450" s="4" t="s">
        <v>356</v>
      </c>
      <c r="U450" s="4">
        <v>0</v>
      </c>
      <c r="V450" s="4">
        <v>30</v>
      </c>
      <c r="W450" s="4">
        <v>55</v>
      </c>
    </row>
    <row r="451" spans="1:23" ht="11.25" customHeight="1" x14ac:dyDescent="0.25">
      <c r="A451" s="4" t="s">
        <v>21</v>
      </c>
      <c r="B451" s="4" t="s">
        <v>40</v>
      </c>
      <c r="C451" s="4" t="s">
        <v>23</v>
      </c>
      <c r="D451" s="4" t="s">
        <v>41</v>
      </c>
      <c r="E451" s="4" t="s">
        <v>25</v>
      </c>
      <c r="F451" s="4" t="s">
        <v>25</v>
      </c>
      <c r="G451" s="4" t="s">
        <v>25</v>
      </c>
      <c r="H451" s="4" t="s">
        <v>25</v>
      </c>
      <c r="I451" s="5">
        <v>44682</v>
      </c>
      <c r="J451" s="6">
        <v>0</v>
      </c>
      <c r="K451" s="6">
        <v>0</v>
      </c>
      <c r="L451" s="6">
        <v>2531.2399999999998</v>
      </c>
      <c r="M451" s="6">
        <v>2531.2399999999998</v>
      </c>
      <c r="N451" s="6">
        <v>2531.2399999999998</v>
      </c>
      <c r="O451" s="6">
        <v>2531.2399999999998</v>
      </c>
      <c r="P451" s="6">
        <v>5523</v>
      </c>
      <c r="Q451" s="4" t="s">
        <v>26</v>
      </c>
      <c r="R451" s="4">
        <v>0</v>
      </c>
      <c r="S451" s="4" t="s">
        <v>232</v>
      </c>
      <c r="T451" s="4" t="s">
        <v>357</v>
      </c>
      <c r="U451" s="4">
        <v>0</v>
      </c>
      <c r="V451" s="4">
        <v>30</v>
      </c>
      <c r="W451" s="4">
        <v>55</v>
      </c>
    </row>
    <row r="452" spans="1:23" ht="11.25" customHeight="1" x14ac:dyDescent="0.25">
      <c r="A452" s="4" t="s">
        <v>27</v>
      </c>
      <c r="B452" s="4" t="s">
        <v>40</v>
      </c>
      <c r="C452" s="4" t="s">
        <v>23</v>
      </c>
      <c r="D452" s="4" t="s">
        <v>41</v>
      </c>
      <c r="E452" s="4" t="s">
        <v>25</v>
      </c>
      <c r="F452" s="4" t="s">
        <v>25</v>
      </c>
      <c r="G452" s="4" t="s">
        <v>25</v>
      </c>
      <c r="H452" s="4" t="s">
        <v>25</v>
      </c>
      <c r="I452" s="5">
        <v>44682</v>
      </c>
      <c r="J452" s="6">
        <v>0</v>
      </c>
      <c r="K452" s="6">
        <v>0</v>
      </c>
      <c r="L452" s="6">
        <v>-4.556</v>
      </c>
      <c r="M452" s="6">
        <v>-4.556</v>
      </c>
      <c r="N452" s="6">
        <v>-4.556</v>
      </c>
      <c r="O452" s="6">
        <v>-4.556</v>
      </c>
      <c r="P452" s="6">
        <v>0</v>
      </c>
      <c r="Q452" s="4" t="s">
        <v>26</v>
      </c>
      <c r="R452" s="4">
        <v>0</v>
      </c>
      <c r="S452" s="4" t="s">
        <v>232</v>
      </c>
      <c r="T452" s="4" t="s">
        <v>357</v>
      </c>
      <c r="U452" s="4">
        <v>0</v>
      </c>
      <c r="V452" s="4">
        <v>30</v>
      </c>
      <c r="W452" s="4">
        <v>55</v>
      </c>
    </row>
    <row r="453" spans="1:23" ht="11.25" customHeight="1" x14ac:dyDescent="0.25">
      <c r="A453" s="4" t="s">
        <v>28</v>
      </c>
      <c r="B453" s="4" t="s">
        <v>40</v>
      </c>
      <c r="C453" s="4" t="s">
        <v>23</v>
      </c>
      <c r="D453" s="4" t="s">
        <v>41</v>
      </c>
      <c r="E453" s="4" t="s">
        <v>25</v>
      </c>
      <c r="F453" s="4" t="s">
        <v>25</v>
      </c>
      <c r="G453" s="4" t="s">
        <v>25</v>
      </c>
      <c r="H453" s="4" t="s">
        <v>25</v>
      </c>
      <c r="I453" s="5">
        <v>44682</v>
      </c>
      <c r="J453" s="6">
        <v>0</v>
      </c>
      <c r="K453" s="6">
        <v>0</v>
      </c>
      <c r="L453" s="6">
        <v>275.31900000000002</v>
      </c>
      <c r="M453" s="6">
        <v>275.31900000000002</v>
      </c>
      <c r="N453" s="6">
        <v>275.31900000000002</v>
      </c>
      <c r="O453" s="6">
        <v>275.31900000000002</v>
      </c>
      <c r="P453" s="6">
        <v>638</v>
      </c>
      <c r="Q453" s="4" t="s">
        <v>26</v>
      </c>
      <c r="R453" s="4">
        <v>0</v>
      </c>
      <c r="S453" s="4" t="s">
        <v>232</v>
      </c>
      <c r="T453" s="4" t="s">
        <v>357</v>
      </c>
      <c r="U453" s="4">
        <v>0</v>
      </c>
      <c r="V453" s="4">
        <v>30</v>
      </c>
      <c r="W453" s="4">
        <v>55</v>
      </c>
    </row>
    <row r="454" spans="1:23" ht="11.25" customHeight="1" x14ac:dyDescent="0.25">
      <c r="A454" s="4" t="s">
        <v>28</v>
      </c>
      <c r="B454" s="4" t="s">
        <v>40</v>
      </c>
      <c r="C454" s="4" t="s">
        <v>23</v>
      </c>
      <c r="D454" s="4" t="s">
        <v>41</v>
      </c>
      <c r="E454" s="4" t="s">
        <v>25</v>
      </c>
      <c r="F454" s="4" t="s">
        <v>25</v>
      </c>
      <c r="G454" s="4" t="s">
        <v>25</v>
      </c>
      <c r="H454" s="4" t="s">
        <v>25</v>
      </c>
      <c r="I454" s="5">
        <v>44682</v>
      </c>
      <c r="J454" s="6">
        <v>0</v>
      </c>
      <c r="K454" s="6">
        <v>0</v>
      </c>
      <c r="L454" s="6">
        <v>-0.96399999999999997</v>
      </c>
      <c r="M454" s="6">
        <v>-0.96399999999999997</v>
      </c>
      <c r="N454" s="6">
        <v>-0.96399999999999997</v>
      </c>
      <c r="O454" s="6">
        <v>-0.96399999999999997</v>
      </c>
      <c r="P454" s="6">
        <v>2</v>
      </c>
      <c r="Q454" s="4" t="s">
        <v>26</v>
      </c>
      <c r="R454" s="4">
        <v>0</v>
      </c>
      <c r="S454" s="4" t="s">
        <v>232</v>
      </c>
      <c r="T454" s="4" t="s">
        <v>357</v>
      </c>
      <c r="U454" s="4">
        <v>0</v>
      </c>
      <c r="V454" s="4">
        <v>30</v>
      </c>
      <c r="W454" s="4">
        <v>55</v>
      </c>
    </row>
    <row r="455" spans="1:23" ht="11.25" customHeight="1" x14ac:dyDescent="0.25">
      <c r="A455" s="4" t="s">
        <v>21</v>
      </c>
      <c r="B455" s="4" t="s">
        <v>40</v>
      </c>
      <c r="C455" s="4" t="s">
        <v>23</v>
      </c>
      <c r="D455" s="4" t="s">
        <v>41</v>
      </c>
      <c r="E455" s="4" t="s">
        <v>25</v>
      </c>
      <c r="F455" s="4" t="s">
        <v>25</v>
      </c>
      <c r="G455" s="4" t="s">
        <v>25</v>
      </c>
      <c r="H455" s="4" t="s">
        <v>25</v>
      </c>
      <c r="I455" s="5">
        <v>44713</v>
      </c>
      <c r="J455" s="6">
        <v>0</v>
      </c>
      <c r="K455" s="6">
        <v>0</v>
      </c>
      <c r="L455" s="6">
        <v>2534.9430000000002</v>
      </c>
      <c r="M455" s="6">
        <v>2534.9430000000002</v>
      </c>
      <c r="N455" s="6">
        <v>2534.9430000000002</v>
      </c>
      <c r="O455" s="6">
        <v>2534.9430000000002</v>
      </c>
      <c r="P455" s="6">
        <v>5536</v>
      </c>
      <c r="Q455" s="4" t="s">
        <v>26</v>
      </c>
      <c r="R455" s="4">
        <v>0</v>
      </c>
      <c r="S455" s="4" t="s">
        <v>233</v>
      </c>
      <c r="T455" s="4" t="s">
        <v>358</v>
      </c>
      <c r="U455" s="4">
        <v>0</v>
      </c>
      <c r="V455" s="4">
        <v>30</v>
      </c>
      <c r="W455" s="4">
        <v>55</v>
      </c>
    </row>
    <row r="456" spans="1:23" ht="11.25" customHeight="1" x14ac:dyDescent="0.25">
      <c r="A456" s="4" t="s">
        <v>27</v>
      </c>
      <c r="B456" s="4" t="s">
        <v>40</v>
      </c>
      <c r="C456" s="4" t="s">
        <v>23</v>
      </c>
      <c r="D456" s="4" t="s">
        <v>41</v>
      </c>
      <c r="E456" s="4" t="s">
        <v>25</v>
      </c>
      <c r="F456" s="4" t="s">
        <v>25</v>
      </c>
      <c r="G456" s="4" t="s">
        <v>25</v>
      </c>
      <c r="H456" s="4" t="s">
        <v>25</v>
      </c>
      <c r="I456" s="5">
        <v>44713</v>
      </c>
      <c r="J456" s="6">
        <v>0</v>
      </c>
      <c r="K456" s="6">
        <v>0</v>
      </c>
      <c r="L456" s="6">
        <v>-2.081</v>
      </c>
      <c r="M456" s="6">
        <v>-2.081</v>
      </c>
      <c r="N456" s="6">
        <v>-2.081</v>
      </c>
      <c r="O456" s="6">
        <v>-2.081</v>
      </c>
      <c r="P456" s="6">
        <v>0</v>
      </c>
      <c r="Q456" s="4" t="s">
        <v>26</v>
      </c>
      <c r="R456" s="4">
        <v>0</v>
      </c>
      <c r="S456" s="4" t="s">
        <v>233</v>
      </c>
      <c r="T456" s="4" t="s">
        <v>358</v>
      </c>
      <c r="U456" s="4">
        <v>0</v>
      </c>
      <c r="V456" s="4">
        <v>30</v>
      </c>
      <c r="W456" s="4">
        <v>55</v>
      </c>
    </row>
    <row r="457" spans="1:23" ht="11.25" customHeight="1" x14ac:dyDescent="0.25">
      <c r="A457" s="4" t="s">
        <v>28</v>
      </c>
      <c r="B457" s="4" t="s">
        <v>40</v>
      </c>
      <c r="C457" s="4" t="s">
        <v>23</v>
      </c>
      <c r="D457" s="4" t="s">
        <v>41</v>
      </c>
      <c r="E457" s="4" t="s">
        <v>25</v>
      </c>
      <c r="F457" s="4" t="s">
        <v>25</v>
      </c>
      <c r="G457" s="4" t="s">
        <v>25</v>
      </c>
      <c r="H457" s="4" t="s">
        <v>25</v>
      </c>
      <c r="I457" s="5">
        <v>44713</v>
      </c>
      <c r="J457" s="6">
        <v>0</v>
      </c>
      <c r="K457" s="6">
        <v>0</v>
      </c>
      <c r="L457" s="6">
        <v>334.767</v>
      </c>
      <c r="M457" s="6">
        <v>334.767</v>
      </c>
      <c r="N457" s="6">
        <v>334.767</v>
      </c>
      <c r="O457" s="6">
        <v>334.767</v>
      </c>
      <c r="P457" s="6">
        <v>616</v>
      </c>
      <c r="Q457" s="4" t="s">
        <v>26</v>
      </c>
      <c r="R457" s="4">
        <v>0</v>
      </c>
      <c r="S457" s="4" t="s">
        <v>233</v>
      </c>
      <c r="T457" s="4" t="s">
        <v>358</v>
      </c>
      <c r="U457" s="4">
        <v>0</v>
      </c>
      <c r="V457" s="4">
        <v>30</v>
      </c>
      <c r="W457" s="4">
        <v>55</v>
      </c>
    </row>
    <row r="458" spans="1:23" ht="11.25" customHeight="1" x14ac:dyDescent="0.25">
      <c r="A458" s="4" t="s">
        <v>21</v>
      </c>
      <c r="B458" s="4" t="s">
        <v>40</v>
      </c>
      <c r="C458" s="4" t="s">
        <v>23</v>
      </c>
      <c r="D458" s="4" t="s">
        <v>41</v>
      </c>
      <c r="E458" s="4" t="s">
        <v>25</v>
      </c>
      <c r="F458" s="4" t="s">
        <v>25</v>
      </c>
      <c r="G458" s="4" t="s">
        <v>25</v>
      </c>
      <c r="H458" s="4" t="s">
        <v>25</v>
      </c>
      <c r="I458" s="5">
        <v>44743</v>
      </c>
      <c r="J458" s="6">
        <v>0</v>
      </c>
      <c r="K458" s="6">
        <v>0</v>
      </c>
      <c r="L458" s="6">
        <v>2482.971</v>
      </c>
      <c r="M458" s="6">
        <v>2482.971</v>
      </c>
      <c r="N458" s="6">
        <v>2482.971</v>
      </c>
      <c r="O458" s="6">
        <v>2482.971</v>
      </c>
      <c r="P458" s="6">
        <v>5517</v>
      </c>
      <c r="Q458" s="4" t="s">
        <v>26</v>
      </c>
      <c r="R458" s="4">
        <v>0</v>
      </c>
      <c r="S458" s="4" t="s">
        <v>234</v>
      </c>
      <c r="T458" s="4" t="s">
        <v>359</v>
      </c>
      <c r="U458" s="4">
        <v>0</v>
      </c>
      <c r="V458" s="4">
        <v>30</v>
      </c>
      <c r="W458" s="4">
        <v>55</v>
      </c>
    </row>
    <row r="459" spans="1:23" ht="11.25" customHeight="1" x14ac:dyDescent="0.25">
      <c r="A459" s="4" t="s">
        <v>27</v>
      </c>
      <c r="B459" s="4" t="s">
        <v>40</v>
      </c>
      <c r="C459" s="4" t="s">
        <v>23</v>
      </c>
      <c r="D459" s="4" t="s">
        <v>41</v>
      </c>
      <c r="E459" s="4" t="s">
        <v>25</v>
      </c>
      <c r="F459" s="4" t="s">
        <v>25</v>
      </c>
      <c r="G459" s="4" t="s">
        <v>25</v>
      </c>
      <c r="H459" s="4" t="s">
        <v>25</v>
      </c>
      <c r="I459" s="5">
        <v>44743</v>
      </c>
      <c r="J459" s="6">
        <v>0</v>
      </c>
      <c r="K459" s="6">
        <v>0</v>
      </c>
      <c r="L459" s="6">
        <v>-0.66100000000000003</v>
      </c>
      <c r="M459" s="6">
        <v>-0.66100000000000003</v>
      </c>
      <c r="N459" s="6">
        <v>-0.66100000000000003</v>
      </c>
      <c r="O459" s="6">
        <v>-0.66100000000000003</v>
      </c>
      <c r="P459" s="6">
        <v>0</v>
      </c>
      <c r="Q459" s="4" t="s">
        <v>26</v>
      </c>
      <c r="R459" s="4">
        <v>0</v>
      </c>
      <c r="S459" s="4" t="s">
        <v>234</v>
      </c>
      <c r="T459" s="4" t="s">
        <v>359</v>
      </c>
      <c r="U459" s="4">
        <v>0</v>
      </c>
      <c r="V459" s="4">
        <v>30</v>
      </c>
      <c r="W459" s="4">
        <v>55</v>
      </c>
    </row>
    <row r="460" spans="1:23" ht="11.25" customHeight="1" x14ac:dyDescent="0.25">
      <c r="A460" s="4" t="s">
        <v>28</v>
      </c>
      <c r="B460" s="4" t="s">
        <v>40</v>
      </c>
      <c r="C460" s="4" t="s">
        <v>23</v>
      </c>
      <c r="D460" s="4" t="s">
        <v>41</v>
      </c>
      <c r="E460" s="4" t="s">
        <v>25</v>
      </c>
      <c r="F460" s="4" t="s">
        <v>25</v>
      </c>
      <c r="G460" s="4" t="s">
        <v>25</v>
      </c>
      <c r="H460" s="4" t="s">
        <v>25</v>
      </c>
      <c r="I460" s="5">
        <v>44743</v>
      </c>
      <c r="J460" s="6">
        <v>0</v>
      </c>
      <c r="K460" s="6">
        <v>0</v>
      </c>
      <c r="L460" s="6">
        <v>319.28100000000001</v>
      </c>
      <c r="M460" s="6">
        <v>319.28100000000001</v>
      </c>
      <c r="N460" s="6">
        <v>319.28100000000001</v>
      </c>
      <c r="O460" s="6">
        <v>319.28100000000001</v>
      </c>
      <c r="P460" s="6">
        <v>640</v>
      </c>
      <c r="Q460" s="4" t="s">
        <v>26</v>
      </c>
      <c r="R460" s="4">
        <v>0</v>
      </c>
      <c r="S460" s="4" t="s">
        <v>234</v>
      </c>
      <c r="T460" s="4" t="s">
        <v>359</v>
      </c>
      <c r="U460" s="4">
        <v>0</v>
      </c>
      <c r="V460" s="4">
        <v>30</v>
      </c>
      <c r="W460" s="4">
        <v>55</v>
      </c>
    </row>
    <row r="461" spans="1:23" ht="11.25" customHeight="1" x14ac:dyDescent="0.25">
      <c r="A461" s="4" t="s">
        <v>21</v>
      </c>
      <c r="B461" s="4" t="s">
        <v>40</v>
      </c>
      <c r="C461" s="4" t="s">
        <v>23</v>
      </c>
      <c r="D461" s="4" t="s">
        <v>41</v>
      </c>
      <c r="E461" s="4" t="s">
        <v>25</v>
      </c>
      <c r="F461" s="4" t="s">
        <v>25</v>
      </c>
      <c r="G461" s="4" t="s">
        <v>25</v>
      </c>
      <c r="H461" s="4" t="s">
        <v>25</v>
      </c>
      <c r="I461" s="5">
        <v>44774</v>
      </c>
      <c r="J461" s="6">
        <v>0</v>
      </c>
      <c r="K461" s="6">
        <v>0</v>
      </c>
      <c r="L461" s="6">
        <v>2513.9899999999998</v>
      </c>
      <c r="M461" s="6">
        <v>2513.9899999999998</v>
      </c>
      <c r="N461" s="6">
        <v>2513.9899999999998</v>
      </c>
      <c r="O461" s="6">
        <v>2513.9899999999998</v>
      </c>
      <c r="P461" s="6">
        <v>5470</v>
      </c>
      <c r="Q461" s="4" t="s">
        <v>26</v>
      </c>
      <c r="R461" s="4">
        <v>0</v>
      </c>
      <c r="S461" s="4" t="s">
        <v>235</v>
      </c>
      <c r="T461" s="4" t="s">
        <v>360</v>
      </c>
      <c r="U461" s="4">
        <v>0</v>
      </c>
      <c r="V461" s="4">
        <v>30</v>
      </c>
      <c r="W461" s="4">
        <v>55</v>
      </c>
    </row>
    <row r="462" spans="1:23" ht="11.25" customHeight="1" x14ac:dyDescent="0.25">
      <c r="A462" s="4" t="s">
        <v>27</v>
      </c>
      <c r="B462" s="4" t="s">
        <v>40</v>
      </c>
      <c r="C462" s="4" t="s">
        <v>23</v>
      </c>
      <c r="D462" s="4" t="s">
        <v>41</v>
      </c>
      <c r="E462" s="4" t="s">
        <v>25</v>
      </c>
      <c r="F462" s="4" t="s">
        <v>25</v>
      </c>
      <c r="G462" s="4" t="s">
        <v>25</v>
      </c>
      <c r="H462" s="4" t="s">
        <v>25</v>
      </c>
      <c r="I462" s="5">
        <v>44774</v>
      </c>
      <c r="J462" s="6">
        <v>0</v>
      </c>
      <c r="K462" s="6">
        <v>0</v>
      </c>
      <c r="L462" s="6">
        <v>-7.1959999999999997</v>
      </c>
      <c r="M462" s="6">
        <v>-7.1959999999999997</v>
      </c>
      <c r="N462" s="6">
        <v>-7.1959999999999997</v>
      </c>
      <c r="O462" s="6">
        <v>-7.1959999999999997</v>
      </c>
      <c r="P462" s="6">
        <v>0</v>
      </c>
      <c r="Q462" s="4" t="s">
        <v>26</v>
      </c>
      <c r="R462" s="4">
        <v>0</v>
      </c>
      <c r="S462" s="4" t="s">
        <v>235</v>
      </c>
      <c r="T462" s="4" t="s">
        <v>360</v>
      </c>
      <c r="U462" s="4">
        <v>0</v>
      </c>
      <c r="V462" s="4">
        <v>30</v>
      </c>
      <c r="W462" s="4">
        <v>55</v>
      </c>
    </row>
    <row r="463" spans="1:23" ht="11.25" customHeight="1" x14ac:dyDescent="0.25">
      <c r="A463" s="4" t="s">
        <v>28</v>
      </c>
      <c r="B463" s="4" t="s">
        <v>40</v>
      </c>
      <c r="C463" s="4" t="s">
        <v>23</v>
      </c>
      <c r="D463" s="4" t="s">
        <v>41</v>
      </c>
      <c r="E463" s="4" t="s">
        <v>25</v>
      </c>
      <c r="F463" s="4" t="s">
        <v>25</v>
      </c>
      <c r="G463" s="4" t="s">
        <v>25</v>
      </c>
      <c r="H463" s="4" t="s">
        <v>25</v>
      </c>
      <c r="I463" s="5">
        <v>44774</v>
      </c>
      <c r="J463" s="6">
        <v>0</v>
      </c>
      <c r="K463" s="6">
        <v>0</v>
      </c>
      <c r="L463" s="6">
        <v>276.565</v>
      </c>
      <c r="M463" s="6">
        <v>276.565</v>
      </c>
      <c r="N463" s="6">
        <v>276.565</v>
      </c>
      <c r="O463" s="6">
        <v>276.565</v>
      </c>
      <c r="P463" s="6">
        <v>684</v>
      </c>
      <c r="Q463" s="4" t="s">
        <v>26</v>
      </c>
      <c r="R463" s="4">
        <v>0</v>
      </c>
      <c r="S463" s="4" t="s">
        <v>235</v>
      </c>
      <c r="T463" s="4" t="s">
        <v>360</v>
      </c>
      <c r="U463" s="4">
        <v>0</v>
      </c>
      <c r="V463" s="4">
        <v>30</v>
      </c>
      <c r="W463" s="4">
        <v>55</v>
      </c>
    </row>
    <row r="464" spans="1:23" ht="11.25" customHeight="1" x14ac:dyDescent="0.25">
      <c r="A464" s="4" t="s">
        <v>21</v>
      </c>
      <c r="B464" s="4" t="s">
        <v>33</v>
      </c>
      <c r="C464" s="4" t="s">
        <v>23</v>
      </c>
      <c r="D464" s="4" t="s">
        <v>39</v>
      </c>
      <c r="E464" s="4" t="s">
        <v>25</v>
      </c>
      <c r="F464" s="4" t="s">
        <v>25</v>
      </c>
      <c r="G464" s="4" t="s">
        <v>25</v>
      </c>
      <c r="H464" s="4" t="s">
        <v>25</v>
      </c>
      <c r="I464" s="5">
        <v>44440</v>
      </c>
      <c r="J464" s="6">
        <v>0</v>
      </c>
      <c r="K464" s="6">
        <v>0</v>
      </c>
      <c r="L464" s="6">
        <v>220.108</v>
      </c>
      <c r="M464" s="6">
        <v>220.108</v>
      </c>
      <c r="N464" s="6">
        <v>220.108</v>
      </c>
      <c r="O464" s="6">
        <v>220.108</v>
      </c>
      <c r="P464" s="6">
        <v>581</v>
      </c>
      <c r="Q464" s="4" t="s">
        <v>26</v>
      </c>
      <c r="R464" s="4">
        <v>0</v>
      </c>
      <c r="S464" s="4" t="s">
        <v>236</v>
      </c>
      <c r="T464" s="4" t="s">
        <v>361</v>
      </c>
      <c r="U464" s="4">
        <v>0</v>
      </c>
      <c r="V464" s="4">
        <v>72</v>
      </c>
      <c r="W464" s="4">
        <v>83</v>
      </c>
    </row>
    <row r="465" spans="1:23" ht="11.25" customHeight="1" x14ac:dyDescent="0.25">
      <c r="A465" s="4" t="s">
        <v>28</v>
      </c>
      <c r="B465" s="4" t="s">
        <v>33</v>
      </c>
      <c r="C465" s="4" t="s">
        <v>23</v>
      </c>
      <c r="D465" s="4" t="s">
        <v>39</v>
      </c>
      <c r="E465" s="4" t="s">
        <v>25</v>
      </c>
      <c r="F465" s="4" t="s">
        <v>25</v>
      </c>
      <c r="G465" s="4" t="s">
        <v>25</v>
      </c>
      <c r="H465" s="4" t="s">
        <v>25</v>
      </c>
      <c r="I465" s="5">
        <v>44440</v>
      </c>
      <c r="J465" s="6">
        <v>0</v>
      </c>
      <c r="K465" s="6">
        <v>0</v>
      </c>
      <c r="L465" s="6">
        <v>6.907</v>
      </c>
      <c r="M465" s="6">
        <v>6.907</v>
      </c>
      <c r="N465" s="6">
        <v>6.907</v>
      </c>
      <c r="O465" s="6">
        <v>6.907</v>
      </c>
      <c r="P465" s="6">
        <v>24</v>
      </c>
      <c r="Q465" s="4" t="s">
        <v>26</v>
      </c>
      <c r="R465" s="4">
        <v>0</v>
      </c>
      <c r="S465" s="4" t="s">
        <v>236</v>
      </c>
      <c r="T465" s="4" t="s">
        <v>361</v>
      </c>
      <c r="U465" s="4">
        <v>0</v>
      </c>
      <c r="V465" s="4">
        <v>72</v>
      </c>
      <c r="W465" s="4">
        <v>83</v>
      </c>
    </row>
    <row r="466" spans="1:23" ht="11.25" customHeight="1" x14ac:dyDescent="0.25">
      <c r="A466" s="4" t="s">
        <v>21</v>
      </c>
      <c r="B466" s="4" t="s">
        <v>33</v>
      </c>
      <c r="C466" s="4" t="s">
        <v>23</v>
      </c>
      <c r="D466" s="4" t="s">
        <v>39</v>
      </c>
      <c r="E466" s="4" t="s">
        <v>25</v>
      </c>
      <c r="F466" s="4" t="s">
        <v>25</v>
      </c>
      <c r="G466" s="4" t="s">
        <v>25</v>
      </c>
      <c r="H466" s="4" t="s">
        <v>25</v>
      </c>
      <c r="I466" s="5">
        <v>44470</v>
      </c>
      <c r="J466" s="6">
        <v>0</v>
      </c>
      <c r="K466" s="6">
        <v>0</v>
      </c>
      <c r="L466" s="6">
        <v>194.86199999999999</v>
      </c>
      <c r="M466" s="6">
        <v>194.86199999999999</v>
      </c>
      <c r="N466" s="6">
        <v>194.86199999999999</v>
      </c>
      <c r="O466" s="6">
        <v>194.86199999999999</v>
      </c>
      <c r="P466" s="6">
        <v>556</v>
      </c>
      <c r="Q466" s="4" t="s">
        <v>26</v>
      </c>
      <c r="R466" s="4">
        <v>0</v>
      </c>
      <c r="S466" s="4" t="s">
        <v>237</v>
      </c>
      <c r="T466" s="4" t="s">
        <v>362</v>
      </c>
      <c r="U466" s="4">
        <v>0</v>
      </c>
      <c r="V466" s="4">
        <v>72</v>
      </c>
      <c r="W466" s="4">
        <v>83</v>
      </c>
    </row>
    <row r="467" spans="1:23" ht="11.25" customHeight="1" x14ac:dyDescent="0.25">
      <c r="A467" s="4" t="s">
        <v>28</v>
      </c>
      <c r="B467" s="4" t="s">
        <v>33</v>
      </c>
      <c r="C467" s="4" t="s">
        <v>23</v>
      </c>
      <c r="D467" s="4" t="s">
        <v>39</v>
      </c>
      <c r="E467" s="4" t="s">
        <v>25</v>
      </c>
      <c r="F467" s="4" t="s">
        <v>25</v>
      </c>
      <c r="G467" s="4" t="s">
        <v>25</v>
      </c>
      <c r="H467" s="4" t="s">
        <v>25</v>
      </c>
      <c r="I467" s="5">
        <v>44470</v>
      </c>
      <c r="J467" s="6">
        <v>0</v>
      </c>
      <c r="K467" s="6">
        <v>0</v>
      </c>
      <c r="L467" s="6">
        <v>4.9320000000000004</v>
      </c>
      <c r="M467" s="6">
        <v>4.9320000000000004</v>
      </c>
      <c r="N467" s="6">
        <v>4.9320000000000004</v>
      </c>
      <c r="O467" s="6">
        <v>4.9320000000000004</v>
      </c>
      <c r="P467" s="6">
        <v>24</v>
      </c>
      <c r="Q467" s="4" t="s">
        <v>26</v>
      </c>
      <c r="R467" s="4">
        <v>0</v>
      </c>
      <c r="S467" s="4" t="s">
        <v>237</v>
      </c>
      <c r="T467" s="4" t="s">
        <v>362</v>
      </c>
      <c r="U467" s="4">
        <v>0</v>
      </c>
      <c r="V467" s="4">
        <v>72</v>
      </c>
      <c r="W467" s="4">
        <v>83</v>
      </c>
    </row>
    <row r="468" spans="1:23" ht="11.25" customHeight="1" x14ac:dyDescent="0.25">
      <c r="A468" s="4" t="s">
        <v>21</v>
      </c>
      <c r="B468" s="4" t="s">
        <v>33</v>
      </c>
      <c r="C468" s="4" t="s">
        <v>23</v>
      </c>
      <c r="D468" s="4" t="s">
        <v>39</v>
      </c>
      <c r="E468" s="4" t="s">
        <v>25</v>
      </c>
      <c r="F468" s="4" t="s">
        <v>25</v>
      </c>
      <c r="G468" s="4" t="s">
        <v>25</v>
      </c>
      <c r="H468" s="4" t="s">
        <v>25</v>
      </c>
      <c r="I468" s="5">
        <v>44501</v>
      </c>
      <c r="J468" s="6">
        <v>0</v>
      </c>
      <c r="K468" s="6">
        <v>0</v>
      </c>
      <c r="L468" s="6">
        <v>205.809</v>
      </c>
      <c r="M468" s="6">
        <v>205.809</v>
      </c>
      <c r="N468" s="6">
        <v>205.809</v>
      </c>
      <c r="O468" s="6">
        <v>205.809</v>
      </c>
      <c r="P468" s="6">
        <v>555</v>
      </c>
      <c r="Q468" s="4" t="s">
        <v>26</v>
      </c>
      <c r="R468" s="4">
        <v>0</v>
      </c>
      <c r="S468" s="4" t="s">
        <v>238</v>
      </c>
      <c r="T468" s="4" t="s">
        <v>363</v>
      </c>
      <c r="U468" s="4">
        <v>0</v>
      </c>
      <c r="V468" s="4">
        <v>72</v>
      </c>
      <c r="W468" s="4">
        <v>83</v>
      </c>
    </row>
    <row r="469" spans="1:23" ht="11.25" customHeight="1" x14ac:dyDescent="0.25">
      <c r="A469" s="4" t="s">
        <v>28</v>
      </c>
      <c r="B469" s="4" t="s">
        <v>33</v>
      </c>
      <c r="C469" s="4" t="s">
        <v>23</v>
      </c>
      <c r="D469" s="4" t="s">
        <v>39</v>
      </c>
      <c r="E469" s="4" t="s">
        <v>25</v>
      </c>
      <c r="F469" s="4" t="s">
        <v>25</v>
      </c>
      <c r="G469" s="4" t="s">
        <v>25</v>
      </c>
      <c r="H469" s="4" t="s">
        <v>25</v>
      </c>
      <c r="I469" s="5">
        <v>44501</v>
      </c>
      <c r="J469" s="6">
        <v>0</v>
      </c>
      <c r="K469" s="6">
        <v>0</v>
      </c>
      <c r="L469" s="6">
        <v>4.6859999999999999</v>
      </c>
      <c r="M469" s="6">
        <v>4.6859999999999999</v>
      </c>
      <c r="N469" s="6">
        <v>4.6859999999999999</v>
      </c>
      <c r="O469" s="6">
        <v>4.6859999999999999</v>
      </c>
      <c r="P469" s="6">
        <v>31</v>
      </c>
      <c r="Q469" s="4" t="s">
        <v>26</v>
      </c>
      <c r="R469" s="4">
        <v>0</v>
      </c>
      <c r="S469" s="4" t="s">
        <v>238</v>
      </c>
      <c r="T469" s="4" t="s">
        <v>363</v>
      </c>
      <c r="U469" s="4">
        <v>0</v>
      </c>
      <c r="V469" s="4">
        <v>72</v>
      </c>
      <c r="W469" s="4">
        <v>83</v>
      </c>
    </row>
    <row r="470" spans="1:23" ht="11.25" customHeight="1" x14ac:dyDescent="0.25">
      <c r="A470" s="4" t="s">
        <v>21</v>
      </c>
      <c r="B470" s="4" t="s">
        <v>33</v>
      </c>
      <c r="C470" s="4" t="s">
        <v>23</v>
      </c>
      <c r="D470" s="4" t="s">
        <v>39</v>
      </c>
      <c r="E470" s="4" t="s">
        <v>25</v>
      </c>
      <c r="F470" s="4" t="s">
        <v>25</v>
      </c>
      <c r="G470" s="4" t="s">
        <v>25</v>
      </c>
      <c r="H470" s="4" t="s">
        <v>25</v>
      </c>
      <c r="I470" s="5">
        <v>44531</v>
      </c>
      <c r="J470" s="6">
        <v>0</v>
      </c>
      <c r="K470" s="6">
        <v>0</v>
      </c>
      <c r="L470" s="6">
        <v>240.87700000000001</v>
      </c>
      <c r="M470" s="6">
        <v>240.87700000000001</v>
      </c>
      <c r="N470" s="6">
        <v>240.87700000000001</v>
      </c>
      <c r="O470" s="6">
        <v>240.87700000000001</v>
      </c>
      <c r="P470" s="6">
        <v>581</v>
      </c>
      <c r="Q470" s="4" t="s">
        <v>26</v>
      </c>
      <c r="R470" s="4">
        <v>0</v>
      </c>
      <c r="S470" s="4" t="s">
        <v>239</v>
      </c>
      <c r="T470" s="4" t="s">
        <v>364</v>
      </c>
      <c r="U470" s="4">
        <v>0</v>
      </c>
      <c r="V470" s="4">
        <v>72</v>
      </c>
      <c r="W470" s="4">
        <v>83</v>
      </c>
    </row>
    <row r="471" spans="1:23" ht="11.25" customHeight="1" x14ac:dyDescent="0.25">
      <c r="A471" s="4" t="s">
        <v>28</v>
      </c>
      <c r="B471" s="4" t="s">
        <v>33</v>
      </c>
      <c r="C471" s="4" t="s">
        <v>23</v>
      </c>
      <c r="D471" s="4" t="s">
        <v>39</v>
      </c>
      <c r="E471" s="4" t="s">
        <v>25</v>
      </c>
      <c r="F471" s="4" t="s">
        <v>25</v>
      </c>
      <c r="G471" s="4" t="s">
        <v>25</v>
      </c>
      <c r="H471" s="4" t="s">
        <v>25</v>
      </c>
      <c r="I471" s="5">
        <v>44531</v>
      </c>
      <c r="J471" s="6">
        <v>0</v>
      </c>
      <c r="K471" s="6">
        <v>0</v>
      </c>
      <c r="L471" s="6">
        <v>4.6589999999999998</v>
      </c>
      <c r="M471" s="6">
        <v>4.6589999999999998</v>
      </c>
      <c r="N471" s="6">
        <v>4.6589999999999998</v>
      </c>
      <c r="O471" s="6">
        <v>4.6589999999999998</v>
      </c>
      <c r="P471" s="6">
        <v>32</v>
      </c>
      <c r="Q471" s="4" t="s">
        <v>26</v>
      </c>
      <c r="R471" s="4">
        <v>0</v>
      </c>
      <c r="S471" s="4" t="s">
        <v>239</v>
      </c>
      <c r="T471" s="4" t="s">
        <v>364</v>
      </c>
      <c r="U471" s="4">
        <v>0</v>
      </c>
      <c r="V471" s="4">
        <v>72</v>
      </c>
      <c r="W471" s="4">
        <v>83</v>
      </c>
    </row>
    <row r="472" spans="1:23" ht="11.25" customHeight="1" x14ac:dyDescent="0.25">
      <c r="A472" s="4" t="s">
        <v>21</v>
      </c>
      <c r="B472" s="4" t="s">
        <v>33</v>
      </c>
      <c r="C472" s="4" t="s">
        <v>23</v>
      </c>
      <c r="D472" s="4" t="s">
        <v>39</v>
      </c>
      <c r="E472" s="4" t="s">
        <v>25</v>
      </c>
      <c r="F472" s="4" t="s">
        <v>25</v>
      </c>
      <c r="G472" s="4" t="s">
        <v>25</v>
      </c>
      <c r="H472" s="4" t="s">
        <v>25</v>
      </c>
      <c r="I472" s="5">
        <v>44562</v>
      </c>
      <c r="J472" s="6">
        <v>0</v>
      </c>
      <c r="K472" s="6">
        <v>0</v>
      </c>
      <c r="L472" s="6">
        <v>226.01300000000001</v>
      </c>
      <c r="M472" s="6">
        <v>226.01300000000001</v>
      </c>
      <c r="N472" s="6">
        <v>226.01300000000001</v>
      </c>
      <c r="O472" s="6">
        <v>226.01300000000001</v>
      </c>
      <c r="P472" s="6">
        <v>576</v>
      </c>
      <c r="Q472" s="4" t="s">
        <v>26</v>
      </c>
      <c r="R472" s="4">
        <v>0</v>
      </c>
      <c r="S472" s="4" t="s">
        <v>240</v>
      </c>
      <c r="T472" s="4" t="s">
        <v>365</v>
      </c>
      <c r="U472" s="4">
        <v>0</v>
      </c>
      <c r="V472" s="4">
        <v>72</v>
      </c>
      <c r="W472" s="4">
        <v>83</v>
      </c>
    </row>
    <row r="473" spans="1:23" ht="11.25" customHeight="1" x14ac:dyDescent="0.25">
      <c r="A473" s="4" t="s">
        <v>27</v>
      </c>
      <c r="B473" s="4" t="s">
        <v>33</v>
      </c>
      <c r="C473" s="4" t="s">
        <v>23</v>
      </c>
      <c r="D473" s="4" t="s">
        <v>39</v>
      </c>
      <c r="E473" s="4" t="s">
        <v>25</v>
      </c>
      <c r="F473" s="4" t="s">
        <v>25</v>
      </c>
      <c r="G473" s="4" t="s">
        <v>25</v>
      </c>
      <c r="H473" s="4" t="s">
        <v>25</v>
      </c>
      <c r="I473" s="5">
        <v>44562</v>
      </c>
      <c r="J473" s="6">
        <v>0</v>
      </c>
      <c r="K473" s="6">
        <v>0</v>
      </c>
      <c r="L473" s="6">
        <v>-0.16</v>
      </c>
      <c r="M473" s="6">
        <v>-0.16</v>
      </c>
      <c r="N473" s="6">
        <v>-0.16</v>
      </c>
      <c r="O473" s="6">
        <v>-0.16</v>
      </c>
      <c r="P473" s="6">
        <v>0</v>
      </c>
      <c r="Q473" s="4" t="s">
        <v>26</v>
      </c>
      <c r="R473" s="4">
        <v>0</v>
      </c>
      <c r="S473" s="4" t="s">
        <v>240</v>
      </c>
      <c r="T473" s="4" t="s">
        <v>365</v>
      </c>
      <c r="U473" s="4">
        <v>0</v>
      </c>
      <c r="V473" s="4">
        <v>72</v>
      </c>
      <c r="W473" s="4">
        <v>83</v>
      </c>
    </row>
    <row r="474" spans="1:23" ht="11.25" customHeight="1" x14ac:dyDescent="0.25">
      <c r="A474" s="4" t="s">
        <v>28</v>
      </c>
      <c r="B474" s="4" t="s">
        <v>33</v>
      </c>
      <c r="C474" s="4" t="s">
        <v>23</v>
      </c>
      <c r="D474" s="4" t="s">
        <v>39</v>
      </c>
      <c r="E474" s="4" t="s">
        <v>25</v>
      </c>
      <c r="F474" s="4" t="s">
        <v>25</v>
      </c>
      <c r="G474" s="4" t="s">
        <v>25</v>
      </c>
      <c r="H474" s="4" t="s">
        <v>25</v>
      </c>
      <c r="I474" s="5">
        <v>44562</v>
      </c>
      <c r="J474" s="6">
        <v>0</v>
      </c>
      <c r="K474" s="6">
        <v>0</v>
      </c>
      <c r="L474" s="6">
        <v>8.4700000000000006</v>
      </c>
      <c r="M474" s="6">
        <v>8.4700000000000006</v>
      </c>
      <c r="N474" s="6">
        <v>8.4700000000000006</v>
      </c>
      <c r="O474" s="6">
        <v>8.4700000000000006</v>
      </c>
      <c r="P474" s="6">
        <v>34</v>
      </c>
      <c r="Q474" s="4" t="s">
        <v>26</v>
      </c>
      <c r="R474" s="4">
        <v>0</v>
      </c>
      <c r="S474" s="4" t="s">
        <v>240</v>
      </c>
      <c r="T474" s="4" t="s">
        <v>365</v>
      </c>
      <c r="U474" s="4">
        <v>0</v>
      </c>
      <c r="V474" s="4">
        <v>72</v>
      </c>
      <c r="W474" s="4">
        <v>83</v>
      </c>
    </row>
    <row r="475" spans="1:23" ht="11.25" customHeight="1" x14ac:dyDescent="0.25">
      <c r="A475" s="4" t="s">
        <v>21</v>
      </c>
      <c r="B475" s="4" t="s">
        <v>33</v>
      </c>
      <c r="C475" s="4" t="s">
        <v>23</v>
      </c>
      <c r="D475" s="4" t="s">
        <v>39</v>
      </c>
      <c r="E475" s="4" t="s">
        <v>25</v>
      </c>
      <c r="F475" s="4" t="s">
        <v>25</v>
      </c>
      <c r="G475" s="4" t="s">
        <v>25</v>
      </c>
      <c r="H475" s="4" t="s">
        <v>25</v>
      </c>
      <c r="I475" s="5">
        <v>44593</v>
      </c>
      <c r="J475" s="6">
        <v>0</v>
      </c>
      <c r="K475" s="6">
        <v>0</v>
      </c>
      <c r="L475" s="6">
        <v>247.99199999999999</v>
      </c>
      <c r="M475" s="6">
        <v>247.99199999999999</v>
      </c>
      <c r="N475" s="6">
        <v>247.99199999999999</v>
      </c>
      <c r="O475" s="6">
        <v>247.99199999999999</v>
      </c>
      <c r="P475" s="6">
        <v>579</v>
      </c>
      <c r="Q475" s="4" t="s">
        <v>26</v>
      </c>
      <c r="R475" s="4">
        <v>0</v>
      </c>
      <c r="S475" s="4" t="s">
        <v>241</v>
      </c>
      <c r="T475" s="4" t="s">
        <v>366</v>
      </c>
      <c r="U475" s="4">
        <v>0</v>
      </c>
      <c r="V475" s="4">
        <v>72</v>
      </c>
      <c r="W475" s="4">
        <v>83</v>
      </c>
    </row>
    <row r="476" spans="1:23" ht="11.25" customHeight="1" x14ac:dyDescent="0.25">
      <c r="A476" s="4" t="s">
        <v>28</v>
      </c>
      <c r="B476" s="4" t="s">
        <v>33</v>
      </c>
      <c r="C476" s="4" t="s">
        <v>23</v>
      </c>
      <c r="D476" s="4" t="s">
        <v>39</v>
      </c>
      <c r="E476" s="4" t="s">
        <v>25</v>
      </c>
      <c r="F476" s="4" t="s">
        <v>25</v>
      </c>
      <c r="G476" s="4" t="s">
        <v>25</v>
      </c>
      <c r="H476" s="4" t="s">
        <v>25</v>
      </c>
      <c r="I476" s="5">
        <v>44593</v>
      </c>
      <c r="J476" s="6">
        <v>0</v>
      </c>
      <c r="K476" s="6">
        <v>0</v>
      </c>
      <c r="L476" s="6">
        <v>7.9870000000000001</v>
      </c>
      <c r="M476" s="6">
        <v>7.9870000000000001</v>
      </c>
      <c r="N476" s="6">
        <v>7.9870000000000001</v>
      </c>
      <c r="O476" s="6">
        <v>7.9870000000000001</v>
      </c>
      <c r="P476" s="6">
        <v>34</v>
      </c>
      <c r="Q476" s="4" t="s">
        <v>26</v>
      </c>
      <c r="R476" s="4">
        <v>0</v>
      </c>
      <c r="S476" s="4" t="s">
        <v>241</v>
      </c>
      <c r="T476" s="4" t="s">
        <v>366</v>
      </c>
      <c r="U476" s="4">
        <v>0</v>
      </c>
      <c r="V476" s="4">
        <v>72</v>
      </c>
      <c r="W476" s="4">
        <v>83</v>
      </c>
    </row>
    <row r="477" spans="1:23" ht="11.25" customHeight="1" x14ac:dyDescent="0.25">
      <c r="A477" s="4" t="s">
        <v>21</v>
      </c>
      <c r="B477" s="4" t="s">
        <v>33</v>
      </c>
      <c r="C477" s="4" t="s">
        <v>23</v>
      </c>
      <c r="D477" s="4" t="s">
        <v>39</v>
      </c>
      <c r="E477" s="4" t="s">
        <v>25</v>
      </c>
      <c r="F477" s="4" t="s">
        <v>25</v>
      </c>
      <c r="G477" s="4" t="s">
        <v>25</v>
      </c>
      <c r="H477" s="4" t="s">
        <v>25</v>
      </c>
      <c r="I477" s="5">
        <v>44621</v>
      </c>
      <c r="J477" s="6">
        <v>0</v>
      </c>
      <c r="K477" s="6">
        <v>0</v>
      </c>
      <c r="L477" s="6">
        <v>239.46899999999999</v>
      </c>
      <c r="M477" s="6">
        <v>239.46899999999999</v>
      </c>
      <c r="N477" s="6">
        <v>239.46899999999999</v>
      </c>
      <c r="O477" s="6">
        <v>239.46899999999999</v>
      </c>
      <c r="P477" s="6">
        <v>587</v>
      </c>
      <c r="Q477" s="4" t="s">
        <v>26</v>
      </c>
      <c r="R477" s="4">
        <v>0</v>
      </c>
      <c r="S477" s="4" t="s">
        <v>242</v>
      </c>
      <c r="T477" s="4" t="s">
        <v>367</v>
      </c>
      <c r="U477" s="4">
        <v>0</v>
      </c>
      <c r="V477" s="4">
        <v>72</v>
      </c>
      <c r="W477" s="4">
        <v>83</v>
      </c>
    </row>
    <row r="478" spans="1:23" ht="11.25" customHeight="1" x14ac:dyDescent="0.25">
      <c r="A478" s="4" t="s">
        <v>28</v>
      </c>
      <c r="B478" s="4" t="s">
        <v>33</v>
      </c>
      <c r="C478" s="4" t="s">
        <v>23</v>
      </c>
      <c r="D478" s="4" t="s">
        <v>39</v>
      </c>
      <c r="E478" s="4" t="s">
        <v>25</v>
      </c>
      <c r="F478" s="4" t="s">
        <v>25</v>
      </c>
      <c r="G478" s="4" t="s">
        <v>25</v>
      </c>
      <c r="H478" s="4" t="s">
        <v>25</v>
      </c>
      <c r="I478" s="5">
        <v>44621</v>
      </c>
      <c r="J478" s="6">
        <v>0</v>
      </c>
      <c r="K478" s="6">
        <v>0</v>
      </c>
      <c r="L478" s="6">
        <v>7.8159999999999998</v>
      </c>
      <c r="M478" s="6">
        <v>7.8159999999999998</v>
      </c>
      <c r="N478" s="6">
        <v>7.8159999999999998</v>
      </c>
      <c r="O478" s="6">
        <v>7.8159999999999998</v>
      </c>
      <c r="P478" s="6">
        <v>30</v>
      </c>
      <c r="Q478" s="4" t="s">
        <v>26</v>
      </c>
      <c r="R478" s="4">
        <v>0</v>
      </c>
      <c r="S478" s="4" t="s">
        <v>242</v>
      </c>
      <c r="T478" s="4" t="s">
        <v>367</v>
      </c>
      <c r="U478" s="4">
        <v>0</v>
      </c>
      <c r="V478" s="4">
        <v>72</v>
      </c>
      <c r="W478" s="4">
        <v>83</v>
      </c>
    </row>
    <row r="479" spans="1:23" ht="11.25" customHeight="1" x14ac:dyDescent="0.25">
      <c r="A479" s="4" t="s">
        <v>21</v>
      </c>
      <c r="B479" s="4" t="s">
        <v>33</v>
      </c>
      <c r="C479" s="4" t="s">
        <v>23</v>
      </c>
      <c r="D479" s="4" t="s">
        <v>39</v>
      </c>
      <c r="E479" s="4" t="s">
        <v>25</v>
      </c>
      <c r="F479" s="4" t="s">
        <v>25</v>
      </c>
      <c r="G479" s="4" t="s">
        <v>25</v>
      </c>
      <c r="H479" s="4" t="s">
        <v>25</v>
      </c>
      <c r="I479" s="5">
        <v>44652</v>
      </c>
      <c r="J479" s="6">
        <v>0</v>
      </c>
      <c r="K479" s="6">
        <v>0</v>
      </c>
      <c r="L479" s="6">
        <v>228.21299999999999</v>
      </c>
      <c r="M479" s="6">
        <v>228.21299999999999</v>
      </c>
      <c r="N479" s="6">
        <v>228.21299999999999</v>
      </c>
      <c r="O479" s="6">
        <v>228.21299999999999</v>
      </c>
      <c r="P479" s="6">
        <v>588</v>
      </c>
      <c r="Q479" s="4" t="s">
        <v>26</v>
      </c>
      <c r="R479" s="4">
        <v>0</v>
      </c>
      <c r="S479" s="4" t="s">
        <v>243</v>
      </c>
      <c r="T479" s="4" t="s">
        <v>368</v>
      </c>
      <c r="U479" s="4">
        <v>0</v>
      </c>
      <c r="V479" s="4">
        <v>72</v>
      </c>
      <c r="W479" s="4">
        <v>83</v>
      </c>
    </row>
    <row r="480" spans="1:23" ht="11.25" customHeight="1" x14ac:dyDescent="0.25">
      <c r="A480" s="4" t="s">
        <v>27</v>
      </c>
      <c r="B480" s="4" t="s">
        <v>33</v>
      </c>
      <c r="C480" s="4" t="s">
        <v>23</v>
      </c>
      <c r="D480" s="4" t="s">
        <v>39</v>
      </c>
      <c r="E480" s="4" t="s">
        <v>25</v>
      </c>
      <c r="F480" s="4" t="s">
        <v>25</v>
      </c>
      <c r="G480" s="4" t="s">
        <v>25</v>
      </c>
      <c r="H480" s="4" t="s">
        <v>25</v>
      </c>
      <c r="I480" s="5">
        <v>44652</v>
      </c>
      <c r="J480" s="6">
        <v>0</v>
      </c>
      <c r="K480" s="6">
        <v>0</v>
      </c>
      <c r="L480" s="6">
        <v>-1</v>
      </c>
      <c r="M480" s="6">
        <v>-1</v>
      </c>
      <c r="N480" s="6">
        <v>-1</v>
      </c>
      <c r="O480" s="6">
        <v>-1</v>
      </c>
      <c r="P480" s="6">
        <v>0</v>
      </c>
      <c r="Q480" s="4" t="s">
        <v>26</v>
      </c>
      <c r="R480" s="4">
        <v>0</v>
      </c>
      <c r="S480" s="4" t="s">
        <v>243</v>
      </c>
      <c r="T480" s="4" t="s">
        <v>368</v>
      </c>
      <c r="U480" s="4">
        <v>0</v>
      </c>
      <c r="V480" s="4">
        <v>72</v>
      </c>
      <c r="W480" s="4">
        <v>83</v>
      </c>
    </row>
    <row r="481" spans="1:23" ht="11.25" customHeight="1" x14ac:dyDescent="0.25">
      <c r="A481" s="4" t="s">
        <v>28</v>
      </c>
      <c r="B481" s="4" t="s">
        <v>33</v>
      </c>
      <c r="C481" s="4" t="s">
        <v>23</v>
      </c>
      <c r="D481" s="4" t="s">
        <v>39</v>
      </c>
      <c r="E481" s="4" t="s">
        <v>25</v>
      </c>
      <c r="F481" s="4" t="s">
        <v>25</v>
      </c>
      <c r="G481" s="4" t="s">
        <v>25</v>
      </c>
      <c r="H481" s="4" t="s">
        <v>25</v>
      </c>
      <c r="I481" s="5">
        <v>44652</v>
      </c>
      <c r="J481" s="6">
        <v>0</v>
      </c>
      <c r="K481" s="6">
        <v>0</v>
      </c>
      <c r="L481" s="6">
        <v>9.9359999999999999</v>
      </c>
      <c r="M481" s="6">
        <v>9.9359999999999999</v>
      </c>
      <c r="N481" s="6">
        <v>9.9359999999999999</v>
      </c>
      <c r="O481" s="6">
        <v>9.9359999999999999</v>
      </c>
      <c r="P481" s="6">
        <v>30</v>
      </c>
      <c r="Q481" s="4" t="s">
        <v>26</v>
      </c>
      <c r="R481" s="4">
        <v>0</v>
      </c>
      <c r="S481" s="4" t="s">
        <v>243</v>
      </c>
      <c r="T481" s="4" t="s">
        <v>368</v>
      </c>
      <c r="U481" s="4">
        <v>0</v>
      </c>
      <c r="V481" s="4">
        <v>72</v>
      </c>
      <c r="W481" s="4">
        <v>83</v>
      </c>
    </row>
    <row r="482" spans="1:23" ht="11.25" customHeight="1" x14ac:dyDescent="0.25">
      <c r="A482" s="4" t="s">
        <v>21</v>
      </c>
      <c r="B482" s="4" t="s">
        <v>33</v>
      </c>
      <c r="C482" s="4" t="s">
        <v>23</v>
      </c>
      <c r="D482" s="4" t="s">
        <v>39</v>
      </c>
      <c r="E482" s="4" t="s">
        <v>25</v>
      </c>
      <c r="F482" s="4" t="s">
        <v>25</v>
      </c>
      <c r="G482" s="4" t="s">
        <v>25</v>
      </c>
      <c r="H482" s="4" t="s">
        <v>25</v>
      </c>
      <c r="I482" s="5">
        <v>44682</v>
      </c>
      <c r="J482" s="6">
        <v>0</v>
      </c>
      <c r="K482" s="6">
        <v>0</v>
      </c>
      <c r="L482" s="6">
        <v>213.23699999999999</v>
      </c>
      <c r="M482" s="6">
        <v>213.23699999999999</v>
      </c>
      <c r="N482" s="6">
        <v>213.23699999999999</v>
      </c>
      <c r="O482" s="6">
        <v>213.23699999999999</v>
      </c>
      <c r="P482" s="6">
        <v>587</v>
      </c>
      <c r="Q482" s="4" t="s">
        <v>26</v>
      </c>
      <c r="R482" s="4">
        <v>0</v>
      </c>
      <c r="S482" s="4" t="s">
        <v>244</v>
      </c>
      <c r="T482" s="4" t="s">
        <v>369</v>
      </c>
      <c r="U482" s="4">
        <v>0</v>
      </c>
      <c r="V482" s="4">
        <v>72</v>
      </c>
      <c r="W482" s="4">
        <v>83</v>
      </c>
    </row>
    <row r="483" spans="1:23" ht="11.25" customHeight="1" x14ac:dyDescent="0.25">
      <c r="A483" s="4" t="s">
        <v>28</v>
      </c>
      <c r="B483" s="4" t="s">
        <v>33</v>
      </c>
      <c r="C483" s="4" t="s">
        <v>23</v>
      </c>
      <c r="D483" s="4" t="s">
        <v>39</v>
      </c>
      <c r="E483" s="4" t="s">
        <v>25</v>
      </c>
      <c r="F483" s="4" t="s">
        <v>25</v>
      </c>
      <c r="G483" s="4" t="s">
        <v>25</v>
      </c>
      <c r="H483" s="4" t="s">
        <v>25</v>
      </c>
      <c r="I483" s="5">
        <v>44682</v>
      </c>
      <c r="J483" s="6">
        <v>0</v>
      </c>
      <c r="K483" s="6">
        <v>0</v>
      </c>
      <c r="L483" s="6">
        <v>9.952</v>
      </c>
      <c r="M483" s="6">
        <v>9.952</v>
      </c>
      <c r="N483" s="6">
        <v>9.952</v>
      </c>
      <c r="O483" s="6">
        <v>9.952</v>
      </c>
      <c r="P483" s="6">
        <v>31</v>
      </c>
      <c r="Q483" s="4" t="s">
        <v>26</v>
      </c>
      <c r="R483" s="4">
        <v>0</v>
      </c>
      <c r="S483" s="4" t="s">
        <v>244</v>
      </c>
      <c r="T483" s="4" t="s">
        <v>369</v>
      </c>
      <c r="U483" s="4">
        <v>0</v>
      </c>
      <c r="V483" s="4">
        <v>72</v>
      </c>
      <c r="W483" s="4">
        <v>83</v>
      </c>
    </row>
    <row r="484" spans="1:23" ht="11.25" customHeight="1" x14ac:dyDescent="0.25">
      <c r="A484" s="4" t="s">
        <v>21</v>
      </c>
      <c r="B484" s="4" t="s">
        <v>33</v>
      </c>
      <c r="C484" s="4" t="s">
        <v>23</v>
      </c>
      <c r="D484" s="4" t="s">
        <v>39</v>
      </c>
      <c r="E484" s="4" t="s">
        <v>25</v>
      </c>
      <c r="F484" s="4" t="s">
        <v>25</v>
      </c>
      <c r="G484" s="4" t="s">
        <v>25</v>
      </c>
      <c r="H484" s="4" t="s">
        <v>25</v>
      </c>
      <c r="I484" s="5">
        <v>44713</v>
      </c>
      <c r="J484" s="6">
        <v>0</v>
      </c>
      <c r="K484" s="6">
        <v>0</v>
      </c>
      <c r="L484" s="6">
        <v>209.62200000000001</v>
      </c>
      <c r="M484" s="6">
        <v>209.62200000000001</v>
      </c>
      <c r="N484" s="6">
        <v>209.62200000000001</v>
      </c>
      <c r="O484" s="6">
        <v>209.62200000000001</v>
      </c>
      <c r="P484" s="6">
        <v>591</v>
      </c>
      <c r="Q484" s="4" t="s">
        <v>26</v>
      </c>
      <c r="R484" s="4">
        <v>0</v>
      </c>
      <c r="S484" s="4" t="s">
        <v>245</v>
      </c>
      <c r="T484" s="4" t="s">
        <v>370</v>
      </c>
      <c r="U484" s="4">
        <v>0</v>
      </c>
      <c r="V484" s="4">
        <v>72</v>
      </c>
      <c r="W484" s="4">
        <v>83</v>
      </c>
    </row>
    <row r="485" spans="1:23" ht="11.25" customHeight="1" x14ac:dyDescent="0.25">
      <c r="A485" s="4" t="s">
        <v>28</v>
      </c>
      <c r="B485" s="4" t="s">
        <v>33</v>
      </c>
      <c r="C485" s="4" t="s">
        <v>23</v>
      </c>
      <c r="D485" s="4" t="s">
        <v>39</v>
      </c>
      <c r="E485" s="4" t="s">
        <v>25</v>
      </c>
      <c r="F485" s="4" t="s">
        <v>25</v>
      </c>
      <c r="G485" s="4" t="s">
        <v>25</v>
      </c>
      <c r="H485" s="4" t="s">
        <v>25</v>
      </c>
      <c r="I485" s="5">
        <v>44713</v>
      </c>
      <c r="J485" s="6">
        <v>0</v>
      </c>
      <c r="K485" s="6">
        <v>0</v>
      </c>
      <c r="L485" s="6">
        <v>11.952999999999999</v>
      </c>
      <c r="M485" s="6">
        <v>11.952999999999999</v>
      </c>
      <c r="N485" s="6">
        <v>11.952999999999999</v>
      </c>
      <c r="O485" s="6">
        <v>11.952999999999999</v>
      </c>
      <c r="P485" s="6">
        <v>32</v>
      </c>
      <c r="Q485" s="4" t="s">
        <v>26</v>
      </c>
      <c r="R485" s="4">
        <v>0</v>
      </c>
      <c r="S485" s="4" t="s">
        <v>245</v>
      </c>
      <c r="T485" s="4" t="s">
        <v>370</v>
      </c>
      <c r="U485" s="4">
        <v>0</v>
      </c>
      <c r="V485" s="4">
        <v>72</v>
      </c>
      <c r="W485" s="4">
        <v>83</v>
      </c>
    </row>
    <row r="486" spans="1:23" ht="11.25" customHeight="1" x14ac:dyDescent="0.25">
      <c r="A486" s="4" t="s">
        <v>21</v>
      </c>
      <c r="B486" s="4" t="s">
        <v>33</v>
      </c>
      <c r="C486" s="4" t="s">
        <v>23</v>
      </c>
      <c r="D486" s="4" t="s">
        <v>39</v>
      </c>
      <c r="E486" s="4" t="s">
        <v>25</v>
      </c>
      <c r="F486" s="4" t="s">
        <v>25</v>
      </c>
      <c r="G486" s="4" t="s">
        <v>25</v>
      </c>
      <c r="H486" s="4" t="s">
        <v>25</v>
      </c>
      <c r="I486" s="5">
        <v>44743</v>
      </c>
      <c r="J486" s="6">
        <v>0</v>
      </c>
      <c r="K486" s="6">
        <v>0</v>
      </c>
      <c r="L486" s="6">
        <v>191.53</v>
      </c>
      <c r="M486" s="6">
        <v>191.53</v>
      </c>
      <c r="N486" s="6">
        <v>191.53</v>
      </c>
      <c r="O486" s="6">
        <v>191.53</v>
      </c>
      <c r="P486" s="6">
        <v>586</v>
      </c>
      <c r="Q486" s="4" t="s">
        <v>26</v>
      </c>
      <c r="R486" s="4">
        <v>0</v>
      </c>
      <c r="S486" s="4" t="s">
        <v>246</v>
      </c>
      <c r="T486" s="4" t="s">
        <v>371</v>
      </c>
      <c r="U486" s="4">
        <v>0</v>
      </c>
      <c r="V486" s="4">
        <v>72</v>
      </c>
      <c r="W486" s="4">
        <v>83</v>
      </c>
    </row>
    <row r="487" spans="1:23" ht="11.25" customHeight="1" x14ac:dyDescent="0.25">
      <c r="A487" s="4" t="s">
        <v>28</v>
      </c>
      <c r="B487" s="4" t="s">
        <v>33</v>
      </c>
      <c r="C487" s="4" t="s">
        <v>23</v>
      </c>
      <c r="D487" s="4" t="s">
        <v>39</v>
      </c>
      <c r="E487" s="4" t="s">
        <v>25</v>
      </c>
      <c r="F487" s="4" t="s">
        <v>25</v>
      </c>
      <c r="G487" s="4" t="s">
        <v>25</v>
      </c>
      <c r="H487" s="4" t="s">
        <v>25</v>
      </c>
      <c r="I487" s="5">
        <v>44743</v>
      </c>
      <c r="J487" s="6">
        <v>0</v>
      </c>
      <c r="K487" s="6">
        <v>0</v>
      </c>
      <c r="L487" s="6">
        <v>12.05</v>
      </c>
      <c r="M487" s="6">
        <v>12.05</v>
      </c>
      <c r="N487" s="6">
        <v>12.05</v>
      </c>
      <c r="O487" s="6">
        <v>12.05</v>
      </c>
      <c r="P487" s="6">
        <v>36</v>
      </c>
      <c r="Q487" s="4" t="s">
        <v>26</v>
      </c>
      <c r="R487" s="4">
        <v>0</v>
      </c>
      <c r="S487" s="4" t="s">
        <v>246</v>
      </c>
      <c r="T487" s="4" t="s">
        <v>371</v>
      </c>
      <c r="U487" s="4">
        <v>0</v>
      </c>
      <c r="V487" s="4">
        <v>72</v>
      </c>
      <c r="W487" s="4">
        <v>83</v>
      </c>
    </row>
    <row r="488" spans="1:23" ht="11.25" customHeight="1" x14ac:dyDescent="0.25">
      <c r="A488" s="4" t="s">
        <v>21</v>
      </c>
      <c r="B488" s="4" t="s">
        <v>33</v>
      </c>
      <c r="C488" s="4" t="s">
        <v>23</v>
      </c>
      <c r="D488" s="4" t="s">
        <v>39</v>
      </c>
      <c r="E488" s="4" t="s">
        <v>25</v>
      </c>
      <c r="F488" s="4" t="s">
        <v>25</v>
      </c>
      <c r="G488" s="4" t="s">
        <v>25</v>
      </c>
      <c r="H488" s="4" t="s">
        <v>25</v>
      </c>
      <c r="I488" s="5">
        <v>44774</v>
      </c>
      <c r="J488" s="6">
        <v>0</v>
      </c>
      <c r="K488" s="6">
        <v>0</v>
      </c>
      <c r="L488" s="6">
        <v>195.05099999999999</v>
      </c>
      <c r="M488" s="6">
        <v>195.05099999999999</v>
      </c>
      <c r="N488" s="6">
        <v>195.05099999999999</v>
      </c>
      <c r="O488" s="6">
        <v>195.05099999999999</v>
      </c>
      <c r="P488" s="6">
        <v>588</v>
      </c>
      <c r="Q488" s="4" t="s">
        <v>26</v>
      </c>
      <c r="R488" s="4">
        <v>0</v>
      </c>
      <c r="S488" s="4" t="s">
        <v>247</v>
      </c>
      <c r="T488" s="4" t="s">
        <v>372</v>
      </c>
      <c r="U488" s="4">
        <v>0</v>
      </c>
      <c r="V488" s="4">
        <v>72</v>
      </c>
      <c r="W488" s="4">
        <v>83</v>
      </c>
    </row>
    <row r="489" spans="1:23" ht="11.25" customHeight="1" x14ac:dyDescent="0.25">
      <c r="A489" s="4" t="s">
        <v>28</v>
      </c>
      <c r="B489" s="4" t="s">
        <v>33</v>
      </c>
      <c r="C489" s="4" t="s">
        <v>23</v>
      </c>
      <c r="D489" s="4" t="s">
        <v>39</v>
      </c>
      <c r="E489" s="4" t="s">
        <v>25</v>
      </c>
      <c r="F489" s="4" t="s">
        <v>25</v>
      </c>
      <c r="G489" s="4" t="s">
        <v>25</v>
      </c>
      <c r="H489" s="4" t="s">
        <v>25</v>
      </c>
      <c r="I489" s="5">
        <v>44774</v>
      </c>
      <c r="J489" s="6">
        <v>0</v>
      </c>
      <c r="K489" s="6">
        <v>0</v>
      </c>
      <c r="L489" s="6">
        <v>10.855</v>
      </c>
      <c r="M489" s="6">
        <v>10.855</v>
      </c>
      <c r="N489" s="6">
        <v>10.855</v>
      </c>
      <c r="O489" s="6">
        <v>10.855</v>
      </c>
      <c r="P489" s="6">
        <v>36</v>
      </c>
      <c r="Q489" s="4" t="s">
        <v>26</v>
      </c>
      <c r="R489" s="4">
        <v>0</v>
      </c>
      <c r="S489" s="4" t="s">
        <v>247</v>
      </c>
      <c r="T489" s="4" t="s">
        <v>372</v>
      </c>
      <c r="U489" s="4">
        <v>0</v>
      </c>
      <c r="V489" s="4">
        <v>72</v>
      </c>
      <c r="W489" s="4">
        <v>83</v>
      </c>
    </row>
    <row r="490" spans="1:23" ht="11.25" customHeight="1" x14ac:dyDescent="0.25">
      <c r="A490" s="4" t="s">
        <v>28</v>
      </c>
      <c r="B490" s="4" t="s">
        <v>33</v>
      </c>
      <c r="C490" s="4" t="s">
        <v>23</v>
      </c>
      <c r="D490" s="4" t="s">
        <v>39</v>
      </c>
      <c r="E490" s="4" t="s">
        <v>25</v>
      </c>
      <c r="F490" s="4" t="s">
        <v>25</v>
      </c>
      <c r="G490" s="4" t="s">
        <v>25</v>
      </c>
      <c r="H490" s="4" t="s">
        <v>25</v>
      </c>
      <c r="I490" s="5">
        <v>44774</v>
      </c>
      <c r="J490" s="6">
        <v>0</v>
      </c>
      <c r="K490" s="6">
        <v>0</v>
      </c>
      <c r="L490" s="6">
        <v>0.1</v>
      </c>
      <c r="M490" s="6">
        <v>0.1</v>
      </c>
      <c r="N490" s="6">
        <v>0.1</v>
      </c>
      <c r="O490" s="6">
        <v>0.1</v>
      </c>
      <c r="P490" s="6">
        <v>1</v>
      </c>
      <c r="Q490" s="4" t="s">
        <v>26</v>
      </c>
      <c r="R490" s="4">
        <v>0</v>
      </c>
      <c r="S490" s="4" t="s">
        <v>247</v>
      </c>
      <c r="T490" s="4" t="s">
        <v>372</v>
      </c>
      <c r="U490" s="4">
        <v>0</v>
      </c>
      <c r="V490" s="4">
        <v>72</v>
      </c>
      <c r="W490" s="4">
        <v>83</v>
      </c>
    </row>
    <row r="491" spans="1:23" ht="11.25" customHeight="1" x14ac:dyDescent="0.25">
      <c r="A491" s="4" t="s">
        <v>21</v>
      </c>
      <c r="B491" s="4" t="s">
        <v>33</v>
      </c>
      <c r="C491" s="4" t="s">
        <v>23</v>
      </c>
      <c r="D491" s="4" t="s">
        <v>34</v>
      </c>
      <c r="E491" s="4" t="s">
        <v>25</v>
      </c>
      <c r="F491" s="4" t="s">
        <v>25</v>
      </c>
      <c r="G491" s="4" t="s">
        <v>25</v>
      </c>
      <c r="H491" s="4" t="s">
        <v>25</v>
      </c>
      <c r="I491" s="5">
        <v>44440</v>
      </c>
      <c r="J491" s="6">
        <v>0</v>
      </c>
      <c r="K491" s="6">
        <v>0</v>
      </c>
      <c r="L491" s="6">
        <v>168.71199999999999</v>
      </c>
      <c r="M491" s="6">
        <v>168.71199999999999</v>
      </c>
      <c r="N491" s="6">
        <v>168.71199999999999</v>
      </c>
      <c r="O491" s="6">
        <v>168.71199999999999</v>
      </c>
      <c r="P491" s="6">
        <v>141</v>
      </c>
      <c r="Q491" s="4" t="s">
        <v>26</v>
      </c>
      <c r="R491" s="4">
        <v>0</v>
      </c>
      <c r="S491" s="4" t="s">
        <v>236</v>
      </c>
      <c r="T491" s="4" t="s">
        <v>361</v>
      </c>
      <c r="U491" s="4">
        <v>0</v>
      </c>
      <c r="V491" s="4">
        <v>72</v>
      </c>
      <c r="W491" s="4">
        <v>83</v>
      </c>
    </row>
    <row r="492" spans="1:23" ht="11.25" customHeight="1" x14ac:dyDescent="0.25">
      <c r="A492" s="4" t="s">
        <v>28</v>
      </c>
      <c r="B492" s="4" t="s">
        <v>33</v>
      </c>
      <c r="C492" s="4" t="s">
        <v>23</v>
      </c>
      <c r="D492" s="4" t="s">
        <v>34</v>
      </c>
      <c r="E492" s="4" t="s">
        <v>25</v>
      </c>
      <c r="F492" s="4" t="s">
        <v>25</v>
      </c>
      <c r="G492" s="4" t="s">
        <v>25</v>
      </c>
      <c r="H492" s="4" t="s">
        <v>25</v>
      </c>
      <c r="I492" s="5">
        <v>44440</v>
      </c>
      <c r="J492" s="6">
        <v>0</v>
      </c>
      <c r="K492" s="6">
        <v>0</v>
      </c>
      <c r="L492" s="6">
        <v>6.9630000000000001</v>
      </c>
      <c r="M492" s="6">
        <v>6.9630000000000001</v>
      </c>
      <c r="N492" s="6">
        <v>6.9630000000000001</v>
      </c>
      <c r="O492" s="6">
        <v>6.9630000000000001</v>
      </c>
      <c r="P492" s="6">
        <v>9</v>
      </c>
      <c r="Q492" s="4" t="s">
        <v>26</v>
      </c>
      <c r="R492" s="4">
        <v>0</v>
      </c>
      <c r="S492" s="4" t="s">
        <v>236</v>
      </c>
      <c r="T492" s="4" t="s">
        <v>361</v>
      </c>
      <c r="U492" s="4">
        <v>0</v>
      </c>
      <c r="V492" s="4">
        <v>72</v>
      </c>
      <c r="W492" s="4">
        <v>83</v>
      </c>
    </row>
    <row r="493" spans="1:23" ht="11.25" customHeight="1" x14ac:dyDescent="0.25">
      <c r="A493" s="4" t="s">
        <v>21</v>
      </c>
      <c r="B493" s="4" t="s">
        <v>33</v>
      </c>
      <c r="C493" s="4" t="s">
        <v>23</v>
      </c>
      <c r="D493" s="4" t="s">
        <v>34</v>
      </c>
      <c r="E493" s="4" t="s">
        <v>25</v>
      </c>
      <c r="F493" s="4" t="s">
        <v>25</v>
      </c>
      <c r="G493" s="4" t="s">
        <v>25</v>
      </c>
      <c r="H493" s="4" t="s">
        <v>25</v>
      </c>
      <c r="I493" s="5">
        <v>44470</v>
      </c>
      <c r="J493" s="6">
        <v>0</v>
      </c>
      <c r="K493" s="6">
        <v>0</v>
      </c>
      <c r="L493" s="6">
        <v>155.042</v>
      </c>
      <c r="M493" s="6">
        <v>155.042</v>
      </c>
      <c r="N493" s="6">
        <v>155.042</v>
      </c>
      <c r="O493" s="6">
        <v>155.042</v>
      </c>
      <c r="P493" s="6">
        <v>144</v>
      </c>
      <c r="Q493" s="4" t="s">
        <v>26</v>
      </c>
      <c r="R493" s="4">
        <v>0</v>
      </c>
      <c r="S493" s="4" t="s">
        <v>237</v>
      </c>
      <c r="T493" s="4" t="s">
        <v>362</v>
      </c>
      <c r="U493" s="4">
        <v>0</v>
      </c>
      <c r="V493" s="4">
        <v>72</v>
      </c>
      <c r="W493" s="4">
        <v>83</v>
      </c>
    </row>
    <row r="494" spans="1:23" ht="11.25" customHeight="1" x14ac:dyDescent="0.25">
      <c r="A494" s="4" t="s">
        <v>28</v>
      </c>
      <c r="B494" s="4" t="s">
        <v>33</v>
      </c>
      <c r="C494" s="4" t="s">
        <v>23</v>
      </c>
      <c r="D494" s="4" t="s">
        <v>34</v>
      </c>
      <c r="E494" s="4" t="s">
        <v>25</v>
      </c>
      <c r="F494" s="4" t="s">
        <v>25</v>
      </c>
      <c r="G494" s="4" t="s">
        <v>25</v>
      </c>
      <c r="H494" s="4" t="s">
        <v>25</v>
      </c>
      <c r="I494" s="5">
        <v>44470</v>
      </c>
      <c r="J494" s="6">
        <v>0</v>
      </c>
      <c r="K494" s="6">
        <v>0</v>
      </c>
      <c r="L494" s="6">
        <v>5.1040000000000001</v>
      </c>
      <c r="M494" s="6">
        <v>5.1040000000000001</v>
      </c>
      <c r="N494" s="6">
        <v>5.1040000000000001</v>
      </c>
      <c r="O494" s="6">
        <v>5.1040000000000001</v>
      </c>
      <c r="P494" s="6">
        <v>10</v>
      </c>
      <c r="Q494" s="4" t="s">
        <v>26</v>
      </c>
      <c r="R494" s="4">
        <v>0</v>
      </c>
      <c r="S494" s="4" t="s">
        <v>237</v>
      </c>
      <c r="T494" s="4" t="s">
        <v>362</v>
      </c>
      <c r="U494" s="4">
        <v>0</v>
      </c>
      <c r="V494" s="4">
        <v>72</v>
      </c>
      <c r="W494" s="4">
        <v>83</v>
      </c>
    </row>
    <row r="495" spans="1:23" ht="11.25" customHeight="1" x14ac:dyDescent="0.25">
      <c r="A495" s="4" t="s">
        <v>21</v>
      </c>
      <c r="B495" s="4" t="s">
        <v>33</v>
      </c>
      <c r="C495" s="4" t="s">
        <v>23</v>
      </c>
      <c r="D495" s="4" t="s">
        <v>34</v>
      </c>
      <c r="E495" s="4" t="s">
        <v>25</v>
      </c>
      <c r="F495" s="4" t="s">
        <v>25</v>
      </c>
      <c r="G495" s="4" t="s">
        <v>25</v>
      </c>
      <c r="H495" s="4" t="s">
        <v>25</v>
      </c>
      <c r="I495" s="5">
        <v>44501</v>
      </c>
      <c r="J495" s="6">
        <v>0</v>
      </c>
      <c r="K495" s="6">
        <v>0</v>
      </c>
      <c r="L495" s="6">
        <v>139.66900000000001</v>
      </c>
      <c r="M495" s="6">
        <v>139.66900000000001</v>
      </c>
      <c r="N495" s="6">
        <v>139.66900000000001</v>
      </c>
      <c r="O495" s="6">
        <v>139.66900000000001</v>
      </c>
      <c r="P495" s="6">
        <v>145</v>
      </c>
      <c r="Q495" s="4" t="s">
        <v>26</v>
      </c>
      <c r="R495" s="4">
        <v>0</v>
      </c>
      <c r="S495" s="4" t="s">
        <v>238</v>
      </c>
      <c r="T495" s="4" t="s">
        <v>363</v>
      </c>
      <c r="U495" s="4">
        <v>0</v>
      </c>
      <c r="V495" s="4">
        <v>72</v>
      </c>
      <c r="W495" s="4">
        <v>83</v>
      </c>
    </row>
    <row r="496" spans="1:23" ht="11.25" customHeight="1" x14ac:dyDescent="0.25">
      <c r="A496" s="4" t="s">
        <v>28</v>
      </c>
      <c r="B496" s="4" t="s">
        <v>33</v>
      </c>
      <c r="C496" s="4" t="s">
        <v>23</v>
      </c>
      <c r="D496" s="4" t="s">
        <v>34</v>
      </c>
      <c r="E496" s="4" t="s">
        <v>25</v>
      </c>
      <c r="F496" s="4" t="s">
        <v>25</v>
      </c>
      <c r="G496" s="4" t="s">
        <v>25</v>
      </c>
      <c r="H496" s="4" t="s">
        <v>25</v>
      </c>
      <c r="I496" s="5">
        <v>44501</v>
      </c>
      <c r="J496" s="6">
        <v>0</v>
      </c>
      <c r="K496" s="6">
        <v>0</v>
      </c>
      <c r="L496" s="6">
        <v>5.7770000000000001</v>
      </c>
      <c r="M496" s="6">
        <v>5.7770000000000001</v>
      </c>
      <c r="N496" s="6">
        <v>5.7770000000000001</v>
      </c>
      <c r="O496" s="6">
        <v>5.7770000000000001</v>
      </c>
      <c r="P496" s="6">
        <v>10</v>
      </c>
      <c r="Q496" s="4" t="s">
        <v>26</v>
      </c>
      <c r="R496" s="4">
        <v>0</v>
      </c>
      <c r="S496" s="4" t="s">
        <v>238</v>
      </c>
      <c r="T496" s="4" t="s">
        <v>363</v>
      </c>
      <c r="U496" s="4">
        <v>0</v>
      </c>
      <c r="V496" s="4">
        <v>72</v>
      </c>
      <c r="W496" s="4">
        <v>83</v>
      </c>
    </row>
    <row r="497" spans="1:23" ht="11.25" customHeight="1" x14ac:dyDescent="0.25">
      <c r="A497" s="4" t="s">
        <v>21</v>
      </c>
      <c r="B497" s="4" t="s">
        <v>33</v>
      </c>
      <c r="C497" s="4" t="s">
        <v>23</v>
      </c>
      <c r="D497" s="4" t="s">
        <v>34</v>
      </c>
      <c r="E497" s="4" t="s">
        <v>25</v>
      </c>
      <c r="F497" s="4" t="s">
        <v>25</v>
      </c>
      <c r="G497" s="4" t="s">
        <v>25</v>
      </c>
      <c r="H497" s="4" t="s">
        <v>25</v>
      </c>
      <c r="I497" s="5">
        <v>44531</v>
      </c>
      <c r="J497" s="6">
        <v>0</v>
      </c>
      <c r="K497" s="6">
        <v>0</v>
      </c>
      <c r="L497" s="6">
        <v>157.71600000000001</v>
      </c>
      <c r="M497" s="6">
        <v>157.71600000000001</v>
      </c>
      <c r="N497" s="6">
        <v>157.71600000000001</v>
      </c>
      <c r="O497" s="6">
        <v>157.71600000000001</v>
      </c>
      <c r="P497" s="6">
        <v>145</v>
      </c>
      <c r="Q497" s="4" t="s">
        <v>26</v>
      </c>
      <c r="R497" s="4">
        <v>0</v>
      </c>
      <c r="S497" s="4" t="s">
        <v>239</v>
      </c>
      <c r="T497" s="4" t="s">
        <v>364</v>
      </c>
      <c r="U497" s="4">
        <v>0</v>
      </c>
      <c r="V497" s="4">
        <v>72</v>
      </c>
      <c r="W497" s="4">
        <v>83</v>
      </c>
    </row>
    <row r="498" spans="1:23" ht="11.25" customHeight="1" x14ac:dyDescent="0.25">
      <c r="A498" s="4" t="s">
        <v>28</v>
      </c>
      <c r="B498" s="4" t="s">
        <v>33</v>
      </c>
      <c r="C498" s="4" t="s">
        <v>23</v>
      </c>
      <c r="D498" s="4" t="s">
        <v>34</v>
      </c>
      <c r="E498" s="4" t="s">
        <v>25</v>
      </c>
      <c r="F498" s="4" t="s">
        <v>25</v>
      </c>
      <c r="G498" s="4" t="s">
        <v>25</v>
      </c>
      <c r="H498" s="4" t="s">
        <v>25</v>
      </c>
      <c r="I498" s="5">
        <v>44531</v>
      </c>
      <c r="J498" s="6">
        <v>0</v>
      </c>
      <c r="K498" s="6">
        <v>0</v>
      </c>
      <c r="L498" s="6">
        <v>3.4830000000000001</v>
      </c>
      <c r="M498" s="6">
        <v>3.4830000000000001</v>
      </c>
      <c r="N498" s="6">
        <v>3.4830000000000001</v>
      </c>
      <c r="O498" s="6">
        <v>3.4830000000000001</v>
      </c>
      <c r="P498" s="6">
        <v>10</v>
      </c>
      <c r="Q498" s="4" t="s">
        <v>26</v>
      </c>
      <c r="R498" s="4">
        <v>0</v>
      </c>
      <c r="S498" s="4" t="s">
        <v>239</v>
      </c>
      <c r="T498" s="4" t="s">
        <v>364</v>
      </c>
      <c r="U498" s="4">
        <v>0</v>
      </c>
      <c r="V498" s="4">
        <v>72</v>
      </c>
      <c r="W498" s="4">
        <v>83</v>
      </c>
    </row>
    <row r="499" spans="1:23" ht="11.25" customHeight="1" x14ac:dyDescent="0.25">
      <c r="A499" s="4" t="s">
        <v>21</v>
      </c>
      <c r="B499" s="4" t="s">
        <v>33</v>
      </c>
      <c r="C499" s="4" t="s">
        <v>23</v>
      </c>
      <c r="D499" s="4" t="s">
        <v>34</v>
      </c>
      <c r="E499" s="4" t="s">
        <v>25</v>
      </c>
      <c r="F499" s="4" t="s">
        <v>25</v>
      </c>
      <c r="G499" s="4" t="s">
        <v>25</v>
      </c>
      <c r="H499" s="4" t="s">
        <v>25</v>
      </c>
      <c r="I499" s="5">
        <v>44562</v>
      </c>
      <c r="J499" s="6">
        <v>0</v>
      </c>
      <c r="K499" s="6">
        <v>0</v>
      </c>
      <c r="L499" s="6">
        <v>111.425</v>
      </c>
      <c r="M499" s="6">
        <v>111.425</v>
      </c>
      <c r="N499" s="6">
        <v>111.425</v>
      </c>
      <c r="O499" s="6">
        <v>111.425</v>
      </c>
      <c r="P499" s="6">
        <v>144</v>
      </c>
      <c r="Q499" s="4" t="s">
        <v>26</v>
      </c>
      <c r="R499" s="4">
        <v>0</v>
      </c>
      <c r="S499" s="4" t="s">
        <v>240</v>
      </c>
      <c r="T499" s="4" t="s">
        <v>365</v>
      </c>
      <c r="U499" s="4">
        <v>0</v>
      </c>
      <c r="V499" s="4">
        <v>72</v>
      </c>
      <c r="W499" s="4">
        <v>83</v>
      </c>
    </row>
    <row r="500" spans="1:23" ht="11.25" customHeight="1" x14ac:dyDescent="0.25">
      <c r="A500" s="4" t="s">
        <v>28</v>
      </c>
      <c r="B500" s="4" t="s">
        <v>33</v>
      </c>
      <c r="C500" s="4" t="s">
        <v>23</v>
      </c>
      <c r="D500" s="4" t="s">
        <v>34</v>
      </c>
      <c r="E500" s="4" t="s">
        <v>25</v>
      </c>
      <c r="F500" s="4" t="s">
        <v>25</v>
      </c>
      <c r="G500" s="4" t="s">
        <v>25</v>
      </c>
      <c r="H500" s="4" t="s">
        <v>25</v>
      </c>
      <c r="I500" s="5">
        <v>44562</v>
      </c>
      <c r="J500" s="6">
        <v>0</v>
      </c>
      <c r="K500" s="6">
        <v>0</v>
      </c>
      <c r="L500" s="6">
        <v>8.7379999999999995</v>
      </c>
      <c r="M500" s="6">
        <v>8.7379999999999995</v>
      </c>
      <c r="N500" s="6">
        <v>8.7379999999999995</v>
      </c>
      <c r="O500" s="6">
        <v>8.7379999999999995</v>
      </c>
      <c r="P500" s="6">
        <v>10</v>
      </c>
      <c r="Q500" s="4" t="s">
        <v>26</v>
      </c>
      <c r="R500" s="4">
        <v>0</v>
      </c>
      <c r="S500" s="4" t="s">
        <v>240</v>
      </c>
      <c r="T500" s="4" t="s">
        <v>365</v>
      </c>
      <c r="U500" s="4">
        <v>0</v>
      </c>
      <c r="V500" s="4">
        <v>72</v>
      </c>
      <c r="W500" s="4">
        <v>83</v>
      </c>
    </row>
    <row r="501" spans="1:23" ht="11.25" customHeight="1" x14ac:dyDescent="0.25">
      <c r="A501" s="4" t="s">
        <v>21</v>
      </c>
      <c r="B501" s="4" t="s">
        <v>33</v>
      </c>
      <c r="C501" s="4" t="s">
        <v>23</v>
      </c>
      <c r="D501" s="4" t="s">
        <v>34</v>
      </c>
      <c r="E501" s="4" t="s">
        <v>25</v>
      </c>
      <c r="F501" s="4" t="s">
        <v>25</v>
      </c>
      <c r="G501" s="4" t="s">
        <v>25</v>
      </c>
      <c r="H501" s="4" t="s">
        <v>25</v>
      </c>
      <c r="I501" s="5">
        <v>44593</v>
      </c>
      <c r="J501" s="6">
        <v>0</v>
      </c>
      <c r="K501" s="6">
        <v>0</v>
      </c>
      <c r="L501" s="6">
        <v>151.197</v>
      </c>
      <c r="M501" s="6">
        <v>151.197</v>
      </c>
      <c r="N501" s="6">
        <v>151.197</v>
      </c>
      <c r="O501" s="6">
        <v>151.197</v>
      </c>
      <c r="P501" s="6">
        <v>143</v>
      </c>
      <c r="Q501" s="4" t="s">
        <v>26</v>
      </c>
      <c r="R501" s="4">
        <v>0</v>
      </c>
      <c r="S501" s="4" t="s">
        <v>241</v>
      </c>
      <c r="T501" s="4" t="s">
        <v>366</v>
      </c>
      <c r="U501" s="4">
        <v>0</v>
      </c>
      <c r="V501" s="4">
        <v>72</v>
      </c>
      <c r="W501" s="4">
        <v>83</v>
      </c>
    </row>
    <row r="502" spans="1:23" ht="11.25" customHeight="1" x14ac:dyDescent="0.25">
      <c r="A502" s="4" t="s">
        <v>28</v>
      </c>
      <c r="B502" s="4" t="s">
        <v>33</v>
      </c>
      <c r="C502" s="4" t="s">
        <v>23</v>
      </c>
      <c r="D502" s="4" t="s">
        <v>34</v>
      </c>
      <c r="E502" s="4" t="s">
        <v>25</v>
      </c>
      <c r="F502" s="4" t="s">
        <v>25</v>
      </c>
      <c r="G502" s="4" t="s">
        <v>25</v>
      </c>
      <c r="H502" s="4" t="s">
        <v>25</v>
      </c>
      <c r="I502" s="5">
        <v>44593</v>
      </c>
      <c r="J502" s="6">
        <v>0</v>
      </c>
      <c r="K502" s="6">
        <v>0</v>
      </c>
      <c r="L502" s="6">
        <v>7.7590000000000003</v>
      </c>
      <c r="M502" s="6">
        <v>7.7590000000000003</v>
      </c>
      <c r="N502" s="6">
        <v>7.7590000000000003</v>
      </c>
      <c r="O502" s="6">
        <v>7.7590000000000003</v>
      </c>
      <c r="P502" s="6">
        <v>10</v>
      </c>
      <c r="Q502" s="4" t="s">
        <v>26</v>
      </c>
      <c r="R502" s="4">
        <v>0</v>
      </c>
      <c r="S502" s="4" t="s">
        <v>241</v>
      </c>
      <c r="T502" s="4" t="s">
        <v>366</v>
      </c>
      <c r="U502" s="4">
        <v>0</v>
      </c>
      <c r="V502" s="4">
        <v>72</v>
      </c>
      <c r="W502" s="4">
        <v>83</v>
      </c>
    </row>
    <row r="503" spans="1:23" ht="11.25" customHeight="1" x14ac:dyDescent="0.25">
      <c r="A503" s="4" t="s">
        <v>21</v>
      </c>
      <c r="B503" s="4" t="s">
        <v>33</v>
      </c>
      <c r="C503" s="4" t="s">
        <v>23</v>
      </c>
      <c r="D503" s="4" t="s">
        <v>34</v>
      </c>
      <c r="E503" s="4" t="s">
        <v>25</v>
      </c>
      <c r="F503" s="4" t="s">
        <v>25</v>
      </c>
      <c r="G503" s="4" t="s">
        <v>25</v>
      </c>
      <c r="H503" s="4" t="s">
        <v>25</v>
      </c>
      <c r="I503" s="5">
        <v>44621</v>
      </c>
      <c r="J503" s="6">
        <v>0</v>
      </c>
      <c r="K503" s="6">
        <v>0</v>
      </c>
      <c r="L503" s="6">
        <v>148.249</v>
      </c>
      <c r="M503" s="6">
        <v>148.249</v>
      </c>
      <c r="N503" s="6">
        <v>148.249</v>
      </c>
      <c r="O503" s="6">
        <v>148.249</v>
      </c>
      <c r="P503" s="6">
        <v>143</v>
      </c>
      <c r="Q503" s="4" t="s">
        <v>26</v>
      </c>
      <c r="R503" s="4">
        <v>0</v>
      </c>
      <c r="S503" s="4" t="s">
        <v>242</v>
      </c>
      <c r="T503" s="4" t="s">
        <v>367</v>
      </c>
      <c r="U503" s="4">
        <v>0</v>
      </c>
      <c r="V503" s="4">
        <v>72</v>
      </c>
      <c r="W503" s="4">
        <v>83</v>
      </c>
    </row>
    <row r="504" spans="1:23" ht="11.25" customHeight="1" x14ac:dyDescent="0.25">
      <c r="A504" s="4" t="s">
        <v>27</v>
      </c>
      <c r="B504" s="4" t="s">
        <v>33</v>
      </c>
      <c r="C504" s="4" t="s">
        <v>23</v>
      </c>
      <c r="D504" s="4" t="s">
        <v>34</v>
      </c>
      <c r="E504" s="4" t="s">
        <v>25</v>
      </c>
      <c r="F504" s="4" t="s">
        <v>25</v>
      </c>
      <c r="G504" s="4" t="s">
        <v>25</v>
      </c>
      <c r="H504" s="4" t="s">
        <v>25</v>
      </c>
      <c r="I504" s="5">
        <v>44621</v>
      </c>
      <c r="J504" s="6">
        <v>0</v>
      </c>
      <c r="K504" s="6">
        <v>0</v>
      </c>
      <c r="L504" s="6">
        <v>-3.4359999999999999</v>
      </c>
      <c r="M504" s="6">
        <v>-3.4359999999999999</v>
      </c>
      <c r="N504" s="6">
        <v>-3.4359999999999999</v>
      </c>
      <c r="O504" s="6">
        <v>-3.4359999999999999</v>
      </c>
      <c r="P504" s="6">
        <v>0</v>
      </c>
      <c r="Q504" s="4" t="s">
        <v>26</v>
      </c>
      <c r="R504" s="4">
        <v>0</v>
      </c>
      <c r="S504" s="4" t="s">
        <v>242</v>
      </c>
      <c r="T504" s="4" t="s">
        <v>367</v>
      </c>
      <c r="U504" s="4">
        <v>0</v>
      </c>
      <c r="V504" s="4">
        <v>72</v>
      </c>
      <c r="W504" s="4">
        <v>83</v>
      </c>
    </row>
    <row r="505" spans="1:23" ht="11.25" customHeight="1" x14ac:dyDescent="0.25">
      <c r="A505" s="4" t="s">
        <v>28</v>
      </c>
      <c r="B505" s="4" t="s">
        <v>33</v>
      </c>
      <c r="C505" s="4" t="s">
        <v>23</v>
      </c>
      <c r="D505" s="4" t="s">
        <v>34</v>
      </c>
      <c r="E505" s="4" t="s">
        <v>25</v>
      </c>
      <c r="F505" s="4" t="s">
        <v>25</v>
      </c>
      <c r="G505" s="4" t="s">
        <v>25</v>
      </c>
      <c r="H505" s="4" t="s">
        <v>25</v>
      </c>
      <c r="I505" s="5">
        <v>44621</v>
      </c>
      <c r="J505" s="6">
        <v>0</v>
      </c>
      <c r="K505" s="6">
        <v>0</v>
      </c>
      <c r="L505" s="6">
        <v>6.4610000000000003</v>
      </c>
      <c r="M505" s="6">
        <v>6.4610000000000003</v>
      </c>
      <c r="N505" s="6">
        <v>6.4610000000000003</v>
      </c>
      <c r="O505" s="6">
        <v>6.4610000000000003</v>
      </c>
      <c r="P505" s="6">
        <v>10</v>
      </c>
      <c r="Q505" s="4" t="s">
        <v>26</v>
      </c>
      <c r="R505" s="4">
        <v>0</v>
      </c>
      <c r="S505" s="4" t="s">
        <v>242</v>
      </c>
      <c r="T505" s="4" t="s">
        <v>367</v>
      </c>
      <c r="U505" s="4">
        <v>0</v>
      </c>
      <c r="V505" s="4">
        <v>72</v>
      </c>
      <c r="W505" s="4">
        <v>83</v>
      </c>
    </row>
    <row r="506" spans="1:23" ht="11.25" customHeight="1" x14ac:dyDescent="0.25">
      <c r="A506" s="4" t="s">
        <v>21</v>
      </c>
      <c r="B506" s="4" t="s">
        <v>33</v>
      </c>
      <c r="C506" s="4" t="s">
        <v>23</v>
      </c>
      <c r="D506" s="4" t="s">
        <v>34</v>
      </c>
      <c r="E506" s="4" t="s">
        <v>25</v>
      </c>
      <c r="F506" s="4" t="s">
        <v>25</v>
      </c>
      <c r="G506" s="4" t="s">
        <v>25</v>
      </c>
      <c r="H506" s="4" t="s">
        <v>25</v>
      </c>
      <c r="I506" s="5">
        <v>44652</v>
      </c>
      <c r="J506" s="6">
        <v>0</v>
      </c>
      <c r="K506" s="6">
        <v>0</v>
      </c>
      <c r="L506" s="6">
        <v>148.232</v>
      </c>
      <c r="M506" s="6">
        <v>148.232</v>
      </c>
      <c r="N506" s="6">
        <v>148.232</v>
      </c>
      <c r="O506" s="6">
        <v>148.232</v>
      </c>
      <c r="P506" s="6">
        <v>141</v>
      </c>
      <c r="Q506" s="4" t="s">
        <v>26</v>
      </c>
      <c r="R506" s="4">
        <v>0</v>
      </c>
      <c r="S506" s="4" t="s">
        <v>243</v>
      </c>
      <c r="T506" s="4" t="s">
        <v>368</v>
      </c>
      <c r="U506" s="4">
        <v>0</v>
      </c>
      <c r="V506" s="4">
        <v>72</v>
      </c>
      <c r="W506" s="4">
        <v>83</v>
      </c>
    </row>
    <row r="507" spans="1:23" ht="11.25" customHeight="1" x14ac:dyDescent="0.25">
      <c r="A507" s="4" t="s">
        <v>28</v>
      </c>
      <c r="B507" s="4" t="s">
        <v>33</v>
      </c>
      <c r="C507" s="4" t="s">
        <v>23</v>
      </c>
      <c r="D507" s="4" t="s">
        <v>34</v>
      </c>
      <c r="E507" s="4" t="s">
        <v>25</v>
      </c>
      <c r="F507" s="4" t="s">
        <v>25</v>
      </c>
      <c r="G507" s="4" t="s">
        <v>25</v>
      </c>
      <c r="H507" s="4" t="s">
        <v>25</v>
      </c>
      <c r="I507" s="5">
        <v>44652</v>
      </c>
      <c r="J507" s="6">
        <v>0</v>
      </c>
      <c r="K507" s="6">
        <v>0</v>
      </c>
      <c r="L507" s="6">
        <v>5.3739999999999997</v>
      </c>
      <c r="M507" s="6">
        <v>5.3739999999999997</v>
      </c>
      <c r="N507" s="6">
        <v>5.3739999999999997</v>
      </c>
      <c r="O507" s="6">
        <v>5.3739999999999997</v>
      </c>
      <c r="P507" s="6">
        <v>10</v>
      </c>
      <c r="Q507" s="4" t="s">
        <v>26</v>
      </c>
      <c r="R507" s="4">
        <v>0</v>
      </c>
      <c r="S507" s="4" t="s">
        <v>243</v>
      </c>
      <c r="T507" s="4" t="s">
        <v>368</v>
      </c>
      <c r="U507" s="4">
        <v>0</v>
      </c>
      <c r="V507" s="4">
        <v>72</v>
      </c>
      <c r="W507" s="4">
        <v>83</v>
      </c>
    </row>
    <row r="508" spans="1:23" ht="11.25" customHeight="1" x14ac:dyDescent="0.25">
      <c r="A508" s="4" t="s">
        <v>21</v>
      </c>
      <c r="B508" s="4" t="s">
        <v>33</v>
      </c>
      <c r="C508" s="4" t="s">
        <v>23</v>
      </c>
      <c r="D508" s="4" t="s">
        <v>34</v>
      </c>
      <c r="E508" s="4" t="s">
        <v>25</v>
      </c>
      <c r="F508" s="4" t="s">
        <v>25</v>
      </c>
      <c r="G508" s="4" t="s">
        <v>25</v>
      </c>
      <c r="H508" s="4" t="s">
        <v>25</v>
      </c>
      <c r="I508" s="5">
        <v>44682</v>
      </c>
      <c r="J508" s="6">
        <v>0</v>
      </c>
      <c r="K508" s="6">
        <v>0</v>
      </c>
      <c r="L508" s="6">
        <v>156.66399999999999</v>
      </c>
      <c r="M508" s="6">
        <v>156.66399999999999</v>
      </c>
      <c r="N508" s="6">
        <v>156.66399999999999</v>
      </c>
      <c r="O508" s="6">
        <v>156.66399999999999</v>
      </c>
      <c r="P508" s="6">
        <v>140</v>
      </c>
      <c r="Q508" s="4" t="s">
        <v>26</v>
      </c>
      <c r="R508" s="4">
        <v>0</v>
      </c>
      <c r="S508" s="4" t="s">
        <v>244</v>
      </c>
      <c r="T508" s="4" t="s">
        <v>369</v>
      </c>
      <c r="U508" s="4">
        <v>0</v>
      </c>
      <c r="V508" s="4">
        <v>72</v>
      </c>
      <c r="W508" s="4">
        <v>83</v>
      </c>
    </row>
    <row r="509" spans="1:23" ht="11.25" customHeight="1" x14ac:dyDescent="0.25">
      <c r="A509" s="4" t="s">
        <v>28</v>
      </c>
      <c r="B509" s="4" t="s">
        <v>33</v>
      </c>
      <c r="C509" s="4" t="s">
        <v>23</v>
      </c>
      <c r="D509" s="4" t="s">
        <v>34</v>
      </c>
      <c r="E509" s="4" t="s">
        <v>25</v>
      </c>
      <c r="F509" s="4" t="s">
        <v>25</v>
      </c>
      <c r="G509" s="4" t="s">
        <v>25</v>
      </c>
      <c r="H509" s="4" t="s">
        <v>25</v>
      </c>
      <c r="I509" s="5">
        <v>44682</v>
      </c>
      <c r="J509" s="6">
        <v>0</v>
      </c>
      <c r="K509" s="6">
        <v>0</v>
      </c>
      <c r="L509" s="6">
        <v>7.5190000000000001</v>
      </c>
      <c r="M509" s="6">
        <v>7.5190000000000001</v>
      </c>
      <c r="N509" s="6">
        <v>7.5190000000000001</v>
      </c>
      <c r="O509" s="6">
        <v>7.5190000000000001</v>
      </c>
      <c r="P509" s="6">
        <v>11</v>
      </c>
      <c r="Q509" s="4" t="s">
        <v>26</v>
      </c>
      <c r="R509" s="4">
        <v>0</v>
      </c>
      <c r="S509" s="4" t="s">
        <v>244</v>
      </c>
      <c r="T509" s="4" t="s">
        <v>369</v>
      </c>
      <c r="U509" s="4">
        <v>0</v>
      </c>
      <c r="V509" s="4">
        <v>72</v>
      </c>
      <c r="W509" s="4">
        <v>83</v>
      </c>
    </row>
    <row r="510" spans="1:23" ht="11.25" customHeight="1" x14ac:dyDescent="0.25">
      <c r="A510" s="4" t="s">
        <v>21</v>
      </c>
      <c r="B510" s="4" t="s">
        <v>33</v>
      </c>
      <c r="C510" s="4" t="s">
        <v>23</v>
      </c>
      <c r="D510" s="4" t="s">
        <v>34</v>
      </c>
      <c r="E510" s="4" t="s">
        <v>25</v>
      </c>
      <c r="F510" s="4" t="s">
        <v>25</v>
      </c>
      <c r="G510" s="4" t="s">
        <v>25</v>
      </c>
      <c r="H510" s="4" t="s">
        <v>25</v>
      </c>
      <c r="I510" s="5">
        <v>44713</v>
      </c>
      <c r="J510" s="6">
        <v>0</v>
      </c>
      <c r="K510" s="6">
        <v>0</v>
      </c>
      <c r="L510" s="6">
        <v>154.83799999999999</v>
      </c>
      <c r="M510" s="6">
        <v>154.83799999999999</v>
      </c>
      <c r="N510" s="6">
        <v>154.83799999999999</v>
      </c>
      <c r="O510" s="6">
        <v>154.83799999999999</v>
      </c>
      <c r="P510" s="6">
        <v>138</v>
      </c>
      <c r="Q510" s="4" t="s">
        <v>26</v>
      </c>
      <c r="R510" s="4">
        <v>0</v>
      </c>
      <c r="S510" s="4" t="s">
        <v>245</v>
      </c>
      <c r="T510" s="4" t="s">
        <v>370</v>
      </c>
      <c r="U510" s="4">
        <v>0</v>
      </c>
      <c r="V510" s="4">
        <v>72</v>
      </c>
      <c r="W510" s="4">
        <v>83</v>
      </c>
    </row>
    <row r="511" spans="1:23" ht="11.25" customHeight="1" x14ac:dyDescent="0.25">
      <c r="A511" s="4" t="s">
        <v>28</v>
      </c>
      <c r="B511" s="4" t="s">
        <v>33</v>
      </c>
      <c r="C511" s="4" t="s">
        <v>23</v>
      </c>
      <c r="D511" s="4" t="s">
        <v>34</v>
      </c>
      <c r="E511" s="4" t="s">
        <v>25</v>
      </c>
      <c r="F511" s="4" t="s">
        <v>25</v>
      </c>
      <c r="G511" s="4" t="s">
        <v>25</v>
      </c>
      <c r="H511" s="4" t="s">
        <v>25</v>
      </c>
      <c r="I511" s="5">
        <v>44713</v>
      </c>
      <c r="J511" s="6">
        <v>0</v>
      </c>
      <c r="K511" s="6">
        <v>0</v>
      </c>
      <c r="L511" s="6">
        <v>15.335000000000001</v>
      </c>
      <c r="M511" s="6">
        <v>15.335000000000001</v>
      </c>
      <c r="N511" s="6">
        <v>15.335000000000001</v>
      </c>
      <c r="O511" s="6">
        <v>15.335000000000001</v>
      </c>
      <c r="P511" s="6">
        <v>12</v>
      </c>
      <c r="Q511" s="4" t="s">
        <v>26</v>
      </c>
      <c r="R511" s="4">
        <v>0</v>
      </c>
      <c r="S511" s="4" t="s">
        <v>245</v>
      </c>
      <c r="T511" s="4" t="s">
        <v>370</v>
      </c>
      <c r="U511" s="4">
        <v>0</v>
      </c>
      <c r="V511" s="4">
        <v>72</v>
      </c>
      <c r="W511" s="4">
        <v>83</v>
      </c>
    </row>
    <row r="512" spans="1:23" ht="11.25" customHeight="1" x14ac:dyDescent="0.25">
      <c r="A512" s="4" t="s">
        <v>21</v>
      </c>
      <c r="B512" s="4" t="s">
        <v>33</v>
      </c>
      <c r="C512" s="4" t="s">
        <v>23</v>
      </c>
      <c r="D512" s="4" t="s">
        <v>34</v>
      </c>
      <c r="E512" s="4" t="s">
        <v>25</v>
      </c>
      <c r="F512" s="4" t="s">
        <v>25</v>
      </c>
      <c r="G512" s="4" t="s">
        <v>25</v>
      </c>
      <c r="H512" s="4" t="s">
        <v>25</v>
      </c>
      <c r="I512" s="5">
        <v>44743</v>
      </c>
      <c r="J512" s="6">
        <v>0</v>
      </c>
      <c r="K512" s="6">
        <v>0</v>
      </c>
      <c r="L512" s="6">
        <v>143.267</v>
      </c>
      <c r="M512" s="6">
        <v>143.267</v>
      </c>
      <c r="N512" s="6">
        <v>143.267</v>
      </c>
      <c r="O512" s="6">
        <v>143.267</v>
      </c>
      <c r="P512" s="6">
        <v>138</v>
      </c>
      <c r="Q512" s="4" t="s">
        <v>26</v>
      </c>
      <c r="R512" s="4">
        <v>0</v>
      </c>
      <c r="S512" s="4" t="s">
        <v>246</v>
      </c>
      <c r="T512" s="4" t="s">
        <v>371</v>
      </c>
      <c r="U512" s="4">
        <v>0</v>
      </c>
      <c r="V512" s="4">
        <v>72</v>
      </c>
      <c r="W512" s="4">
        <v>83</v>
      </c>
    </row>
    <row r="513" spans="1:23" ht="11.25" customHeight="1" x14ac:dyDescent="0.25">
      <c r="A513" s="4" t="s">
        <v>28</v>
      </c>
      <c r="B513" s="4" t="s">
        <v>33</v>
      </c>
      <c r="C513" s="4" t="s">
        <v>23</v>
      </c>
      <c r="D513" s="4" t="s">
        <v>34</v>
      </c>
      <c r="E513" s="4" t="s">
        <v>25</v>
      </c>
      <c r="F513" s="4" t="s">
        <v>25</v>
      </c>
      <c r="G513" s="4" t="s">
        <v>25</v>
      </c>
      <c r="H513" s="4" t="s">
        <v>25</v>
      </c>
      <c r="I513" s="5">
        <v>44743</v>
      </c>
      <c r="J513" s="6">
        <v>0</v>
      </c>
      <c r="K513" s="6">
        <v>0</v>
      </c>
      <c r="L513" s="6">
        <v>17.295000000000002</v>
      </c>
      <c r="M513" s="6">
        <v>17.295000000000002</v>
      </c>
      <c r="N513" s="6">
        <v>17.295000000000002</v>
      </c>
      <c r="O513" s="6">
        <v>17.295000000000002</v>
      </c>
      <c r="P513" s="6">
        <v>13</v>
      </c>
      <c r="Q513" s="4" t="s">
        <v>26</v>
      </c>
      <c r="R513" s="4">
        <v>0</v>
      </c>
      <c r="S513" s="4" t="s">
        <v>246</v>
      </c>
      <c r="T513" s="4" t="s">
        <v>371</v>
      </c>
      <c r="U513" s="4">
        <v>0</v>
      </c>
      <c r="V513" s="4">
        <v>72</v>
      </c>
      <c r="W513" s="4">
        <v>83</v>
      </c>
    </row>
    <row r="514" spans="1:23" ht="11.25" customHeight="1" x14ac:dyDescent="0.25">
      <c r="A514" s="4" t="s">
        <v>21</v>
      </c>
      <c r="B514" s="4" t="s">
        <v>33</v>
      </c>
      <c r="C514" s="4" t="s">
        <v>23</v>
      </c>
      <c r="D514" s="4" t="s">
        <v>34</v>
      </c>
      <c r="E514" s="4" t="s">
        <v>25</v>
      </c>
      <c r="F514" s="4" t="s">
        <v>25</v>
      </c>
      <c r="G514" s="4" t="s">
        <v>25</v>
      </c>
      <c r="H514" s="4" t="s">
        <v>25</v>
      </c>
      <c r="I514" s="5">
        <v>44774</v>
      </c>
      <c r="J514" s="6">
        <v>0</v>
      </c>
      <c r="K514" s="6">
        <v>0</v>
      </c>
      <c r="L514" s="6">
        <v>160.126</v>
      </c>
      <c r="M514" s="6">
        <v>160.126</v>
      </c>
      <c r="N514" s="6">
        <v>160.126</v>
      </c>
      <c r="O514" s="6">
        <v>160.126</v>
      </c>
      <c r="P514" s="6">
        <v>137</v>
      </c>
      <c r="Q514" s="4" t="s">
        <v>26</v>
      </c>
      <c r="R514" s="4">
        <v>0</v>
      </c>
      <c r="S514" s="4" t="s">
        <v>247</v>
      </c>
      <c r="T514" s="4" t="s">
        <v>372</v>
      </c>
      <c r="U514" s="4">
        <v>0</v>
      </c>
      <c r="V514" s="4">
        <v>72</v>
      </c>
      <c r="W514" s="4">
        <v>83</v>
      </c>
    </row>
    <row r="515" spans="1:23" ht="11.25" customHeight="1" x14ac:dyDescent="0.25">
      <c r="A515" s="4" t="s">
        <v>28</v>
      </c>
      <c r="B515" s="4" t="s">
        <v>33</v>
      </c>
      <c r="C515" s="4" t="s">
        <v>23</v>
      </c>
      <c r="D515" s="4" t="s">
        <v>34</v>
      </c>
      <c r="E515" s="4" t="s">
        <v>25</v>
      </c>
      <c r="F515" s="4" t="s">
        <v>25</v>
      </c>
      <c r="G515" s="4" t="s">
        <v>25</v>
      </c>
      <c r="H515" s="4" t="s">
        <v>25</v>
      </c>
      <c r="I515" s="5">
        <v>44774</v>
      </c>
      <c r="J515" s="6">
        <v>0</v>
      </c>
      <c r="K515" s="6">
        <v>0</v>
      </c>
      <c r="L515" s="6">
        <v>12.842000000000001</v>
      </c>
      <c r="M515" s="6">
        <v>12.842000000000001</v>
      </c>
      <c r="N515" s="6">
        <v>12.842000000000001</v>
      </c>
      <c r="O515" s="6">
        <v>12.842000000000001</v>
      </c>
      <c r="P515" s="6">
        <v>14</v>
      </c>
      <c r="Q515" s="4" t="s">
        <v>26</v>
      </c>
      <c r="R515" s="4">
        <v>0</v>
      </c>
      <c r="S515" s="4" t="s">
        <v>247</v>
      </c>
      <c r="T515" s="4" t="s">
        <v>372</v>
      </c>
      <c r="U515" s="4">
        <v>0</v>
      </c>
      <c r="V515" s="4">
        <v>72</v>
      </c>
      <c r="W515" s="4">
        <v>83</v>
      </c>
    </row>
    <row r="516" spans="1:23" ht="11.25" customHeight="1" x14ac:dyDescent="0.25">
      <c r="A516" s="4" t="s">
        <v>28</v>
      </c>
      <c r="B516" s="4" t="s">
        <v>33</v>
      </c>
      <c r="C516" s="4" t="s">
        <v>23</v>
      </c>
      <c r="D516" s="4" t="s">
        <v>34</v>
      </c>
      <c r="E516" s="4" t="s">
        <v>25</v>
      </c>
      <c r="F516" s="4" t="s">
        <v>25</v>
      </c>
      <c r="G516" s="4" t="s">
        <v>25</v>
      </c>
      <c r="H516" s="4" t="s">
        <v>25</v>
      </c>
      <c r="I516" s="5">
        <v>44774</v>
      </c>
      <c r="J516" s="6">
        <v>0</v>
      </c>
      <c r="K516" s="6">
        <v>0</v>
      </c>
      <c r="L516" s="6">
        <v>-1.802</v>
      </c>
      <c r="M516" s="6">
        <v>-1.802</v>
      </c>
      <c r="N516" s="6">
        <v>-1.802</v>
      </c>
      <c r="O516" s="6">
        <v>-1.802</v>
      </c>
      <c r="P516" s="6">
        <v>2</v>
      </c>
      <c r="Q516" s="4" t="s">
        <v>26</v>
      </c>
      <c r="R516" s="4">
        <v>0</v>
      </c>
      <c r="S516" s="4" t="s">
        <v>247</v>
      </c>
      <c r="T516" s="4" t="s">
        <v>372</v>
      </c>
      <c r="U516" s="4">
        <v>0</v>
      </c>
      <c r="V516" s="4">
        <v>72</v>
      </c>
      <c r="W516" s="4">
        <v>83</v>
      </c>
    </row>
    <row r="517" spans="1:23" ht="11.25" customHeight="1" x14ac:dyDescent="0.25">
      <c r="A517" s="4" t="s">
        <v>21</v>
      </c>
      <c r="B517" s="4" t="s">
        <v>33</v>
      </c>
      <c r="C517" s="4" t="s">
        <v>23</v>
      </c>
      <c r="D517" s="4" t="s">
        <v>42</v>
      </c>
      <c r="E517" s="4" t="s">
        <v>25</v>
      </c>
      <c r="F517" s="4" t="s">
        <v>25</v>
      </c>
      <c r="G517" s="4" t="s">
        <v>25</v>
      </c>
      <c r="H517" s="4" t="s">
        <v>25</v>
      </c>
      <c r="I517" s="5">
        <v>44440</v>
      </c>
      <c r="J517" s="6">
        <v>0</v>
      </c>
      <c r="K517" s="6">
        <v>0</v>
      </c>
      <c r="L517" s="6">
        <v>108.654</v>
      </c>
      <c r="M517" s="6">
        <v>108.654</v>
      </c>
      <c r="N517" s="6">
        <v>108.654</v>
      </c>
      <c r="O517" s="6">
        <v>108.654</v>
      </c>
      <c r="P517" s="6">
        <v>159</v>
      </c>
      <c r="Q517" s="4" t="s">
        <v>26</v>
      </c>
      <c r="R517" s="4">
        <v>0</v>
      </c>
      <c r="S517" s="4" t="s">
        <v>236</v>
      </c>
      <c r="T517" s="4" t="s">
        <v>361</v>
      </c>
      <c r="U517" s="4">
        <v>0</v>
      </c>
      <c r="V517" s="4">
        <v>72</v>
      </c>
      <c r="W517" s="4">
        <v>83</v>
      </c>
    </row>
    <row r="518" spans="1:23" ht="11.25" customHeight="1" x14ac:dyDescent="0.25">
      <c r="A518" s="4" t="s">
        <v>21</v>
      </c>
      <c r="B518" s="4" t="s">
        <v>33</v>
      </c>
      <c r="C518" s="4" t="s">
        <v>23</v>
      </c>
      <c r="D518" s="4" t="s">
        <v>42</v>
      </c>
      <c r="E518" s="4" t="s">
        <v>25</v>
      </c>
      <c r="F518" s="4" t="s">
        <v>25</v>
      </c>
      <c r="G518" s="4" t="s">
        <v>25</v>
      </c>
      <c r="H518" s="4" t="s">
        <v>25</v>
      </c>
      <c r="I518" s="5">
        <v>44470</v>
      </c>
      <c r="J518" s="6">
        <v>0</v>
      </c>
      <c r="K518" s="6">
        <v>0</v>
      </c>
      <c r="L518" s="6">
        <v>105.723</v>
      </c>
      <c r="M518" s="6">
        <v>105.723</v>
      </c>
      <c r="N518" s="6">
        <v>105.723</v>
      </c>
      <c r="O518" s="6">
        <v>105.723</v>
      </c>
      <c r="P518" s="6">
        <v>162</v>
      </c>
      <c r="Q518" s="4" t="s">
        <v>26</v>
      </c>
      <c r="R518" s="4">
        <v>0</v>
      </c>
      <c r="S518" s="4" t="s">
        <v>237</v>
      </c>
      <c r="T518" s="4" t="s">
        <v>362</v>
      </c>
      <c r="U518" s="4">
        <v>0</v>
      </c>
      <c r="V518" s="4">
        <v>72</v>
      </c>
      <c r="W518" s="4">
        <v>83</v>
      </c>
    </row>
    <row r="519" spans="1:23" ht="11.25" customHeight="1" x14ac:dyDescent="0.25">
      <c r="A519" s="4" t="s">
        <v>21</v>
      </c>
      <c r="B519" s="4" t="s">
        <v>33</v>
      </c>
      <c r="C519" s="4" t="s">
        <v>23</v>
      </c>
      <c r="D519" s="4" t="s">
        <v>42</v>
      </c>
      <c r="E519" s="4" t="s">
        <v>25</v>
      </c>
      <c r="F519" s="4" t="s">
        <v>25</v>
      </c>
      <c r="G519" s="4" t="s">
        <v>25</v>
      </c>
      <c r="H519" s="4" t="s">
        <v>25</v>
      </c>
      <c r="I519" s="5">
        <v>44501</v>
      </c>
      <c r="J519" s="6">
        <v>0</v>
      </c>
      <c r="K519" s="6">
        <v>0</v>
      </c>
      <c r="L519" s="6">
        <v>112.221</v>
      </c>
      <c r="M519" s="6">
        <v>112.221</v>
      </c>
      <c r="N519" s="6">
        <v>112.221</v>
      </c>
      <c r="O519" s="6">
        <v>112.221</v>
      </c>
      <c r="P519" s="6">
        <v>163</v>
      </c>
      <c r="Q519" s="4" t="s">
        <v>26</v>
      </c>
      <c r="R519" s="4">
        <v>0</v>
      </c>
      <c r="S519" s="4" t="s">
        <v>238</v>
      </c>
      <c r="T519" s="4" t="s">
        <v>363</v>
      </c>
      <c r="U519" s="4">
        <v>0</v>
      </c>
      <c r="V519" s="4">
        <v>72</v>
      </c>
      <c r="W519" s="4">
        <v>83</v>
      </c>
    </row>
    <row r="520" spans="1:23" ht="11.25" customHeight="1" x14ac:dyDescent="0.25">
      <c r="A520" s="4" t="s">
        <v>21</v>
      </c>
      <c r="B520" s="4" t="s">
        <v>33</v>
      </c>
      <c r="C520" s="4" t="s">
        <v>23</v>
      </c>
      <c r="D520" s="4" t="s">
        <v>42</v>
      </c>
      <c r="E520" s="4" t="s">
        <v>25</v>
      </c>
      <c r="F520" s="4" t="s">
        <v>25</v>
      </c>
      <c r="G520" s="4" t="s">
        <v>25</v>
      </c>
      <c r="H520" s="4" t="s">
        <v>25</v>
      </c>
      <c r="I520" s="5">
        <v>44531</v>
      </c>
      <c r="J520" s="6">
        <v>0</v>
      </c>
      <c r="K520" s="6">
        <v>0</v>
      </c>
      <c r="L520" s="6">
        <v>129.02600000000001</v>
      </c>
      <c r="M520" s="6">
        <v>129.02600000000001</v>
      </c>
      <c r="N520" s="6">
        <v>129.02600000000001</v>
      </c>
      <c r="O520" s="6">
        <v>129.02600000000001</v>
      </c>
      <c r="P520" s="6">
        <v>160</v>
      </c>
      <c r="Q520" s="4" t="s">
        <v>26</v>
      </c>
      <c r="R520" s="4">
        <v>0</v>
      </c>
      <c r="S520" s="4" t="s">
        <v>239</v>
      </c>
      <c r="T520" s="4" t="s">
        <v>364</v>
      </c>
      <c r="U520" s="4">
        <v>0</v>
      </c>
      <c r="V520" s="4">
        <v>72</v>
      </c>
      <c r="W520" s="4">
        <v>83</v>
      </c>
    </row>
    <row r="521" spans="1:23" ht="11.25" customHeight="1" x14ac:dyDescent="0.25">
      <c r="A521" s="4" t="s">
        <v>21</v>
      </c>
      <c r="B521" s="4" t="s">
        <v>33</v>
      </c>
      <c r="C521" s="4" t="s">
        <v>23</v>
      </c>
      <c r="D521" s="4" t="s">
        <v>42</v>
      </c>
      <c r="E521" s="4" t="s">
        <v>25</v>
      </c>
      <c r="F521" s="4" t="s">
        <v>25</v>
      </c>
      <c r="G521" s="4" t="s">
        <v>25</v>
      </c>
      <c r="H521" s="4" t="s">
        <v>25</v>
      </c>
      <c r="I521" s="5">
        <v>44562</v>
      </c>
      <c r="J521" s="6">
        <v>0</v>
      </c>
      <c r="K521" s="6">
        <v>0</v>
      </c>
      <c r="L521" s="6">
        <v>132.499</v>
      </c>
      <c r="M521" s="6">
        <v>132.499</v>
      </c>
      <c r="N521" s="6">
        <v>132.499</v>
      </c>
      <c r="O521" s="6">
        <v>132.499</v>
      </c>
      <c r="P521" s="6">
        <v>161</v>
      </c>
      <c r="Q521" s="4" t="s">
        <v>26</v>
      </c>
      <c r="R521" s="4">
        <v>0</v>
      </c>
      <c r="S521" s="4" t="s">
        <v>240</v>
      </c>
      <c r="T521" s="4" t="s">
        <v>365</v>
      </c>
      <c r="U521" s="4">
        <v>0</v>
      </c>
      <c r="V521" s="4">
        <v>72</v>
      </c>
      <c r="W521" s="4">
        <v>83</v>
      </c>
    </row>
    <row r="522" spans="1:23" ht="11.25" customHeight="1" x14ac:dyDescent="0.25">
      <c r="A522" s="4" t="s">
        <v>27</v>
      </c>
      <c r="B522" s="4" t="s">
        <v>33</v>
      </c>
      <c r="C522" s="4" t="s">
        <v>23</v>
      </c>
      <c r="D522" s="4" t="s">
        <v>42</v>
      </c>
      <c r="E522" s="4" t="s">
        <v>25</v>
      </c>
      <c r="F522" s="4" t="s">
        <v>25</v>
      </c>
      <c r="G522" s="4" t="s">
        <v>25</v>
      </c>
      <c r="H522" s="4" t="s">
        <v>25</v>
      </c>
      <c r="I522" s="5">
        <v>44562</v>
      </c>
      <c r="J522" s="6">
        <v>0</v>
      </c>
      <c r="K522" s="6">
        <v>0</v>
      </c>
      <c r="L522" s="6">
        <v>-2.6269999999999998</v>
      </c>
      <c r="M522" s="6">
        <v>-2.6269999999999998</v>
      </c>
      <c r="N522" s="6">
        <v>-2.6269999999999998</v>
      </c>
      <c r="O522" s="6">
        <v>-2.6269999999999998</v>
      </c>
      <c r="P522" s="6">
        <v>0</v>
      </c>
      <c r="Q522" s="4" t="s">
        <v>26</v>
      </c>
      <c r="R522" s="4">
        <v>0</v>
      </c>
      <c r="S522" s="4" t="s">
        <v>240</v>
      </c>
      <c r="T522" s="4" t="s">
        <v>365</v>
      </c>
      <c r="U522" s="4">
        <v>0</v>
      </c>
      <c r="V522" s="4">
        <v>72</v>
      </c>
      <c r="W522" s="4">
        <v>83</v>
      </c>
    </row>
    <row r="523" spans="1:23" ht="11.25" customHeight="1" x14ac:dyDescent="0.25">
      <c r="A523" s="4" t="s">
        <v>21</v>
      </c>
      <c r="B523" s="4" t="s">
        <v>33</v>
      </c>
      <c r="C523" s="4" t="s">
        <v>23</v>
      </c>
      <c r="D523" s="4" t="s">
        <v>42</v>
      </c>
      <c r="E523" s="4" t="s">
        <v>25</v>
      </c>
      <c r="F523" s="4" t="s">
        <v>25</v>
      </c>
      <c r="G523" s="4" t="s">
        <v>25</v>
      </c>
      <c r="H523" s="4" t="s">
        <v>25</v>
      </c>
      <c r="I523" s="5">
        <v>44593</v>
      </c>
      <c r="J523" s="6">
        <v>0</v>
      </c>
      <c r="K523" s="6">
        <v>0</v>
      </c>
      <c r="L523" s="6">
        <v>155.26900000000001</v>
      </c>
      <c r="M523" s="6">
        <v>155.26900000000001</v>
      </c>
      <c r="N523" s="6">
        <v>155.26900000000001</v>
      </c>
      <c r="O523" s="6">
        <v>155.26900000000001</v>
      </c>
      <c r="P523" s="6">
        <v>158</v>
      </c>
      <c r="Q523" s="4" t="s">
        <v>26</v>
      </c>
      <c r="R523" s="4">
        <v>0</v>
      </c>
      <c r="S523" s="4" t="s">
        <v>241</v>
      </c>
      <c r="T523" s="4" t="s">
        <v>366</v>
      </c>
      <c r="U523" s="4">
        <v>0</v>
      </c>
      <c r="V523" s="4">
        <v>72</v>
      </c>
      <c r="W523" s="4">
        <v>83</v>
      </c>
    </row>
    <row r="524" spans="1:23" ht="11.25" customHeight="1" x14ac:dyDescent="0.25">
      <c r="A524" s="4" t="s">
        <v>21</v>
      </c>
      <c r="B524" s="4" t="s">
        <v>33</v>
      </c>
      <c r="C524" s="4" t="s">
        <v>23</v>
      </c>
      <c r="D524" s="4" t="s">
        <v>42</v>
      </c>
      <c r="E524" s="4" t="s">
        <v>25</v>
      </c>
      <c r="F524" s="4" t="s">
        <v>25</v>
      </c>
      <c r="G524" s="4" t="s">
        <v>25</v>
      </c>
      <c r="H524" s="4" t="s">
        <v>25</v>
      </c>
      <c r="I524" s="5">
        <v>44621</v>
      </c>
      <c r="J524" s="6">
        <v>0</v>
      </c>
      <c r="K524" s="6">
        <v>0</v>
      </c>
      <c r="L524" s="6">
        <v>148.22499999999999</v>
      </c>
      <c r="M524" s="6">
        <v>148.22499999999999</v>
      </c>
      <c r="N524" s="6">
        <v>148.22499999999999</v>
      </c>
      <c r="O524" s="6">
        <v>148.22499999999999</v>
      </c>
      <c r="P524" s="6">
        <v>158</v>
      </c>
      <c r="Q524" s="4" t="s">
        <v>26</v>
      </c>
      <c r="R524" s="4">
        <v>0</v>
      </c>
      <c r="S524" s="4" t="s">
        <v>242</v>
      </c>
      <c r="T524" s="4" t="s">
        <v>367</v>
      </c>
      <c r="U524" s="4">
        <v>0</v>
      </c>
      <c r="V524" s="4">
        <v>72</v>
      </c>
      <c r="W524" s="4">
        <v>83</v>
      </c>
    </row>
    <row r="525" spans="1:23" ht="11.25" customHeight="1" x14ac:dyDescent="0.25">
      <c r="A525" s="4" t="s">
        <v>21</v>
      </c>
      <c r="B525" s="4" t="s">
        <v>33</v>
      </c>
      <c r="C525" s="4" t="s">
        <v>23</v>
      </c>
      <c r="D525" s="4" t="s">
        <v>42</v>
      </c>
      <c r="E525" s="4" t="s">
        <v>25</v>
      </c>
      <c r="F525" s="4" t="s">
        <v>25</v>
      </c>
      <c r="G525" s="4" t="s">
        <v>25</v>
      </c>
      <c r="H525" s="4" t="s">
        <v>25</v>
      </c>
      <c r="I525" s="5">
        <v>44652</v>
      </c>
      <c r="J525" s="6">
        <v>0</v>
      </c>
      <c r="K525" s="6">
        <v>0</v>
      </c>
      <c r="L525" s="6">
        <v>119.629</v>
      </c>
      <c r="M525" s="6">
        <v>119.629</v>
      </c>
      <c r="N525" s="6">
        <v>119.629</v>
      </c>
      <c r="O525" s="6">
        <v>119.629</v>
      </c>
      <c r="P525" s="6">
        <v>157</v>
      </c>
      <c r="Q525" s="4" t="s">
        <v>26</v>
      </c>
      <c r="R525" s="4">
        <v>0</v>
      </c>
      <c r="S525" s="4" t="s">
        <v>243</v>
      </c>
      <c r="T525" s="4" t="s">
        <v>368</v>
      </c>
      <c r="U525" s="4">
        <v>0</v>
      </c>
      <c r="V525" s="4">
        <v>72</v>
      </c>
      <c r="W525" s="4">
        <v>83</v>
      </c>
    </row>
    <row r="526" spans="1:23" ht="11.25" customHeight="1" x14ac:dyDescent="0.25">
      <c r="A526" s="4" t="s">
        <v>21</v>
      </c>
      <c r="B526" s="4" t="s">
        <v>33</v>
      </c>
      <c r="C526" s="4" t="s">
        <v>23</v>
      </c>
      <c r="D526" s="4" t="s">
        <v>42</v>
      </c>
      <c r="E526" s="4" t="s">
        <v>25</v>
      </c>
      <c r="F526" s="4" t="s">
        <v>25</v>
      </c>
      <c r="G526" s="4" t="s">
        <v>25</v>
      </c>
      <c r="H526" s="4" t="s">
        <v>25</v>
      </c>
      <c r="I526" s="5">
        <v>44682</v>
      </c>
      <c r="J526" s="6">
        <v>0</v>
      </c>
      <c r="K526" s="6">
        <v>0</v>
      </c>
      <c r="L526" s="6">
        <v>115.01900000000001</v>
      </c>
      <c r="M526" s="6">
        <v>115.01900000000001</v>
      </c>
      <c r="N526" s="6">
        <v>115.01900000000001</v>
      </c>
      <c r="O526" s="6">
        <v>115.01900000000001</v>
      </c>
      <c r="P526" s="6">
        <v>158</v>
      </c>
      <c r="Q526" s="4" t="s">
        <v>26</v>
      </c>
      <c r="R526" s="4">
        <v>0</v>
      </c>
      <c r="S526" s="4" t="s">
        <v>244</v>
      </c>
      <c r="T526" s="4" t="s">
        <v>369</v>
      </c>
      <c r="U526" s="4">
        <v>0</v>
      </c>
      <c r="V526" s="4">
        <v>72</v>
      </c>
      <c r="W526" s="4">
        <v>83</v>
      </c>
    </row>
    <row r="527" spans="1:23" ht="11.25" customHeight="1" x14ac:dyDescent="0.25">
      <c r="A527" s="4" t="s">
        <v>21</v>
      </c>
      <c r="B527" s="4" t="s">
        <v>33</v>
      </c>
      <c r="C527" s="4" t="s">
        <v>23</v>
      </c>
      <c r="D527" s="4" t="s">
        <v>42</v>
      </c>
      <c r="E527" s="4" t="s">
        <v>25</v>
      </c>
      <c r="F527" s="4" t="s">
        <v>25</v>
      </c>
      <c r="G527" s="4" t="s">
        <v>25</v>
      </c>
      <c r="H527" s="4" t="s">
        <v>25</v>
      </c>
      <c r="I527" s="5">
        <v>44713</v>
      </c>
      <c r="J527" s="6">
        <v>0</v>
      </c>
      <c r="K527" s="6">
        <v>0</v>
      </c>
      <c r="L527" s="6">
        <v>123.349</v>
      </c>
      <c r="M527" s="6">
        <v>123.349</v>
      </c>
      <c r="N527" s="6">
        <v>123.349</v>
      </c>
      <c r="O527" s="6">
        <v>123.349</v>
      </c>
      <c r="P527" s="6">
        <v>159</v>
      </c>
      <c r="Q527" s="4" t="s">
        <v>26</v>
      </c>
      <c r="R527" s="4">
        <v>0</v>
      </c>
      <c r="S527" s="4" t="s">
        <v>245</v>
      </c>
      <c r="T527" s="4" t="s">
        <v>370</v>
      </c>
      <c r="U527" s="4">
        <v>0</v>
      </c>
      <c r="V527" s="4">
        <v>72</v>
      </c>
      <c r="W527" s="4">
        <v>83</v>
      </c>
    </row>
    <row r="528" spans="1:23" ht="11.25" customHeight="1" x14ac:dyDescent="0.25">
      <c r="A528" s="4" t="s">
        <v>21</v>
      </c>
      <c r="B528" s="4" t="s">
        <v>33</v>
      </c>
      <c r="C528" s="4" t="s">
        <v>23</v>
      </c>
      <c r="D528" s="4" t="s">
        <v>42</v>
      </c>
      <c r="E528" s="4" t="s">
        <v>25</v>
      </c>
      <c r="F528" s="4" t="s">
        <v>25</v>
      </c>
      <c r="G528" s="4" t="s">
        <v>25</v>
      </c>
      <c r="H528" s="4" t="s">
        <v>25</v>
      </c>
      <c r="I528" s="5">
        <v>44743</v>
      </c>
      <c r="J528" s="6">
        <v>0</v>
      </c>
      <c r="K528" s="6">
        <v>0</v>
      </c>
      <c r="L528" s="6">
        <v>111.56</v>
      </c>
      <c r="M528" s="6">
        <v>111.56</v>
      </c>
      <c r="N528" s="6">
        <v>111.56</v>
      </c>
      <c r="O528" s="6">
        <v>111.56</v>
      </c>
      <c r="P528" s="6">
        <v>159</v>
      </c>
      <c r="Q528" s="4" t="s">
        <v>26</v>
      </c>
      <c r="R528" s="4">
        <v>0</v>
      </c>
      <c r="S528" s="4" t="s">
        <v>246</v>
      </c>
      <c r="T528" s="4" t="s">
        <v>371</v>
      </c>
      <c r="U528" s="4">
        <v>0</v>
      </c>
      <c r="V528" s="4">
        <v>72</v>
      </c>
      <c r="W528" s="4">
        <v>83</v>
      </c>
    </row>
    <row r="529" spans="1:23" ht="11.25" customHeight="1" x14ac:dyDescent="0.25">
      <c r="A529" s="4" t="s">
        <v>21</v>
      </c>
      <c r="B529" s="4" t="s">
        <v>33</v>
      </c>
      <c r="C529" s="4" t="s">
        <v>23</v>
      </c>
      <c r="D529" s="4" t="s">
        <v>42</v>
      </c>
      <c r="E529" s="4" t="s">
        <v>25</v>
      </c>
      <c r="F529" s="4" t="s">
        <v>25</v>
      </c>
      <c r="G529" s="4" t="s">
        <v>25</v>
      </c>
      <c r="H529" s="4" t="s">
        <v>25</v>
      </c>
      <c r="I529" s="5">
        <v>44774</v>
      </c>
      <c r="J529" s="6">
        <v>0</v>
      </c>
      <c r="K529" s="6">
        <v>0</v>
      </c>
      <c r="L529" s="6">
        <v>103.979</v>
      </c>
      <c r="M529" s="6">
        <v>103.979</v>
      </c>
      <c r="N529" s="6">
        <v>103.979</v>
      </c>
      <c r="O529" s="6">
        <v>103.979</v>
      </c>
      <c r="P529" s="6">
        <v>159</v>
      </c>
      <c r="Q529" s="4" t="s">
        <v>26</v>
      </c>
      <c r="R529" s="4">
        <v>0</v>
      </c>
      <c r="S529" s="4" t="s">
        <v>247</v>
      </c>
      <c r="T529" s="4" t="s">
        <v>372</v>
      </c>
      <c r="U529" s="4">
        <v>0</v>
      </c>
      <c r="V529" s="4">
        <v>72</v>
      </c>
      <c r="W529" s="4">
        <v>83</v>
      </c>
    </row>
    <row r="530" spans="1:23" ht="11.25" customHeight="1" x14ac:dyDescent="0.25">
      <c r="A530" s="4" t="s">
        <v>21</v>
      </c>
      <c r="B530" s="4" t="s">
        <v>33</v>
      </c>
      <c r="C530" s="4" t="s">
        <v>23</v>
      </c>
      <c r="D530" s="4" t="s">
        <v>46</v>
      </c>
      <c r="E530" s="4" t="s">
        <v>47</v>
      </c>
      <c r="F530" s="4" t="s">
        <v>25</v>
      </c>
      <c r="G530" s="4" t="s">
        <v>25</v>
      </c>
      <c r="H530" s="4" t="s">
        <v>25</v>
      </c>
      <c r="I530" s="5">
        <v>44440</v>
      </c>
      <c r="J530" s="6">
        <v>0</v>
      </c>
      <c r="K530" s="6">
        <v>0</v>
      </c>
      <c r="L530" s="6">
        <v>47.116</v>
      </c>
      <c r="M530" s="6">
        <v>44.28904</v>
      </c>
      <c r="N530" s="6">
        <v>47.116</v>
      </c>
      <c r="O530" s="6">
        <v>44.28904</v>
      </c>
      <c r="P530" s="6">
        <v>19</v>
      </c>
      <c r="Q530" s="4" t="s">
        <v>26</v>
      </c>
      <c r="R530" s="4">
        <v>0</v>
      </c>
      <c r="S530" s="4" t="s">
        <v>236</v>
      </c>
      <c r="T530" s="4" t="s">
        <v>361</v>
      </c>
      <c r="U530" s="4">
        <v>0</v>
      </c>
      <c r="V530" s="4">
        <v>72</v>
      </c>
      <c r="W530" s="4">
        <v>83</v>
      </c>
    </row>
    <row r="531" spans="1:23" ht="11.25" customHeight="1" x14ac:dyDescent="0.25">
      <c r="A531" s="4" t="s">
        <v>21</v>
      </c>
      <c r="B531" s="4" t="s">
        <v>33</v>
      </c>
      <c r="C531" s="4" t="s">
        <v>23</v>
      </c>
      <c r="D531" s="4" t="s">
        <v>46</v>
      </c>
      <c r="E531" s="4" t="s">
        <v>47</v>
      </c>
      <c r="F531" s="4" t="s">
        <v>25</v>
      </c>
      <c r="G531" s="4" t="s">
        <v>25</v>
      </c>
      <c r="H531" s="4" t="s">
        <v>25</v>
      </c>
      <c r="I531" s="5">
        <v>44470</v>
      </c>
      <c r="J531" s="6">
        <v>0</v>
      </c>
      <c r="K531" s="6">
        <v>0</v>
      </c>
      <c r="L531" s="6">
        <v>44.110999999999997</v>
      </c>
      <c r="M531" s="6">
        <v>41.46434</v>
      </c>
      <c r="N531" s="6">
        <v>44.110999999999997</v>
      </c>
      <c r="O531" s="6">
        <v>41.46434</v>
      </c>
      <c r="P531" s="6">
        <v>19</v>
      </c>
      <c r="Q531" s="4" t="s">
        <v>26</v>
      </c>
      <c r="R531" s="4">
        <v>0</v>
      </c>
      <c r="S531" s="4" t="s">
        <v>237</v>
      </c>
      <c r="T531" s="4" t="s">
        <v>362</v>
      </c>
      <c r="U531" s="4">
        <v>0</v>
      </c>
      <c r="V531" s="4">
        <v>72</v>
      </c>
      <c r="W531" s="4">
        <v>83</v>
      </c>
    </row>
    <row r="532" spans="1:23" ht="11.25" customHeight="1" x14ac:dyDescent="0.25">
      <c r="A532" s="4" t="s">
        <v>21</v>
      </c>
      <c r="B532" s="4" t="s">
        <v>33</v>
      </c>
      <c r="C532" s="4" t="s">
        <v>23</v>
      </c>
      <c r="D532" s="4" t="s">
        <v>46</v>
      </c>
      <c r="E532" s="4" t="s">
        <v>47</v>
      </c>
      <c r="F532" s="4" t="s">
        <v>25</v>
      </c>
      <c r="G532" s="4" t="s">
        <v>25</v>
      </c>
      <c r="H532" s="4" t="s">
        <v>25</v>
      </c>
      <c r="I532" s="5">
        <v>44501</v>
      </c>
      <c r="J532" s="6">
        <v>0</v>
      </c>
      <c r="K532" s="6">
        <v>0</v>
      </c>
      <c r="L532" s="6">
        <v>43.723999999999997</v>
      </c>
      <c r="M532" s="6">
        <v>41.100560000000002</v>
      </c>
      <c r="N532" s="6">
        <v>43.723999999999997</v>
      </c>
      <c r="O532" s="6">
        <v>41.100560000000002</v>
      </c>
      <c r="P532" s="6">
        <v>19</v>
      </c>
      <c r="Q532" s="4" t="s">
        <v>26</v>
      </c>
      <c r="R532" s="4">
        <v>0</v>
      </c>
      <c r="S532" s="4" t="s">
        <v>238</v>
      </c>
      <c r="T532" s="4" t="s">
        <v>363</v>
      </c>
      <c r="U532" s="4">
        <v>0</v>
      </c>
      <c r="V532" s="4">
        <v>72</v>
      </c>
      <c r="W532" s="4">
        <v>83</v>
      </c>
    </row>
    <row r="533" spans="1:23" ht="11.25" customHeight="1" x14ac:dyDescent="0.25">
      <c r="A533" s="4" t="s">
        <v>21</v>
      </c>
      <c r="B533" s="4" t="s">
        <v>33</v>
      </c>
      <c r="C533" s="4" t="s">
        <v>23</v>
      </c>
      <c r="D533" s="4" t="s">
        <v>46</v>
      </c>
      <c r="E533" s="4" t="s">
        <v>47</v>
      </c>
      <c r="F533" s="4" t="s">
        <v>25</v>
      </c>
      <c r="G533" s="4" t="s">
        <v>25</v>
      </c>
      <c r="H533" s="4" t="s">
        <v>25</v>
      </c>
      <c r="I533" s="5">
        <v>44531</v>
      </c>
      <c r="J533" s="6">
        <v>0</v>
      </c>
      <c r="K533" s="6">
        <v>0</v>
      </c>
      <c r="L533" s="6">
        <v>46.649000000000001</v>
      </c>
      <c r="M533" s="6">
        <v>43.850059999999999</v>
      </c>
      <c r="N533" s="6">
        <v>46.649000000000001</v>
      </c>
      <c r="O533" s="6">
        <v>43.850059999999999</v>
      </c>
      <c r="P533" s="6">
        <v>19</v>
      </c>
      <c r="Q533" s="4" t="s">
        <v>26</v>
      </c>
      <c r="R533" s="4">
        <v>0</v>
      </c>
      <c r="S533" s="4" t="s">
        <v>239</v>
      </c>
      <c r="T533" s="4" t="s">
        <v>364</v>
      </c>
      <c r="U533" s="4">
        <v>0</v>
      </c>
      <c r="V533" s="4">
        <v>72</v>
      </c>
      <c r="W533" s="4">
        <v>83</v>
      </c>
    </row>
    <row r="534" spans="1:23" ht="11.25" customHeight="1" x14ac:dyDescent="0.25">
      <c r="A534" s="4" t="s">
        <v>21</v>
      </c>
      <c r="B534" s="4" t="s">
        <v>33</v>
      </c>
      <c r="C534" s="4" t="s">
        <v>23</v>
      </c>
      <c r="D534" s="4" t="s">
        <v>46</v>
      </c>
      <c r="E534" s="4" t="s">
        <v>47</v>
      </c>
      <c r="F534" s="4" t="s">
        <v>25</v>
      </c>
      <c r="G534" s="4" t="s">
        <v>25</v>
      </c>
      <c r="H534" s="4" t="s">
        <v>25</v>
      </c>
      <c r="I534" s="5">
        <v>44562</v>
      </c>
      <c r="J534" s="6">
        <v>0</v>
      </c>
      <c r="K534" s="6">
        <v>0</v>
      </c>
      <c r="L534" s="6">
        <v>46.154000000000003</v>
      </c>
      <c r="M534" s="6">
        <v>43.38476</v>
      </c>
      <c r="N534" s="6">
        <v>46.154000000000003</v>
      </c>
      <c r="O534" s="6">
        <v>43.38476</v>
      </c>
      <c r="P534" s="6">
        <v>19</v>
      </c>
      <c r="Q534" s="4" t="s">
        <v>26</v>
      </c>
      <c r="R534" s="4">
        <v>0</v>
      </c>
      <c r="S534" s="4" t="s">
        <v>240</v>
      </c>
      <c r="T534" s="4" t="s">
        <v>365</v>
      </c>
      <c r="U534" s="4">
        <v>0</v>
      </c>
      <c r="V534" s="4">
        <v>72</v>
      </c>
      <c r="W534" s="4">
        <v>83</v>
      </c>
    </row>
    <row r="535" spans="1:23" ht="11.25" customHeight="1" x14ac:dyDescent="0.25">
      <c r="A535" s="4" t="s">
        <v>21</v>
      </c>
      <c r="B535" s="4" t="s">
        <v>33</v>
      </c>
      <c r="C535" s="4" t="s">
        <v>23</v>
      </c>
      <c r="D535" s="4" t="s">
        <v>46</v>
      </c>
      <c r="E535" s="4" t="s">
        <v>47</v>
      </c>
      <c r="F535" s="4" t="s">
        <v>25</v>
      </c>
      <c r="G535" s="4" t="s">
        <v>25</v>
      </c>
      <c r="H535" s="4" t="s">
        <v>25</v>
      </c>
      <c r="I535" s="5">
        <v>44593</v>
      </c>
      <c r="J535" s="6">
        <v>0</v>
      </c>
      <c r="K535" s="6">
        <v>0</v>
      </c>
      <c r="L535" s="6">
        <v>39.616999999999997</v>
      </c>
      <c r="M535" s="6">
        <v>37.239980000000003</v>
      </c>
      <c r="N535" s="6">
        <v>39.616999999999997</v>
      </c>
      <c r="O535" s="6">
        <v>37.239980000000003</v>
      </c>
      <c r="P535" s="6">
        <v>19</v>
      </c>
      <c r="Q535" s="4" t="s">
        <v>26</v>
      </c>
      <c r="R535" s="4">
        <v>0</v>
      </c>
      <c r="S535" s="4" t="s">
        <v>241</v>
      </c>
      <c r="T535" s="4" t="s">
        <v>366</v>
      </c>
      <c r="U535" s="4">
        <v>0</v>
      </c>
      <c r="V535" s="4">
        <v>72</v>
      </c>
      <c r="W535" s="4">
        <v>83</v>
      </c>
    </row>
    <row r="536" spans="1:23" ht="11.25" customHeight="1" x14ac:dyDescent="0.25">
      <c r="A536" s="4" t="s">
        <v>21</v>
      </c>
      <c r="B536" s="4" t="s">
        <v>33</v>
      </c>
      <c r="C536" s="4" t="s">
        <v>23</v>
      </c>
      <c r="D536" s="4" t="s">
        <v>46</v>
      </c>
      <c r="E536" s="4" t="s">
        <v>47</v>
      </c>
      <c r="F536" s="4" t="s">
        <v>25</v>
      </c>
      <c r="G536" s="4" t="s">
        <v>25</v>
      </c>
      <c r="H536" s="4" t="s">
        <v>25</v>
      </c>
      <c r="I536" s="5">
        <v>44621</v>
      </c>
      <c r="J536" s="6">
        <v>0</v>
      </c>
      <c r="K536" s="6">
        <v>0</v>
      </c>
      <c r="L536" s="6">
        <v>46.433999999999997</v>
      </c>
      <c r="M536" s="6">
        <v>43.647959999999998</v>
      </c>
      <c r="N536" s="6">
        <v>46.433999999999997</v>
      </c>
      <c r="O536" s="6">
        <v>43.647959999999998</v>
      </c>
      <c r="P536" s="6">
        <v>19</v>
      </c>
      <c r="Q536" s="4" t="s">
        <v>26</v>
      </c>
      <c r="R536" s="4">
        <v>0</v>
      </c>
      <c r="S536" s="4" t="s">
        <v>242</v>
      </c>
      <c r="T536" s="4" t="s">
        <v>367</v>
      </c>
      <c r="U536" s="4">
        <v>0</v>
      </c>
      <c r="V536" s="4">
        <v>72</v>
      </c>
      <c r="W536" s="4">
        <v>83</v>
      </c>
    </row>
    <row r="537" spans="1:23" ht="11.25" customHeight="1" x14ac:dyDescent="0.25">
      <c r="A537" s="4" t="s">
        <v>21</v>
      </c>
      <c r="B537" s="4" t="s">
        <v>33</v>
      </c>
      <c r="C537" s="4" t="s">
        <v>23</v>
      </c>
      <c r="D537" s="4" t="s">
        <v>46</v>
      </c>
      <c r="E537" s="4" t="s">
        <v>47</v>
      </c>
      <c r="F537" s="4" t="s">
        <v>25</v>
      </c>
      <c r="G537" s="4" t="s">
        <v>25</v>
      </c>
      <c r="H537" s="4" t="s">
        <v>25</v>
      </c>
      <c r="I537" s="5">
        <v>44652</v>
      </c>
      <c r="J537" s="6">
        <v>0</v>
      </c>
      <c r="K537" s="6">
        <v>0</v>
      </c>
      <c r="L537" s="6">
        <v>55.442</v>
      </c>
      <c r="M537" s="6">
        <v>52.115479999999998</v>
      </c>
      <c r="N537" s="6">
        <v>55.442</v>
      </c>
      <c r="O537" s="6">
        <v>52.115479999999998</v>
      </c>
      <c r="P537" s="6">
        <v>20</v>
      </c>
      <c r="Q537" s="4" t="s">
        <v>26</v>
      </c>
      <c r="R537" s="4">
        <v>0</v>
      </c>
      <c r="S537" s="4" t="s">
        <v>243</v>
      </c>
      <c r="T537" s="4" t="s">
        <v>368</v>
      </c>
      <c r="U537" s="4">
        <v>0</v>
      </c>
      <c r="V537" s="4">
        <v>72</v>
      </c>
      <c r="W537" s="4">
        <v>83</v>
      </c>
    </row>
    <row r="538" spans="1:23" ht="11.25" customHeight="1" x14ac:dyDescent="0.25">
      <c r="A538" s="4" t="s">
        <v>21</v>
      </c>
      <c r="B538" s="4" t="s">
        <v>33</v>
      </c>
      <c r="C538" s="4" t="s">
        <v>23</v>
      </c>
      <c r="D538" s="4" t="s">
        <v>46</v>
      </c>
      <c r="E538" s="4" t="s">
        <v>47</v>
      </c>
      <c r="F538" s="4" t="s">
        <v>25</v>
      </c>
      <c r="G538" s="4" t="s">
        <v>25</v>
      </c>
      <c r="H538" s="4" t="s">
        <v>25</v>
      </c>
      <c r="I538" s="5">
        <v>44682</v>
      </c>
      <c r="J538" s="6">
        <v>0</v>
      </c>
      <c r="K538" s="6">
        <v>0</v>
      </c>
      <c r="L538" s="6">
        <v>43.161999999999999</v>
      </c>
      <c r="M538" s="6">
        <v>40.572279999999999</v>
      </c>
      <c r="N538" s="6">
        <v>43.161999999999999</v>
      </c>
      <c r="O538" s="6">
        <v>40.572279999999999</v>
      </c>
      <c r="P538" s="6">
        <v>20</v>
      </c>
      <c r="Q538" s="4" t="s">
        <v>26</v>
      </c>
      <c r="R538" s="4">
        <v>0</v>
      </c>
      <c r="S538" s="4" t="s">
        <v>244</v>
      </c>
      <c r="T538" s="4" t="s">
        <v>369</v>
      </c>
      <c r="U538" s="4">
        <v>0</v>
      </c>
      <c r="V538" s="4">
        <v>72</v>
      </c>
      <c r="W538" s="4">
        <v>83</v>
      </c>
    </row>
    <row r="539" spans="1:23" ht="11.25" customHeight="1" x14ac:dyDescent="0.25">
      <c r="A539" s="4" t="s">
        <v>21</v>
      </c>
      <c r="B539" s="4" t="s">
        <v>33</v>
      </c>
      <c r="C539" s="4" t="s">
        <v>23</v>
      </c>
      <c r="D539" s="4" t="s">
        <v>46</v>
      </c>
      <c r="E539" s="4" t="s">
        <v>47</v>
      </c>
      <c r="F539" s="4" t="s">
        <v>25</v>
      </c>
      <c r="G539" s="4" t="s">
        <v>25</v>
      </c>
      <c r="H539" s="4" t="s">
        <v>25</v>
      </c>
      <c r="I539" s="5">
        <v>44713</v>
      </c>
      <c r="J539" s="6">
        <v>0</v>
      </c>
      <c r="K539" s="6">
        <v>0</v>
      </c>
      <c r="L539" s="6">
        <v>44.027000000000001</v>
      </c>
      <c r="M539" s="6">
        <v>41.385379999999998</v>
      </c>
      <c r="N539" s="6">
        <v>44.027000000000001</v>
      </c>
      <c r="O539" s="6">
        <v>41.385379999999998</v>
      </c>
      <c r="P539" s="6">
        <v>20</v>
      </c>
      <c r="Q539" s="4" t="s">
        <v>26</v>
      </c>
      <c r="R539" s="4">
        <v>0</v>
      </c>
      <c r="S539" s="4" t="s">
        <v>245</v>
      </c>
      <c r="T539" s="4" t="s">
        <v>370</v>
      </c>
      <c r="U539" s="4">
        <v>0</v>
      </c>
      <c r="V539" s="4">
        <v>72</v>
      </c>
      <c r="W539" s="4">
        <v>83</v>
      </c>
    </row>
    <row r="540" spans="1:23" ht="11.25" customHeight="1" x14ac:dyDescent="0.25">
      <c r="A540" s="4" t="s">
        <v>21</v>
      </c>
      <c r="B540" s="4" t="s">
        <v>33</v>
      </c>
      <c r="C540" s="4" t="s">
        <v>23</v>
      </c>
      <c r="D540" s="4" t="s">
        <v>46</v>
      </c>
      <c r="E540" s="4" t="s">
        <v>47</v>
      </c>
      <c r="F540" s="4" t="s">
        <v>25</v>
      </c>
      <c r="G540" s="4" t="s">
        <v>25</v>
      </c>
      <c r="H540" s="4" t="s">
        <v>25</v>
      </c>
      <c r="I540" s="5">
        <v>44743</v>
      </c>
      <c r="J540" s="6">
        <v>0</v>
      </c>
      <c r="K540" s="6">
        <v>0</v>
      </c>
      <c r="L540" s="6">
        <v>49.674999999999997</v>
      </c>
      <c r="M540" s="6">
        <v>46.694499999999998</v>
      </c>
      <c r="N540" s="6">
        <v>49.674999999999997</v>
      </c>
      <c r="O540" s="6">
        <v>46.694499999999998</v>
      </c>
      <c r="P540" s="6">
        <v>20</v>
      </c>
      <c r="Q540" s="4" t="s">
        <v>26</v>
      </c>
      <c r="R540" s="4">
        <v>0</v>
      </c>
      <c r="S540" s="4" t="s">
        <v>246</v>
      </c>
      <c r="T540" s="4" t="s">
        <v>371</v>
      </c>
      <c r="U540" s="4">
        <v>0</v>
      </c>
      <c r="V540" s="4">
        <v>72</v>
      </c>
      <c r="W540" s="4">
        <v>83</v>
      </c>
    </row>
    <row r="541" spans="1:23" ht="11.25" customHeight="1" x14ac:dyDescent="0.25">
      <c r="A541" s="4" t="s">
        <v>21</v>
      </c>
      <c r="B541" s="4" t="s">
        <v>33</v>
      </c>
      <c r="C541" s="4" t="s">
        <v>23</v>
      </c>
      <c r="D541" s="4" t="s">
        <v>46</v>
      </c>
      <c r="E541" s="4" t="s">
        <v>47</v>
      </c>
      <c r="F541" s="4" t="s">
        <v>25</v>
      </c>
      <c r="G541" s="4" t="s">
        <v>25</v>
      </c>
      <c r="H541" s="4" t="s">
        <v>25</v>
      </c>
      <c r="I541" s="5">
        <v>44774</v>
      </c>
      <c r="J541" s="6">
        <v>0</v>
      </c>
      <c r="K541" s="6">
        <v>0</v>
      </c>
      <c r="L541" s="6">
        <v>48.137999999999998</v>
      </c>
      <c r="M541" s="6">
        <v>45.249720000000003</v>
      </c>
      <c r="N541" s="6">
        <v>48.137999999999998</v>
      </c>
      <c r="O541" s="6">
        <v>45.249720000000003</v>
      </c>
      <c r="P541" s="6">
        <v>20</v>
      </c>
      <c r="Q541" s="4" t="s">
        <v>26</v>
      </c>
      <c r="R541" s="4">
        <v>0</v>
      </c>
      <c r="S541" s="4" t="s">
        <v>247</v>
      </c>
      <c r="T541" s="4" t="s">
        <v>372</v>
      </c>
      <c r="U541" s="4">
        <v>0</v>
      </c>
      <c r="V541" s="4">
        <v>72</v>
      </c>
      <c r="W541" s="4">
        <v>83</v>
      </c>
    </row>
    <row r="542" spans="1:23" ht="11.25" customHeight="1" x14ac:dyDescent="0.25">
      <c r="A542" s="4" t="s">
        <v>21</v>
      </c>
      <c r="B542" s="4" t="s">
        <v>43</v>
      </c>
      <c r="C542" s="4" t="s">
        <v>23</v>
      </c>
      <c r="D542" s="4" t="s">
        <v>44</v>
      </c>
      <c r="E542" s="4" t="s">
        <v>45</v>
      </c>
      <c r="F542" s="4" t="s">
        <v>25</v>
      </c>
      <c r="G542" s="4" t="s">
        <v>25</v>
      </c>
      <c r="H542" s="4" t="s">
        <v>25</v>
      </c>
      <c r="I542" s="5">
        <v>44440</v>
      </c>
      <c r="J542" s="6">
        <v>0</v>
      </c>
      <c r="K542" s="6">
        <v>0</v>
      </c>
      <c r="L542" s="6">
        <v>76.06</v>
      </c>
      <c r="M542" s="6">
        <v>76.06</v>
      </c>
      <c r="N542" s="6">
        <v>76.06</v>
      </c>
      <c r="O542" s="6">
        <v>76.06</v>
      </c>
      <c r="P542" s="6">
        <v>7</v>
      </c>
      <c r="Q542" s="4" t="s">
        <v>26</v>
      </c>
      <c r="R542" s="4">
        <v>0</v>
      </c>
      <c r="S542" s="4" t="s">
        <v>248</v>
      </c>
      <c r="T542" s="4" t="s">
        <v>373</v>
      </c>
      <c r="U542" s="4">
        <v>0</v>
      </c>
      <c r="V542" s="4">
        <v>38</v>
      </c>
      <c r="W542" s="4">
        <v>77</v>
      </c>
    </row>
    <row r="543" spans="1:23" ht="11.25" customHeight="1" x14ac:dyDescent="0.25">
      <c r="A543" s="4" t="s">
        <v>21</v>
      </c>
      <c r="B543" s="4" t="s">
        <v>43</v>
      </c>
      <c r="C543" s="4" t="s">
        <v>23</v>
      </c>
      <c r="D543" s="4" t="s">
        <v>44</v>
      </c>
      <c r="E543" s="4" t="s">
        <v>45</v>
      </c>
      <c r="F543" s="4" t="s">
        <v>25</v>
      </c>
      <c r="G543" s="4" t="s">
        <v>25</v>
      </c>
      <c r="H543" s="4" t="s">
        <v>25</v>
      </c>
      <c r="I543" s="5">
        <v>44470</v>
      </c>
      <c r="J543" s="6">
        <v>0</v>
      </c>
      <c r="K543" s="6">
        <v>0</v>
      </c>
      <c r="L543" s="6">
        <v>78.504999999999995</v>
      </c>
      <c r="M543" s="6">
        <v>78.504999999999995</v>
      </c>
      <c r="N543" s="6">
        <v>78.504999999999995</v>
      </c>
      <c r="O543" s="6">
        <v>78.504999999999995</v>
      </c>
      <c r="P543" s="6">
        <v>7</v>
      </c>
      <c r="Q543" s="4" t="s">
        <v>26</v>
      </c>
      <c r="R543" s="4">
        <v>0</v>
      </c>
      <c r="S543" s="4" t="s">
        <v>249</v>
      </c>
      <c r="T543" s="4" t="s">
        <v>374</v>
      </c>
      <c r="U543" s="4">
        <v>0</v>
      </c>
      <c r="V543" s="4">
        <v>38</v>
      </c>
      <c r="W543" s="4">
        <v>77</v>
      </c>
    </row>
    <row r="544" spans="1:23" ht="11.25" customHeight="1" x14ac:dyDescent="0.25">
      <c r="A544" s="4" t="s">
        <v>21</v>
      </c>
      <c r="B544" s="4" t="s">
        <v>43</v>
      </c>
      <c r="C544" s="4" t="s">
        <v>23</v>
      </c>
      <c r="D544" s="4" t="s">
        <v>44</v>
      </c>
      <c r="E544" s="4" t="s">
        <v>45</v>
      </c>
      <c r="F544" s="4" t="s">
        <v>25</v>
      </c>
      <c r="G544" s="4" t="s">
        <v>25</v>
      </c>
      <c r="H544" s="4" t="s">
        <v>25</v>
      </c>
      <c r="I544" s="5">
        <v>44501</v>
      </c>
      <c r="J544" s="6">
        <v>0</v>
      </c>
      <c r="K544" s="6">
        <v>0</v>
      </c>
      <c r="L544" s="6">
        <v>76.010999999999996</v>
      </c>
      <c r="M544" s="6">
        <v>76.010999999999996</v>
      </c>
      <c r="N544" s="6">
        <v>76.010999999999996</v>
      </c>
      <c r="O544" s="6">
        <v>76.010999999999996</v>
      </c>
      <c r="P544" s="6">
        <v>7</v>
      </c>
      <c r="Q544" s="4" t="s">
        <v>26</v>
      </c>
      <c r="R544" s="4">
        <v>0</v>
      </c>
      <c r="S544" s="4" t="s">
        <v>250</v>
      </c>
      <c r="T544" s="4" t="s">
        <v>375</v>
      </c>
      <c r="U544" s="4">
        <v>0</v>
      </c>
      <c r="V544" s="4">
        <v>38</v>
      </c>
      <c r="W544" s="4">
        <v>77</v>
      </c>
    </row>
    <row r="545" spans="1:23" ht="11.25" customHeight="1" x14ac:dyDescent="0.25">
      <c r="A545" s="4" t="s">
        <v>21</v>
      </c>
      <c r="B545" s="4" t="s">
        <v>43</v>
      </c>
      <c r="C545" s="4" t="s">
        <v>23</v>
      </c>
      <c r="D545" s="4" t="s">
        <v>44</v>
      </c>
      <c r="E545" s="4" t="s">
        <v>45</v>
      </c>
      <c r="F545" s="4" t="s">
        <v>25</v>
      </c>
      <c r="G545" s="4" t="s">
        <v>25</v>
      </c>
      <c r="H545" s="4" t="s">
        <v>25</v>
      </c>
      <c r="I545" s="5">
        <v>44531</v>
      </c>
      <c r="J545" s="6">
        <v>0</v>
      </c>
      <c r="K545" s="6">
        <v>0</v>
      </c>
      <c r="L545" s="6">
        <v>78.085999999999999</v>
      </c>
      <c r="M545" s="6">
        <v>78.085999999999999</v>
      </c>
      <c r="N545" s="6">
        <v>78.085999999999999</v>
      </c>
      <c r="O545" s="6">
        <v>78.085999999999999</v>
      </c>
      <c r="P545" s="6">
        <v>7</v>
      </c>
      <c r="Q545" s="4" t="s">
        <v>26</v>
      </c>
      <c r="R545" s="4">
        <v>0</v>
      </c>
      <c r="S545" s="4" t="s">
        <v>251</v>
      </c>
      <c r="T545" s="4" t="s">
        <v>376</v>
      </c>
      <c r="U545" s="4">
        <v>0</v>
      </c>
      <c r="V545" s="4">
        <v>38</v>
      </c>
      <c r="W545" s="4">
        <v>77</v>
      </c>
    </row>
    <row r="546" spans="1:23" ht="11.25" customHeight="1" x14ac:dyDescent="0.25">
      <c r="A546" s="4" t="s">
        <v>21</v>
      </c>
      <c r="B546" s="4" t="s">
        <v>43</v>
      </c>
      <c r="C546" s="4" t="s">
        <v>23</v>
      </c>
      <c r="D546" s="4" t="s">
        <v>44</v>
      </c>
      <c r="E546" s="4" t="s">
        <v>45</v>
      </c>
      <c r="F546" s="4" t="s">
        <v>25</v>
      </c>
      <c r="G546" s="4" t="s">
        <v>25</v>
      </c>
      <c r="H546" s="4" t="s">
        <v>25</v>
      </c>
      <c r="I546" s="5">
        <v>44562</v>
      </c>
      <c r="J546" s="6">
        <v>0</v>
      </c>
      <c r="K546" s="6">
        <v>0</v>
      </c>
      <c r="L546" s="6">
        <v>77.98</v>
      </c>
      <c r="M546" s="6">
        <v>77.98</v>
      </c>
      <c r="N546" s="6">
        <v>77.98</v>
      </c>
      <c r="O546" s="6">
        <v>77.98</v>
      </c>
      <c r="P546" s="6">
        <v>7</v>
      </c>
      <c r="Q546" s="4" t="s">
        <v>26</v>
      </c>
      <c r="R546" s="4">
        <v>0</v>
      </c>
      <c r="S546" s="4" t="s">
        <v>252</v>
      </c>
      <c r="T546" s="4" t="s">
        <v>377</v>
      </c>
      <c r="U546" s="4">
        <v>0</v>
      </c>
      <c r="V546" s="4">
        <v>38</v>
      </c>
      <c r="W546" s="4">
        <v>77</v>
      </c>
    </row>
    <row r="547" spans="1:23" ht="11.25" customHeight="1" x14ac:dyDescent="0.25">
      <c r="A547" s="4" t="s">
        <v>21</v>
      </c>
      <c r="B547" s="4" t="s">
        <v>43</v>
      </c>
      <c r="C547" s="4" t="s">
        <v>23</v>
      </c>
      <c r="D547" s="4" t="s">
        <v>44</v>
      </c>
      <c r="E547" s="4" t="s">
        <v>45</v>
      </c>
      <c r="F547" s="4" t="s">
        <v>25</v>
      </c>
      <c r="G547" s="4" t="s">
        <v>25</v>
      </c>
      <c r="H547" s="4" t="s">
        <v>25</v>
      </c>
      <c r="I547" s="5">
        <v>44593</v>
      </c>
      <c r="J547" s="6">
        <v>0</v>
      </c>
      <c r="K547" s="6">
        <v>0</v>
      </c>
      <c r="L547" s="6">
        <v>71.025000000000006</v>
      </c>
      <c r="M547" s="6">
        <v>71.025000000000006</v>
      </c>
      <c r="N547" s="6">
        <v>71.025000000000006</v>
      </c>
      <c r="O547" s="6">
        <v>71.025000000000006</v>
      </c>
      <c r="P547" s="6">
        <v>7</v>
      </c>
      <c r="Q547" s="4" t="s">
        <v>26</v>
      </c>
      <c r="R547" s="4">
        <v>0</v>
      </c>
      <c r="S547" s="4" t="s">
        <v>253</v>
      </c>
      <c r="T547" s="4" t="s">
        <v>378</v>
      </c>
      <c r="U547" s="4">
        <v>0</v>
      </c>
      <c r="V547" s="4">
        <v>38</v>
      </c>
      <c r="W547" s="4">
        <v>77</v>
      </c>
    </row>
    <row r="548" spans="1:23" ht="11.25" customHeight="1" x14ac:dyDescent="0.25">
      <c r="A548" s="4" t="s">
        <v>21</v>
      </c>
      <c r="B548" s="4" t="s">
        <v>43</v>
      </c>
      <c r="C548" s="4" t="s">
        <v>23</v>
      </c>
      <c r="D548" s="4" t="s">
        <v>44</v>
      </c>
      <c r="E548" s="4" t="s">
        <v>45</v>
      </c>
      <c r="F548" s="4" t="s">
        <v>25</v>
      </c>
      <c r="G548" s="4" t="s">
        <v>25</v>
      </c>
      <c r="H548" s="4" t="s">
        <v>25</v>
      </c>
      <c r="I548" s="5">
        <v>44621</v>
      </c>
      <c r="J548" s="6">
        <v>0</v>
      </c>
      <c r="K548" s="6">
        <v>0</v>
      </c>
      <c r="L548" s="6">
        <v>78.382000000000005</v>
      </c>
      <c r="M548" s="6">
        <v>78.382000000000005</v>
      </c>
      <c r="N548" s="6">
        <v>78.382000000000005</v>
      </c>
      <c r="O548" s="6">
        <v>78.382000000000005</v>
      </c>
      <c r="P548" s="6">
        <v>7</v>
      </c>
      <c r="Q548" s="4" t="s">
        <v>26</v>
      </c>
      <c r="R548" s="4">
        <v>0</v>
      </c>
      <c r="S548" s="4" t="s">
        <v>254</v>
      </c>
      <c r="T548" s="4" t="s">
        <v>379</v>
      </c>
      <c r="U548" s="4">
        <v>0</v>
      </c>
      <c r="V548" s="4">
        <v>38</v>
      </c>
      <c r="W548" s="4">
        <v>77</v>
      </c>
    </row>
    <row r="549" spans="1:23" ht="11.25" customHeight="1" x14ac:dyDescent="0.25">
      <c r="A549" s="4" t="s">
        <v>21</v>
      </c>
      <c r="B549" s="4" t="s">
        <v>43</v>
      </c>
      <c r="C549" s="4" t="s">
        <v>23</v>
      </c>
      <c r="D549" s="4" t="s">
        <v>44</v>
      </c>
      <c r="E549" s="4" t="s">
        <v>45</v>
      </c>
      <c r="F549" s="4" t="s">
        <v>25</v>
      </c>
      <c r="G549" s="4" t="s">
        <v>25</v>
      </c>
      <c r="H549" s="4" t="s">
        <v>25</v>
      </c>
      <c r="I549" s="5">
        <v>44652</v>
      </c>
      <c r="J549" s="6">
        <v>0</v>
      </c>
      <c r="K549" s="6">
        <v>0</v>
      </c>
      <c r="L549" s="6">
        <v>75.691000000000003</v>
      </c>
      <c r="M549" s="6">
        <v>75.691000000000003</v>
      </c>
      <c r="N549" s="6">
        <v>75.691000000000003</v>
      </c>
      <c r="O549" s="6">
        <v>75.691000000000003</v>
      </c>
      <c r="P549" s="6">
        <v>7</v>
      </c>
      <c r="Q549" s="4" t="s">
        <v>26</v>
      </c>
      <c r="R549" s="4">
        <v>0</v>
      </c>
      <c r="S549" s="4" t="s">
        <v>255</v>
      </c>
      <c r="T549" s="4" t="s">
        <v>380</v>
      </c>
      <c r="U549" s="4">
        <v>0</v>
      </c>
      <c r="V549" s="4">
        <v>38</v>
      </c>
      <c r="W549" s="4">
        <v>77</v>
      </c>
    </row>
    <row r="550" spans="1:23" ht="11.25" customHeight="1" x14ac:dyDescent="0.25">
      <c r="A550" s="4" t="s">
        <v>21</v>
      </c>
      <c r="B550" s="4" t="s">
        <v>43</v>
      </c>
      <c r="C550" s="4" t="s">
        <v>23</v>
      </c>
      <c r="D550" s="4" t="s">
        <v>44</v>
      </c>
      <c r="E550" s="4" t="s">
        <v>45</v>
      </c>
      <c r="F550" s="4" t="s">
        <v>25</v>
      </c>
      <c r="G550" s="4" t="s">
        <v>25</v>
      </c>
      <c r="H550" s="4" t="s">
        <v>25</v>
      </c>
      <c r="I550" s="5">
        <v>44682</v>
      </c>
      <c r="J550" s="6">
        <v>0</v>
      </c>
      <c r="K550" s="6">
        <v>0</v>
      </c>
      <c r="L550" s="6">
        <v>78.97</v>
      </c>
      <c r="M550" s="6">
        <v>78.97</v>
      </c>
      <c r="N550" s="6">
        <v>78.97</v>
      </c>
      <c r="O550" s="6">
        <v>78.97</v>
      </c>
      <c r="P550" s="6">
        <v>7</v>
      </c>
      <c r="Q550" s="4" t="s">
        <v>26</v>
      </c>
      <c r="R550" s="4">
        <v>0</v>
      </c>
      <c r="S550" s="4" t="s">
        <v>256</v>
      </c>
      <c r="T550" s="4" t="s">
        <v>381</v>
      </c>
      <c r="U550" s="4">
        <v>0</v>
      </c>
      <c r="V550" s="4">
        <v>38</v>
      </c>
      <c r="W550" s="4">
        <v>77</v>
      </c>
    </row>
    <row r="551" spans="1:23" ht="11.25" customHeight="1" x14ac:dyDescent="0.25">
      <c r="A551" s="4" t="s">
        <v>21</v>
      </c>
      <c r="B551" s="4" t="s">
        <v>43</v>
      </c>
      <c r="C551" s="4" t="s">
        <v>23</v>
      </c>
      <c r="D551" s="4" t="s">
        <v>44</v>
      </c>
      <c r="E551" s="4" t="s">
        <v>45</v>
      </c>
      <c r="F551" s="4" t="s">
        <v>25</v>
      </c>
      <c r="G551" s="4" t="s">
        <v>25</v>
      </c>
      <c r="H551" s="4" t="s">
        <v>25</v>
      </c>
      <c r="I551" s="5">
        <v>44713</v>
      </c>
      <c r="J551" s="6">
        <v>0</v>
      </c>
      <c r="K551" s="6">
        <v>0</v>
      </c>
      <c r="L551" s="6">
        <v>78.191999999999993</v>
      </c>
      <c r="M551" s="6">
        <v>78.191999999999993</v>
      </c>
      <c r="N551" s="6">
        <v>78.191999999999993</v>
      </c>
      <c r="O551" s="6">
        <v>78.191999999999993</v>
      </c>
      <c r="P551" s="6">
        <v>7</v>
      </c>
      <c r="Q551" s="4" t="s">
        <v>26</v>
      </c>
      <c r="R551" s="4">
        <v>0</v>
      </c>
      <c r="S551" s="4" t="s">
        <v>257</v>
      </c>
      <c r="T551" s="4" t="s">
        <v>382</v>
      </c>
      <c r="U551" s="4">
        <v>0</v>
      </c>
      <c r="V551" s="4">
        <v>38</v>
      </c>
      <c r="W551" s="4">
        <v>77</v>
      </c>
    </row>
    <row r="552" spans="1:23" ht="11.25" customHeight="1" x14ac:dyDescent="0.25">
      <c r="A552" s="4" t="s">
        <v>21</v>
      </c>
      <c r="B552" s="4" t="s">
        <v>43</v>
      </c>
      <c r="C552" s="4" t="s">
        <v>23</v>
      </c>
      <c r="D552" s="4" t="s">
        <v>44</v>
      </c>
      <c r="E552" s="4" t="s">
        <v>45</v>
      </c>
      <c r="F552" s="4" t="s">
        <v>25</v>
      </c>
      <c r="G552" s="4" t="s">
        <v>25</v>
      </c>
      <c r="H552" s="4" t="s">
        <v>25</v>
      </c>
      <c r="I552" s="5">
        <v>44743</v>
      </c>
      <c r="J552" s="6">
        <v>0</v>
      </c>
      <c r="K552" s="6">
        <v>0</v>
      </c>
      <c r="L552" s="6">
        <v>80.864000000000004</v>
      </c>
      <c r="M552" s="6">
        <v>80.864000000000004</v>
      </c>
      <c r="N552" s="6">
        <v>80.864000000000004</v>
      </c>
      <c r="O552" s="6">
        <v>80.864000000000004</v>
      </c>
      <c r="P552" s="6">
        <v>7</v>
      </c>
      <c r="Q552" s="4" t="s">
        <v>26</v>
      </c>
      <c r="R552" s="4">
        <v>0</v>
      </c>
      <c r="S552" s="4" t="s">
        <v>258</v>
      </c>
      <c r="T552" s="4" t="s">
        <v>383</v>
      </c>
      <c r="U552" s="4">
        <v>0</v>
      </c>
      <c r="V552" s="4">
        <v>38</v>
      </c>
      <c r="W552" s="4">
        <v>77</v>
      </c>
    </row>
    <row r="553" spans="1:23" ht="11.25" customHeight="1" x14ac:dyDescent="0.25">
      <c r="A553" s="4" t="s">
        <v>21</v>
      </c>
      <c r="B553" s="4" t="s">
        <v>43</v>
      </c>
      <c r="C553" s="4" t="s">
        <v>23</v>
      </c>
      <c r="D553" s="4" t="s">
        <v>44</v>
      </c>
      <c r="E553" s="4" t="s">
        <v>45</v>
      </c>
      <c r="F553" s="4" t="s">
        <v>25</v>
      </c>
      <c r="G553" s="4" t="s">
        <v>25</v>
      </c>
      <c r="H553" s="4" t="s">
        <v>25</v>
      </c>
      <c r="I553" s="5">
        <v>44774</v>
      </c>
      <c r="J553" s="6">
        <v>0</v>
      </c>
      <c r="K553" s="6">
        <v>0</v>
      </c>
      <c r="L553" s="6">
        <v>80.777000000000001</v>
      </c>
      <c r="M553" s="6">
        <v>80.777000000000001</v>
      </c>
      <c r="N553" s="6">
        <v>80.777000000000001</v>
      </c>
      <c r="O553" s="6">
        <v>80.777000000000001</v>
      </c>
      <c r="P553" s="6">
        <v>7</v>
      </c>
      <c r="Q553" s="4" t="s">
        <v>26</v>
      </c>
      <c r="R553" s="4">
        <v>0</v>
      </c>
      <c r="S553" s="4" t="s">
        <v>259</v>
      </c>
      <c r="T553" s="4" t="s">
        <v>384</v>
      </c>
      <c r="U553" s="4">
        <v>0</v>
      </c>
      <c r="V553" s="4">
        <v>38</v>
      </c>
      <c r="W553" s="4">
        <v>77</v>
      </c>
    </row>
  </sheetData>
  <sortState xmlns:xlrd2="http://schemas.microsoft.com/office/spreadsheetml/2017/richdata2" ref="A2:W553">
    <sortCondition ref="B2:B553"/>
    <sortCondition ref="C2:C553"/>
    <sortCondition ref="D2:D553"/>
    <sortCondition ref="E2:E553"/>
    <sortCondition ref="F2:F553"/>
    <sortCondition ref="H2:H55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996F-2B39-408C-A203-B45BFB86A364}">
  <sheetPr codeName="Planilha3"/>
  <dimension ref="A1:H4"/>
  <sheetViews>
    <sheetView showGridLines="0" tabSelected="1" workbookViewId="0">
      <selection activeCell="H1" sqref="H1"/>
    </sheetView>
  </sheetViews>
  <sheetFormatPr defaultRowHeight="11.25" customHeight="1" x14ac:dyDescent="0.25"/>
  <cols>
    <col min="1" max="1" width="12.140625" style="8" bestFit="1" customWidth="1"/>
    <col min="2" max="2" width="15.85546875" style="8" bestFit="1" customWidth="1"/>
    <col min="3" max="3" width="4.7109375" style="8" bestFit="1" customWidth="1"/>
    <col min="4" max="4" width="6.42578125" style="8" bestFit="1" customWidth="1"/>
    <col min="5" max="5" width="8.42578125" style="8" bestFit="1" customWidth="1"/>
    <col min="6" max="6" width="9.140625" style="8"/>
    <col min="7" max="7" width="18.5703125" style="8" bestFit="1" customWidth="1"/>
    <col min="8" max="8" width="2" style="8" bestFit="1" customWidth="1"/>
    <col min="9" max="16384" width="9.140625" style="8"/>
  </cols>
  <sheetData>
    <row r="1" spans="1:8" s="7" customFormat="1" ht="11.25" customHeight="1" x14ac:dyDescent="0.25">
      <c r="A1" s="7" t="s">
        <v>56</v>
      </c>
      <c r="B1" s="7" t="s">
        <v>57</v>
      </c>
      <c r="C1" s="7" t="s">
        <v>58</v>
      </c>
      <c r="D1" s="7" t="s">
        <v>59</v>
      </c>
      <c r="E1" s="7" t="s">
        <v>60</v>
      </c>
      <c r="G1" s="7" t="s">
        <v>61</v>
      </c>
      <c r="H1" s="7">
        <f>COUNTA(A:A)</f>
        <v>4</v>
      </c>
    </row>
    <row r="2" spans="1:8" ht="11.25" customHeight="1" x14ac:dyDescent="0.25">
      <c r="A2" s="8" t="s">
        <v>285</v>
      </c>
      <c r="B2" s="8" t="s">
        <v>286</v>
      </c>
      <c r="C2" s="8" t="s">
        <v>287</v>
      </c>
      <c r="D2" s="8">
        <v>229</v>
      </c>
      <c r="E2" s="8" t="s">
        <v>288</v>
      </c>
    </row>
    <row r="3" spans="1:8" ht="11.25" customHeight="1" x14ac:dyDescent="0.25">
      <c r="A3" s="8" t="s">
        <v>285</v>
      </c>
      <c r="C3" s="8" t="s">
        <v>474</v>
      </c>
      <c r="D3" s="8">
        <v>40</v>
      </c>
      <c r="E3" s="8" t="s">
        <v>9</v>
      </c>
    </row>
    <row r="4" spans="1:8" ht="11.25" customHeight="1" x14ac:dyDescent="0.25">
      <c r="A4" s="8" t="s">
        <v>285</v>
      </c>
      <c r="C4" s="8" t="s">
        <v>474</v>
      </c>
      <c r="D4" s="8">
        <v>40</v>
      </c>
      <c r="E4" s="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0A3B7-E5F0-48B9-AAFA-B8550B75DF01}">
  <sheetPr codeName="Planilha2"/>
  <dimension ref="A1:AX85"/>
  <sheetViews>
    <sheetView showGridLines="0" workbookViewId="0"/>
  </sheetViews>
  <sheetFormatPr defaultRowHeight="11.25" x14ac:dyDescent="0.25"/>
  <cols>
    <col min="1" max="1" width="4.7109375" style="8" bestFit="1" customWidth="1"/>
    <col min="2" max="2" width="8.85546875" style="8" bestFit="1" customWidth="1"/>
    <col min="3" max="3" width="8.7109375" style="8" bestFit="1" customWidth="1"/>
    <col min="4" max="4" width="27.140625" style="8" bestFit="1" customWidth="1"/>
    <col min="5" max="5" width="13.5703125" style="8" bestFit="1" customWidth="1"/>
    <col min="6" max="6" width="25.140625" style="8" bestFit="1" customWidth="1"/>
    <col min="7" max="9" width="10.28515625" style="8" bestFit="1" customWidth="1"/>
    <col min="10" max="10" width="6.85546875" style="8" bestFit="1" customWidth="1"/>
    <col min="11" max="11" width="4.5703125" style="8" bestFit="1" customWidth="1"/>
    <col min="12" max="12" width="4.42578125" style="8" bestFit="1" customWidth="1"/>
    <col min="13" max="13" width="6.7109375" style="8" bestFit="1" customWidth="1"/>
    <col min="14" max="14" width="6.28515625" style="8" bestFit="1" customWidth="1"/>
    <col min="15" max="15" width="11.140625" style="8" bestFit="1" customWidth="1"/>
    <col min="16" max="16" width="10.42578125" style="8" bestFit="1" customWidth="1"/>
    <col min="17" max="16384" width="9.140625" style="8"/>
  </cols>
  <sheetData>
    <row r="1" spans="1:50" ht="11.25" customHeight="1" x14ac:dyDescent="0.25">
      <c r="A1" s="39" t="s">
        <v>535</v>
      </c>
      <c r="B1" s="39" t="s">
        <v>525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 t="s">
        <v>6</v>
      </c>
      <c r="I1" s="39" t="s">
        <v>7</v>
      </c>
      <c r="J1" s="39" t="s">
        <v>526</v>
      </c>
      <c r="K1" s="39" t="s">
        <v>527</v>
      </c>
      <c r="L1" s="39" t="s">
        <v>528</v>
      </c>
      <c r="M1" s="39" t="s">
        <v>529</v>
      </c>
      <c r="N1" s="39" t="s">
        <v>530</v>
      </c>
      <c r="O1" s="39" t="s">
        <v>406</v>
      </c>
      <c r="P1" s="39" t="s">
        <v>392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ht="11.25" customHeight="1" x14ac:dyDescent="0.25">
      <c r="A2" s="40">
        <v>1</v>
      </c>
      <c r="B2" s="40" t="s">
        <v>386</v>
      </c>
      <c r="C2" s="40" t="s">
        <v>35</v>
      </c>
      <c r="D2" s="40" t="s">
        <v>48</v>
      </c>
      <c r="E2" s="40" t="s">
        <v>25</v>
      </c>
      <c r="F2" s="40" t="s">
        <v>25</v>
      </c>
      <c r="G2" s="40" t="s">
        <v>25</v>
      </c>
      <c r="H2" s="40" t="s">
        <v>25</v>
      </c>
      <c r="I2" s="40" t="s">
        <v>25</v>
      </c>
      <c r="J2" s="40" t="s">
        <v>531</v>
      </c>
      <c r="K2" s="40" t="s">
        <v>532</v>
      </c>
      <c r="L2" s="40" t="s">
        <v>72</v>
      </c>
      <c r="M2" s="40">
        <v>2021</v>
      </c>
      <c r="N2" s="40">
        <v>0</v>
      </c>
      <c r="O2" s="40">
        <v>66.22</v>
      </c>
      <c r="P2" s="40">
        <v>49.814699911438296</v>
      </c>
    </row>
    <row r="3" spans="1:50" ht="11.25" customHeight="1" x14ac:dyDescent="0.25">
      <c r="A3" s="40">
        <v>2</v>
      </c>
      <c r="B3" s="40" t="s">
        <v>386</v>
      </c>
      <c r="C3" s="40" t="s">
        <v>22</v>
      </c>
      <c r="D3" s="40" t="s">
        <v>23</v>
      </c>
      <c r="E3" s="40" t="s">
        <v>24</v>
      </c>
      <c r="F3" s="40" t="s">
        <v>24</v>
      </c>
      <c r="G3" s="40" t="s">
        <v>25</v>
      </c>
      <c r="H3" s="40" t="s">
        <v>25</v>
      </c>
      <c r="I3" s="40" t="s">
        <v>25</v>
      </c>
      <c r="J3" s="40" t="s">
        <v>531</v>
      </c>
      <c r="K3" s="40" t="s">
        <v>532</v>
      </c>
      <c r="L3" s="40" t="s">
        <v>72</v>
      </c>
      <c r="M3" s="40">
        <v>2021</v>
      </c>
      <c r="N3" s="40">
        <v>0</v>
      </c>
      <c r="O3" s="40">
        <v>377.01</v>
      </c>
      <c r="P3" s="40">
        <v>57.258275760274003</v>
      </c>
    </row>
    <row r="4" spans="1:50" ht="11.25" customHeight="1" x14ac:dyDescent="0.25">
      <c r="A4" s="40">
        <v>3</v>
      </c>
      <c r="B4" s="40" t="s">
        <v>386</v>
      </c>
      <c r="C4" s="40" t="s">
        <v>80</v>
      </c>
      <c r="D4" s="40" t="s">
        <v>53</v>
      </c>
      <c r="E4" s="40" t="s">
        <v>25</v>
      </c>
      <c r="F4" s="40" t="s">
        <v>25</v>
      </c>
      <c r="G4" s="40" t="s">
        <v>82</v>
      </c>
      <c r="H4" s="40" t="s">
        <v>25</v>
      </c>
      <c r="I4" s="40" t="s">
        <v>25</v>
      </c>
      <c r="J4" s="40" t="s">
        <v>533</v>
      </c>
      <c r="K4" s="40" t="s">
        <v>532</v>
      </c>
      <c r="L4" s="40" t="s">
        <v>75</v>
      </c>
      <c r="M4" s="40">
        <v>2021</v>
      </c>
      <c r="N4" s="40">
        <v>0</v>
      </c>
      <c r="O4" s="40">
        <v>11.78</v>
      </c>
      <c r="P4" s="40">
        <v>0</v>
      </c>
    </row>
    <row r="5" spans="1:50" ht="11.25" customHeight="1" x14ac:dyDescent="0.25">
      <c r="A5" s="40">
        <v>4</v>
      </c>
      <c r="B5" s="40" t="s">
        <v>386</v>
      </c>
      <c r="C5" s="40" t="s">
        <v>22</v>
      </c>
      <c r="D5" s="40" t="s">
        <v>87</v>
      </c>
      <c r="E5" s="40" t="s">
        <v>24</v>
      </c>
      <c r="F5" s="40" t="s">
        <v>32</v>
      </c>
      <c r="G5" s="40" t="s">
        <v>25</v>
      </c>
      <c r="H5" s="40" t="s">
        <v>25</v>
      </c>
      <c r="I5" s="40" t="s">
        <v>25</v>
      </c>
      <c r="J5" s="40" t="s">
        <v>531</v>
      </c>
      <c r="K5" s="40" t="s">
        <v>532</v>
      </c>
      <c r="L5" s="40" t="s">
        <v>72</v>
      </c>
      <c r="M5" s="40">
        <v>2021</v>
      </c>
      <c r="N5" s="40">
        <v>0</v>
      </c>
      <c r="O5" s="40">
        <v>310.83999999999997</v>
      </c>
      <c r="P5" s="40">
        <v>0</v>
      </c>
    </row>
    <row r="6" spans="1:50" ht="11.25" customHeight="1" x14ac:dyDescent="0.25">
      <c r="A6" s="40">
        <v>5</v>
      </c>
      <c r="B6" s="40" t="s">
        <v>386</v>
      </c>
      <c r="C6" s="40" t="s">
        <v>22</v>
      </c>
      <c r="D6" s="40" t="s">
        <v>85</v>
      </c>
      <c r="E6" s="40" t="s">
        <v>24</v>
      </c>
      <c r="F6" s="40" t="s">
        <v>24</v>
      </c>
      <c r="G6" s="40" t="s">
        <v>25</v>
      </c>
      <c r="H6" s="40" t="s">
        <v>25</v>
      </c>
      <c r="I6" s="40" t="s">
        <v>37</v>
      </c>
      <c r="J6" s="40" t="s">
        <v>531</v>
      </c>
      <c r="K6" s="40" t="s">
        <v>532</v>
      </c>
      <c r="L6" s="40" t="s">
        <v>72</v>
      </c>
      <c r="M6" s="40">
        <v>2021</v>
      </c>
      <c r="N6" s="40">
        <v>0</v>
      </c>
      <c r="O6" s="40">
        <v>872.88</v>
      </c>
      <c r="P6" s="40">
        <v>57.258275760274003</v>
      </c>
    </row>
    <row r="7" spans="1:50" ht="11.25" customHeight="1" x14ac:dyDescent="0.25">
      <c r="A7" s="40">
        <v>6</v>
      </c>
      <c r="B7" s="40" t="s">
        <v>386</v>
      </c>
      <c r="C7" s="40" t="s">
        <v>40</v>
      </c>
      <c r="D7" s="40" t="s">
        <v>85</v>
      </c>
      <c r="E7" s="40" t="s">
        <v>41</v>
      </c>
      <c r="F7" s="40" t="s">
        <v>25</v>
      </c>
      <c r="G7" s="40" t="s">
        <v>25</v>
      </c>
      <c r="H7" s="40" t="s">
        <v>25</v>
      </c>
      <c r="I7" s="40" t="s">
        <v>37</v>
      </c>
      <c r="J7" s="40" t="s">
        <v>531</v>
      </c>
      <c r="K7" s="40" t="s">
        <v>532</v>
      </c>
      <c r="L7" s="40" t="s">
        <v>72</v>
      </c>
      <c r="M7" s="40">
        <v>2021</v>
      </c>
      <c r="N7" s="40">
        <v>0</v>
      </c>
      <c r="O7" s="40">
        <v>832.18</v>
      </c>
      <c r="P7" s="40">
        <v>50.387282669041099</v>
      </c>
    </row>
    <row r="8" spans="1:50" ht="11.25" customHeight="1" x14ac:dyDescent="0.25">
      <c r="A8" s="40">
        <v>7</v>
      </c>
      <c r="B8" s="40" t="s">
        <v>386</v>
      </c>
      <c r="C8" s="40" t="s">
        <v>35</v>
      </c>
      <c r="D8" s="40" t="s">
        <v>53</v>
      </c>
      <c r="E8" s="40" t="s">
        <v>25</v>
      </c>
      <c r="F8" s="40" t="s">
        <v>25</v>
      </c>
      <c r="G8" s="40" t="s">
        <v>25</v>
      </c>
      <c r="H8" s="40" t="s">
        <v>25</v>
      </c>
      <c r="I8" s="40" t="s">
        <v>25</v>
      </c>
      <c r="J8" s="40" t="s">
        <v>533</v>
      </c>
      <c r="K8" s="40" t="s">
        <v>532</v>
      </c>
      <c r="L8" s="40" t="s">
        <v>75</v>
      </c>
      <c r="M8" s="40">
        <v>2021</v>
      </c>
      <c r="N8" s="40">
        <v>0</v>
      </c>
      <c r="O8" s="40">
        <v>3.37</v>
      </c>
      <c r="P8" s="40">
        <v>0</v>
      </c>
    </row>
    <row r="9" spans="1:50" ht="11.25" customHeight="1" x14ac:dyDescent="0.25">
      <c r="A9" s="40">
        <v>8</v>
      </c>
      <c r="B9" s="40" t="s">
        <v>386</v>
      </c>
      <c r="C9" s="40" t="s">
        <v>22</v>
      </c>
      <c r="D9" s="40" t="s">
        <v>23</v>
      </c>
      <c r="E9" s="40" t="s">
        <v>24</v>
      </c>
      <c r="F9" s="40" t="s">
        <v>31</v>
      </c>
      <c r="G9" s="40" t="s">
        <v>25</v>
      </c>
      <c r="H9" s="40" t="s">
        <v>25</v>
      </c>
      <c r="I9" s="40" t="s">
        <v>25</v>
      </c>
      <c r="J9" s="40" t="s">
        <v>531</v>
      </c>
      <c r="K9" s="40" t="s">
        <v>532</v>
      </c>
      <c r="L9" s="40" t="s">
        <v>72</v>
      </c>
      <c r="M9" s="40">
        <v>2021</v>
      </c>
      <c r="N9" s="40">
        <v>0</v>
      </c>
      <c r="O9" s="40">
        <v>279.76</v>
      </c>
      <c r="P9" s="40">
        <v>0</v>
      </c>
    </row>
    <row r="10" spans="1:50" ht="11.25" customHeight="1" x14ac:dyDescent="0.25">
      <c r="A10" s="40">
        <v>9</v>
      </c>
      <c r="B10" s="40" t="s">
        <v>386</v>
      </c>
      <c r="C10" s="40" t="s">
        <v>22</v>
      </c>
      <c r="D10" s="40" t="s">
        <v>23</v>
      </c>
      <c r="E10" s="40" t="s">
        <v>24</v>
      </c>
      <c r="F10" s="40" t="s">
        <v>30</v>
      </c>
      <c r="G10" s="40" t="s">
        <v>25</v>
      </c>
      <c r="H10" s="40" t="s">
        <v>25</v>
      </c>
      <c r="I10" s="40" t="s">
        <v>25</v>
      </c>
      <c r="J10" s="40" t="s">
        <v>531</v>
      </c>
      <c r="K10" s="40" t="s">
        <v>532</v>
      </c>
      <c r="L10" s="40" t="s">
        <v>72</v>
      </c>
      <c r="M10" s="40">
        <v>2021</v>
      </c>
      <c r="N10" s="40">
        <v>0</v>
      </c>
      <c r="O10" s="40">
        <v>186.51</v>
      </c>
      <c r="P10" s="40">
        <v>0</v>
      </c>
    </row>
    <row r="11" spans="1:50" ht="11.25" customHeight="1" x14ac:dyDescent="0.25">
      <c r="A11" s="40">
        <v>10</v>
      </c>
      <c r="B11" s="40" t="s">
        <v>386</v>
      </c>
      <c r="C11" s="40" t="s">
        <v>35</v>
      </c>
      <c r="D11" s="40" t="s">
        <v>48</v>
      </c>
      <c r="E11" s="40" t="s">
        <v>25</v>
      </c>
      <c r="F11" s="40" t="s">
        <v>25</v>
      </c>
      <c r="G11" s="40" t="s">
        <v>25</v>
      </c>
      <c r="H11" s="40" t="s">
        <v>25</v>
      </c>
      <c r="I11" s="40" t="s">
        <v>37</v>
      </c>
      <c r="J11" s="40" t="s">
        <v>533</v>
      </c>
      <c r="K11" s="40" t="s">
        <v>532</v>
      </c>
      <c r="L11" s="40" t="s">
        <v>75</v>
      </c>
      <c r="M11" s="40">
        <v>2021</v>
      </c>
      <c r="N11" s="40">
        <v>0</v>
      </c>
      <c r="O11" s="40">
        <v>77.17</v>
      </c>
      <c r="P11" s="40">
        <v>0</v>
      </c>
    </row>
    <row r="12" spans="1:50" ht="11.25" customHeight="1" x14ac:dyDescent="0.25">
      <c r="A12" s="40">
        <v>11</v>
      </c>
      <c r="B12" s="40" t="s">
        <v>386</v>
      </c>
      <c r="C12" s="40" t="s">
        <v>22</v>
      </c>
      <c r="D12" s="40" t="s">
        <v>85</v>
      </c>
      <c r="E12" s="40" t="s">
        <v>24</v>
      </c>
      <c r="F12" s="40" t="s">
        <v>24</v>
      </c>
      <c r="G12" s="40" t="s">
        <v>25</v>
      </c>
      <c r="H12" s="40" t="s">
        <v>25</v>
      </c>
      <c r="I12" s="40" t="s">
        <v>534</v>
      </c>
      <c r="J12" s="40" t="s">
        <v>531</v>
      </c>
      <c r="K12" s="40" t="s">
        <v>532</v>
      </c>
      <c r="L12" s="40" t="s">
        <v>72</v>
      </c>
      <c r="M12" s="40">
        <v>2021</v>
      </c>
      <c r="N12" s="40">
        <v>0</v>
      </c>
      <c r="O12" s="40">
        <v>557.89</v>
      </c>
      <c r="P12" s="40">
        <v>57.258275760274003</v>
      </c>
    </row>
    <row r="13" spans="1:50" ht="11.25" customHeight="1" x14ac:dyDescent="0.25">
      <c r="A13" s="40">
        <v>12</v>
      </c>
      <c r="B13" s="40" t="s">
        <v>386</v>
      </c>
      <c r="C13" s="40" t="s">
        <v>35</v>
      </c>
      <c r="D13" s="40" t="s">
        <v>48</v>
      </c>
      <c r="E13" s="40" t="s">
        <v>25</v>
      </c>
      <c r="F13" s="40" t="s">
        <v>25</v>
      </c>
      <c r="G13" s="40" t="s">
        <v>25</v>
      </c>
      <c r="H13" s="40" t="s">
        <v>25</v>
      </c>
      <c r="I13" s="40" t="s">
        <v>38</v>
      </c>
      <c r="J13" s="40" t="s">
        <v>533</v>
      </c>
      <c r="K13" s="40" t="s">
        <v>532</v>
      </c>
      <c r="L13" s="40" t="s">
        <v>75</v>
      </c>
      <c r="M13" s="40">
        <v>2021</v>
      </c>
      <c r="N13" s="40">
        <v>0</v>
      </c>
      <c r="O13" s="40">
        <v>25.66</v>
      </c>
      <c r="P13" s="40">
        <v>0</v>
      </c>
    </row>
    <row r="14" spans="1:50" ht="11.25" customHeight="1" x14ac:dyDescent="0.25">
      <c r="A14" s="40">
        <v>13</v>
      </c>
      <c r="B14" s="40" t="s">
        <v>386</v>
      </c>
      <c r="C14" s="40" t="s">
        <v>22</v>
      </c>
      <c r="D14" s="40" t="s">
        <v>85</v>
      </c>
      <c r="E14" s="40" t="s">
        <v>24</v>
      </c>
      <c r="F14" s="40" t="s">
        <v>24</v>
      </c>
      <c r="G14" s="40" t="s">
        <v>25</v>
      </c>
      <c r="H14" s="40" t="s">
        <v>25</v>
      </c>
      <c r="I14" s="40" t="s">
        <v>38</v>
      </c>
      <c r="J14" s="40" t="s">
        <v>531</v>
      </c>
      <c r="K14" s="40" t="s">
        <v>532</v>
      </c>
      <c r="L14" s="40" t="s">
        <v>72</v>
      </c>
      <c r="M14" s="40">
        <v>2021</v>
      </c>
      <c r="N14" s="40">
        <v>0</v>
      </c>
      <c r="O14" s="40">
        <v>242.95</v>
      </c>
      <c r="P14" s="40">
        <v>57.258275760274003</v>
      </c>
    </row>
    <row r="15" spans="1:50" ht="11.25" customHeight="1" x14ac:dyDescent="0.25">
      <c r="A15" s="40">
        <v>14</v>
      </c>
      <c r="B15" s="40" t="s">
        <v>386</v>
      </c>
      <c r="C15" s="40" t="s">
        <v>35</v>
      </c>
      <c r="D15" s="40" t="s">
        <v>36</v>
      </c>
      <c r="E15" s="40" t="s">
        <v>25</v>
      </c>
      <c r="F15" s="40" t="s">
        <v>25</v>
      </c>
      <c r="G15" s="40" t="s">
        <v>79</v>
      </c>
      <c r="H15" s="40" t="s">
        <v>25</v>
      </c>
      <c r="I15" s="40" t="s">
        <v>38</v>
      </c>
      <c r="J15" s="40" t="s">
        <v>531</v>
      </c>
      <c r="K15" s="40" t="s">
        <v>532</v>
      </c>
      <c r="L15" s="40" t="s">
        <v>72</v>
      </c>
      <c r="M15" s="40">
        <v>2021</v>
      </c>
      <c r="N15" s="40">
        <v>0</v>
      </c>
      <c r="O15" s="40">
        <v>7.49</v>
      </c>
      <c r="P15" s="40">
        <v>0</v>
      </c>
    </row>
    <row r="16" spans="1:50" ht="11.25" customHeight="1" x14ac:dyDescent="0.25">
      <c r="A16" s="40">
        <v>15</v>
      </c>
      <c r="B16" s="40" t="s">
        <v>386</v>
      </c>
      <c r="C16" s="40" t="s">
        <v>22</v>
      </c>
      <c r="D16" s="40" t="s">
        <v>87</v>
      </c>
      <c r="E16" s="40" t="s">
        <v>24</v>
      </c>
      <c r="F16" s="40" t="s">
        <v>31</v>
      </c>
      <c r="G16" s="40" t="s">
        <v>25</v>
      </c>
      <c r="H16" s="40" t="s">
        <v>25</v>
      </c>
      <c r="I16" s="40" t="s">
        <v>25</v>
      </c>
      <c r="J16" s="40" t="s">
        <v>531</v>
      </c>
      <c r="K16" s="40" t="s">
        <v>532</v>
      </c>
      <c r="L16" s="40" t="s">
        <v>72</v>
      </c>
      <c r="M16" s="40">
        <v>2021</v>
      </c>
      <c r="N16" s="40">
        <v>0</v>
      </c>
      <c r="O16" s="40">
        <v>279.76</v>
      </c>
      <c r="P16" s="40">
        <v>0</v>
      </c>
    </row>
    <row r="17" spans="1:16" ht="11.25" customHeight="1" x14ac:dyDescent="0.25">
      <c r="A17" s="40">
        <v>16</v>
      </c>
      <c r="B17" s="40" t="s">
        <v>386</v>
      </c>
      <c r="C17" s="40" t="s">
        <v>35</v>
      </c>
      <c r="D17" s="40" t="s">
        <v>36</v>
      </c>
      <c r="E17" s="40" t="s">
        <v>25</v>
      </c>
      <c r="F17" s="40" t="s">
        <v>25</v>
      </c>
      <c r="G17" s="40" t="s">
        <v>25</v>
      </c>
      <c r="H17" s="40" t="s">
        <v>25</v>
      </c>
      <c r="I17" s="40" t="s">
        <v>25</v>
      </c>
      <c r="J17" s="40" t="s">
        <v>533</v>
      </c>
      <c r="K17" s="40" t="s">
        <v>532</v>
      </c>
      <c r="L17" s="40" t="s">
        <v>75</v>
      </c>
      <c r="M17" s="40">
        <v>2021</v>
      </c>
      <c r="N17" s="40">
        <v>0</v>
      </c>
      <c r="O17" s="40">
        <v>25.66</v>
      </c>
      <c r="P17" s="40">
        <v>0</v>
      </c>
    </row>
    <row r="18" spans="1:16" ht="11.25" customHeight="1" x14ac:dyDescent="0.25">
      <c r="A18" s="40">
        <v>17</v>
      </c>
      <c r="B18" s="40" t="s">
        <v>386</v>
      </c>
      <c r="C18" s="40" t="s">
        <v>40</v>
      </c>
      <c r="D18" s="40" t="s">
        <v>85</v>
      </c>
      <c r="E18" s="40" t="s">
        <v>41</v>
      </c>
      <c r="F18" s="40" t="s">
        <v>25</v>
      </c>
      <c r="G18" s="40" t="s">
        <v>25</v>
      </c>
      <c r="H18" s="40" t="s">
        <v>25</v>
      </c>
      <c r="I18" s="40" t="s">
        <v>534</v>
      </c>
      <c r="J18" s="40" t="s">
        <v>531</v>
      </c>
      <c r="K18" s="40" t="s">
        <v>532</v>
      </c>
      <c r="L18" s="40" t="s">
        <v>72</v>
      </c>
      <c r="M18" s="40">
        <v>2021</v>
      </c>
      <c r="N18" s="40">
        <v>0</v>
      </c>
      <c r="O18" s="40">
        <v>529.35</v>
      </c>
      <c r="P18" s="40">
        <v>50.387282669041099</v>
      </c>
    </row>
    <row r="19" spans="1:16" ht="11.25" customHeight="1" x14ac:dyDescent="0.25">
      <c r="A19" s="40">
        <v>18</v>
      </c>
      <c r="B19" s="40" t="s">
        <v>386</v>
      </c>
      <c r="C19" s="40" t="s">
        <v>22</v>
      </c>
      <c r="D19" s="40" t="s">
        <v>87</v>
      </c>
      <c r="E19" s="40" t="s">
        <v>24</v>
      </c>
      <c r="F19" s="40" t="s">
        <v>30</v>
      </c>
      <c r="G19" s="40" t="s">
        <v>25</v>
      </c>
      <c r="H19" s="40" t="s">
        <v>25</v>
      </c>
      <c r="I19" s="40" t="s">
        <v>25</v>
      </c>
      <c r="J19" s="40" t="s">
        <v>531</v>
      </c>
      <c r="K19" s="40" t="s">
        <v>532</v>
      </c>
      <c r="L19" s="40" t="s">
        <v>72</v>
      </c>
      <c r="M19" s="40">
        <v>2021</v>
      </c>
      <c r="N19" s="40">
        <v>0</v>
      </c>
      <c r="O19" s="40">
        <v>186.51</v>
      </c>
      <c r="P19" s="40">
        <v>0</v>
      </c>
    </row>
    <row r="20" spans="1:16" ht="11.25" customHeight="1" x14ac:dyDescent="0.25">
      <c r="A20" s="40">
        <v>19</v>
      </c>
      <c r="B20" s="40" t="s">
        <v>386</v>
      </c>
      <c r="C20" s="40" t="s">
        <v>80</v>
      </c>
      <c r="D20" s="40" t="s">
        <v>53</v>
      </c>
      <c r="E20" s="40" t="s">
        <v>25</v>
      </c>
      <c r="F20" s="40" t="s">
        <v>25</v>
      </c>
      <c r="G20" s="40" t="s">
        <v>81</v>
      </c>
      <c r="H20" s="40" t="s">
        <v>25</v>
      </c>
      <c r="I20" s="40" t="s">
        <v>25</v>
      </c>
      <c r="J20" s="40" t="s">
        <v>533</v>
      </c>
      <c r="K20" s="40" t="s">
        <v>532</v>
      </c>
      <c r="L20" s="40" t="s">
        <v>75</v>
      </c>
      <c r="M20" s="40">
        <v>2021</v>
      </c>
      <c r="N20" s="40">
        <v>0</v>
      </c>
      <c r="O20" s="40">
        <v>5.79</v>
      </c>
      <c r="P20" s="40">
        <v>0</v>
      </c>
    </row>
    <row r="21" spans="1:16" ht="11.25" customHeight="1" x14ac:dyDescent="0.25">
      <c r="A21" s="40">
        <v>20</v>
      </c>
      <c r="B21" s="40" t="s">
        <v>386</v>
      </c>
      <c r="C21" s="40" t="s">
        <v>35</v>
      </c>
      <c r="D21" s="40" t="s">
        <v>48</v>
      </c>
      <c r="E21" s="40" t="s">
        <v>25</v>
      </c>
      <c r="F21" s="40" t="s">
        <v>25</v>
      </c>
      <c r="G21" s="40" t="s">
        <v>79</v>
      </c>
      <c r="H21" s="40" t="s">
        <v>25</v>
      </c>
      <c r="I21" s="40" t="s">
        <v>25</v>
      </c>
      <c r="J21" s="40" t="s">
        <v>531</v>
      </c>
      <c r="K21" s="40" t="s">
        <v>532</v>
      </c>
      <c r="L21" s="40" t="s">
        <v>72</v>
      </c>
      <c r="M21" s="40">
        <v>2021</v>
      </c>
      <c r="N21" s="40">
        <v>0</v>
      </c>
      <c r="O21" s="40">
        <v>7.49</v>
      </c>
      <c r="P21" s="40">
        <v>0</v>
      </c>
    </row>
    <row r="22" spans="1:16" ht="11.25" customHeight="1" x14ac:dyDescent="0.25">
      <c r="A22" s="40">
        <v>21</v>
      </c>
      <c r="B22" s="40" t="s">
        <v>386</v>
      </c>
      <c r="C22" s="40" t="s">
        <v>22</v>
      </c>
      <c r="D22" s="40" t="s">
        <v>23</v>
      </c>
      <c r="E22" s="40" t="s">
        <v>24</v>
      </c>
      <c r="F22" s="40" t="s">
        <v>29</v>
      </c>
      <c r="G22" s="40" t="s">
        <v>25</v>
      </c>
      <c r="H22" s="40" t="s">
        <v>25</v>
      </c>
      <c r="I22" s="40" t="s">
        <v>25</v>
      </c>
      <c r="J22" s="40" t="s">
        <v>531</v>
      </c>
      <c r="K22" s="40" t="s">
        <v>532</v>
      </c>
      <c r="L22" s="40" t="s">
        <v>72</v>
      </c>
      <c r="M22" s="40">
        <v>2021</v>
      </c>
      <c r="N22" s="40">
        <v>0</v>
      </c>
      <c r="O22" s="40">
        <v>108.8</v>
      </c>
      <c r="P22" s="40">
        <v>0</v>
      </c>
    </row>
    <row r="23" spans="1:16" ht="11.25" customHeight="1" x14ac:dyDescent="0.25">
      <c r="A23" s="40">
        <v>22</v>
      </c>
      <c r="B23" s="40" t="s">
        <v>386</v>
      </c>
      <c r="C23" s="40" t="s">
        <v>35</v>
      </c>
      <c r="D23" s="40" t="s">
        <v>36</v>
      </c>
      <c r="E23" s="40" t="s">
        <v>25</v>
      </c>
      <c r="F23" s="40" t="s">
        <v>25</v>
      </c>
      <c r="G23" s="40" t="s">
        <v>79</v>
      </c>
      <c r="H23" s="40" t="s">
        <v>25</v>
      </c>
      <c r="I23" s="40" t="s">
        <v>37</v>
      </c>
      <c r="J23" s="40" t="s">
        <v>531</v>
      </c>
      <c r="K23" s="40" t="s">
        <v>532</v>
      </c>
      <c r="L23" s="40" t="s">
        <v>72</v>
      </c>
      <c r="M23" s="40">
        <v>2021</v>
      </c>
      <c r="N23" s="40">
        <v>0</v>
      </c>
      <c r="O23" s="40">
        <v>1863.83</v>
      </c>
      <c r="P23" s="40">
        <v>0</v>
      </c>
    </row>
    <row r="24" spans="1:16" ht="11.25" customHeight="1" x14ac:dyDescent="0.25">
      <c r="A24" s="40">
        <v>23</v>
      </c>
      <c r="B24" s="40" t="s">
        <v>386</v>
      </c>
      <c r="C24" s="40" t="s">
        <v>35</v>
      </c>
      <c r="D24" s="40" t="s">
        <v>36</v>
      </c>
      <c r="E24" s="40" t="s">
        <v>25</v>
      </c>
      <c r="F24" s="40" t="s">
        <v>25</v>
      </c>
      <c r="G24" s="40" t="s">
        <v>25</v>
      </c>
      <c r="H24" s="40" t="s">
        <v>25</v>
      </c>
      <c r="I24" s="40" t="s">
        <v>38</v>
      </c>
      <c r="J24" s="40" t="s">
        <v>531</v>
      </c>
      <c r="K24" s="40" t="s">
        <v>532</v>
      </c>
      <c r="L24" s="40" t="s">
        <v>72</v>
      </c>
      <c r="M24" s="40">
        <v>2021</v>
      </c>
      <c r="N24" s="40">
        <v>0</v>
      </c>
      <c r="O24" s="40">
        <v>66.22</v>
      </c>
      <c r="P24" s="40">
        <v>49.814699911438296</v>
      </c>
    </row>
    <row r="25" spans="1:16" ht="11.25" customHeight="1" x14ac:dyDescent="0.25">
      <c r="A25" s="40">
        <v>24</v>
      </c>
      <c r="B25" s="40" t="s">
        <v>386</v>
      </c>
      <c r="C25" s="40" t="s">
        <v>22</v>
      </c>
      <c r="D25" s="40" t="s">
        <v>87</v>
      </c>
      <c r="E25" s="40" t="s">
        <v>24</v>
      </c>
      <c r="F25" s="40" t="s">
        <v>24</v>
      </c>
      <c r="G25" s="40" t="s">
        <v>25</v>
      </c>
      <c r="H25" s="40" t="s">
        <v>25</v>
      </c>
      <c r="I25" s="40" t="s">
        <v>25</v>
      </c>
      <c r="J25" s="40" t="s">
        <v>531</v>
      </c>
      <c r="K25" s="40" t="s">
        <v>532</v>
      </c>
      <c r="L25" s="40" t="s">
        <v>72</v>
      </c>
      <c r="M25" s="40">
        <v>2021</v>
      </c>
      <c r="N25" s="40">
        <v>0</v>
      </c>
      <c r="O25" s="40">
        <v>377.01</v>
      </c>
      <c r="P25" s="40">
        <v>57.258275760274003</v>
      </c>
    </row>
    <row r="26" spans="1:16" ht="11.25" customHeight="1" x14ac:dyDescent="0.25">
      <c r="A26" s="40">
        <v>25</v>
      </c>
      <c r="B26" s="40" t="s">
        <v>386</v>
      </c>
      <c r="C26" s="40" t="s">
        <v>35</v>
      </c>
      <c r="D26" s="40" t="s">
        <v>36</v>
      </c>
      <c r="E26" s="40" t="s">
        <v>25</v>
      </c>
      <c r="F26" s="40" t="s">
        <v>25</v>
      </c>
      <c r="G26" s="40" t="s">
        <v>25</v>
      </c>
      <c r="H26" s="40" t="s">
        <v>25</v>
      </c>
      <c r="I26" s="40" t="s">
        <v>37</v>
      </c>
      <c r="J26" s="40" t="s">
        <v>531</v>
      </c>
      <c r="K26" s="40" t="s">
        <v>532</v>
      </c>
      <c r="L26" s="40" t="s">
        <v>72</v>
      </c>
      <c r="M26" s="40">
        <v>2021</v>
      </c>
      <c r="N26" s="40">
        <v>0</v>
      </c>
      <c r="O26" s="40">
        <v>1922.56</v>
      </c>
      <c r="P26" s="40">
        <v>49.814699911438296</v>
      </c>
    </row>
    <row r="27" spans="1:16" ht="11.25" customHeight="1" x14ac:dyDescent="0.25">
      <c r="A27" s="40">
        <v>26</v>
      </c>
      <c r="B27" s="40" t="s">
        <v>386</v>
      </c>
      <c r="C27" s="40" t="s">
        <v>22</v>
      </c>
      <c r="D27" s="40" t="s">
        <v>23</v>
      </c>
      <c r="E27" s="40" t="s">
        <v>24</v>
      </c>
      <c r="F27" s="40" t="s">
        <v>32</v>
      </c>
      <c r="G27" s="40" t="s">
        <v>25</v>
      </c>
      <c r="H27" s="40" t="s">
        <v>25</v>
      </c>
      <c r="I27" s="40" t="s">
        <v>25</v>
      </c>
      <c r="J27" s="40" t="s">
        <v>531</v>
      </c>
      <c r="K27" s="40" t="s">
        <v>532</v>
      </c>
      <c r="L27" s="40" t="s">
        <v>72</v>
      </c>
      <c r="M27" s="40">
        <v>2021</v>
      </c>
      <c r="N27" s="40">
        <v>0</v>
      </c>
      <c r="O27" s="40">
        <v>310.83999999999997</v>
      </c>
      <c r="P27" s="40">
        <v>0</v>
      </c>
    </row>
    <row r="28" spans="1:16" ht="11.25" customHeight="1" x14ac:dyDescent="0.25">
      <c r="A28" s="40">
        <v>27</v>
      </c>
      <c r="B28" s="40" t="s">
        <v>386</v>
      </c>
      <c r="C28" s="40" t="s">
        <v>22</v>
      </c>
      <c r="D28" s="40" t="s">
        <v>87</v>
      </c>
      <c r="E28" s="40" t="s">
        <v>24</v>
      </c>
      <c r="F28" s="40" t="s">
        <v>29</v>
      </c>
      <c r="G28" s="40" t="s">
        <v>25</v>
      </c>
      <c r="H28" s="40" t="s">
        <v>25</v>
      </c>
      <c r="I28" s="40" t="s">
        <v>25</v>
      </c>
      <c r="J28" s="40" t="s">
        <v>531</v>
      </c>
      <c r="K28" s="40" t="s">
        <v>532</v>
      </c>
      <c r="L28" s="40" t="s">
        <v>72</v>
      </c>
      <c r="M28" s="40">
        <v>2021</v>
      </c>
      <c r="N28" s="40">
        <v>0</v>
      </c>
      <c r="O28" s="40">
        <v>108.8</v>
      </c>
      <c r="P28" s="40">
        <v>0</v>
      </c>
    </row>
    <row r="29" spans="1:16" ht="11.25" customHeight="1" x14ac:dyDescent="0.25">
      <c r="A29" s="40">
        <v>28</v>
      </c>
      <c r="B29" s="40" t="s">
        <v>386</v>
      </c>
      <c r="C29" s="40" t="s">
        <v>40</v>
      </c>
      <c r="D29" s="40" t="s">
        <v>85</v>
      </c>
      <c r="E29" s="40" t="s">
        <v>41</v>
      </c>
      <c r="F29" s="40" t="s">
        <v>25</v>
      </c>
      <c r="G29" s="40" t="s">
        <v>25</v>
      </c>
      <c r="H29" s="40" t="s">
        <v>25</v>
      </c>
      <c r="I29" s="40" t="s">
        <v>38</v>
      </c>
      <c r="J29" s="40" t="s">
        <v>531</v>
      </c>
      <c r="K29" s="40" t="s">
        <v>532</v>
      </c>
      <c r="L29" s="40" t="s">
        <v>72</v>
      </c>
      <c r="M29" s="40">
        <v>2021</v>
      </c>
      <c r="N29" s="40">
        <v>0</v>
      </c>
      <c r="O29" s="40">
        <v>226.53</v>
      </c>
      <c r="P29" s="40">
        <v>50.387282669041099</v>
      </c>
    </row>
    <row r="30" spans="1:16" ht="11.25" customHeight="1" x14ac:dyDescent="0.25">
      <c r="A30" s="40">
        <v>29</v>
      </c>
      <c r="B30" s="40" t="s">
        <v>386</v>
      </c>
      <c r="C30" s="40" t="s">
        <v>33</v>
      </c>
      <c r="D30" s="40" t="s">
        <v>85</v>
      </c>
      <c r="E30" s="40" t="s">
        <v>25</v>
      </c>
      <c r="F30" s="40" t="s">
        <v>25</v>
      </c>
      <c r="G30" s="40" t="s">
        <v>25</v>
      </c>
      <c r="H30" s="40" t="s">
        <v>25</v>
      </c>
      <c r="I30" s="40" t="s">
        <v>534</v>
      </c>
      <c r="J30" s="40" t="s">
        <v>531</v>
      </c>
      <c r="K30" s="40" t="s">
        <v>532</v>
      </c>
      <c r="L30" s="40" t="s">
        <v>72</v>
      </c>
      <c r="M30" s="40">
        <v>2021</v>
      </c>
      <c r="N30" s="40">
        <v>0</v>
      </c>
      <c r="O30" s="40">
        <v>689.05</v>
      </c>
      <c r="P30" s="40">
        <v>57.258275760274003</v>
      </c>
    </row>
    <row r="31" spans="1:16" ht="11.25" customHeight="1" x14ac:dyDescent="0.25">
      <c r="A31" s="40">
        <v>30</v>
      </c>
      <c r="B31" s="40" t="s">
        <v>386</v>
      </c>
      <c r="C31" s="40" t="s">
        <v>40</v>
      </c>
      <c r="D31" s="40" t="s">
        <v>23</v>
      </c>
      <c r="E31" s="40" t="s">
        <v>41</v>
      </c>
      <c r="F31" s="40" t="s">
        <v>25</v>
      </c>
      <c r="G31" s="40" t="s">
        <v>25</v>
      </c>
      <c r="H31" s="40" t="s">
        <v>25</v>
      </c>
      <c r="I31" s="40" t="s">
        <v>25</v>
      </c>
      <c r="J31" s="40" t="s">
        <v>531</v>
      </c>
      <c r="K31" s="40" t="s">
        <v>532</v>
      </c>
      <c r="L31" s="40" t="s">
        <v>72</v>
      </c>
      <c r="M31" s="40">
        <v>2021</v>
      </c>
      <c r="N31" s="40">
        <v>0</v>
      </c>
      <c r="O31" s="40">
        <v>331.77</v>
      </c>
      <c r="P31" s="40">
        <v>50.387282669041099</v>
      </c>
    </row>
    <row r="32" spans="1:16" ht="11.25" customHeight="1" x14ac:dyDescent="0.25">
      <c r="A32" s="40">
        <v>31</v>
      </c>
      <c r="B32" s="40" t="s">
        <v>386</v>
      </c>
      <c r="C32" s="40" t="s">
        <v>40</v>
      </c>
      <c r="D32" s="40" t="s">
        <v>87</v>
      </c>
      <c r="E32" s="40" t="s">
        <v>41</v>
      </c>
      <c r="F32" s="40" t="s">
        <v>89</v>
      </c>
      <c r="G32" s="40" t="s">
        <v>25</v>
      </c>
      <c r="H32" s="40" t="s">
        <v>25</v>
      </c>
      <c r="I32" s="40" t="s">
        <v>25</v>
      </c>
      <c r="J32" s="40" t="s">
        <v>531</v>
      </c>
      <c r="K32" s="40" t="s">
        <v>532</v>
      </c>
      <c r="L32" s="40" t="s">
        <v>72</v>
      </c>
      <c r="M32" s="40">
        <v>2021</v>
      </c>
      <c r="N32" s="40">
        <v>0</v>
      </c>
      <c r="O32" s="40">
        <v>316.69</v>
      </c>
      <c r="P32" s="40">
        <v>48.096951638630102</v>
      </c>
    </row>
    <row r="33" spans="1:16" ht="11.25" customHeight="1" x14ac:dyDescent="0.25">
      <c r="A33" s="40">
        <v>32</v>
      </c>
      <c r="B33" s="40" t="s">
        <v>414</v>
      </c>
      <c r="C33" s="40" t="s">
        <v>22</v>
      </c>
      <c r="D33" s="40" t="s">
        <v>84</v>
      </c>
      <c r="E33" s="40" t="s">
        <v>24</v>
      </c>
      <c r="F33" s="40" t="s">
        <v>24</v>
      </c>
      <c r="G33" s="40" t="s">
        <v>25</v>
      </c>
      <c r="H33" s="40" t="s">
        <v>25</v>
      </c>
      <c r="I33" s="40" t="s">
        <v>25</v>
      </c>
      <c r="J33" s="40" t="s">
        <v>531</v>
      </c>
      <c r="K33" s="40" t="s">
        <v>532</v>
      </c>
      <c r="L33" s="40" t="s">
        <v>72</v>
      </c>
      <c r="M33" s="40">
        <v>2021</v>
      </c>
      <c r="N33" s="40">
        <v>0</v>
      </c>
      <c r="O33" s="40">
        <v>141.32</v>
      </c>
      <c r="P33" s="40"/>
    </row>
    <row r="34" spans="1:16" ht="11.25" customHeight="1" x14ac:dyDescent="0.25">
      <c r="A34" s="40">
        <v>33</v>
      </c>
      <c r="B34" s="40" t="s">
        <v>386</v>
      </c>
      <c r="C34" s="40" t="s">
        <v>40</v>
      </c>
      <c r="D34" s="40" t="s">
        <v>85</v>
      </c>
      <c r="E34" s="40" t="s">
        <v>41</v>
      </c>
      <c r="F34" s="40" t="s">
        <v>88</v>
      </c>
      <c r="G34" s="40" t="s">
        <v>25</v>
      </c>
      <c r="H34" s="40" t="s">
        <v>25</v>
      </c>
      <c r="I34" s="40" t="s">
        <v>534</v>
      </c>
      <c r="J34" s="40" t="s">
        <v>531</v>
      </c>
      <c r="K34" s="40" t="s">
        <v>532</v>
      </c>
      <c r="L34" s="40" t="s">
        <v>72</v>
      </c>
      <c r="M34" s="40">
        <v>2021</v>
      </c>
      <c r="N34" s="40">
        <v>0</v>
      </c>
      <c r="O34" s="40">
        <v>529.35</v>
      </c>
      <c r="P34" s="40">
        <v>50.387282669041099</v>
      </c>
    </row>
    <row r="35" spans="1:16" ht="11.25" customHeight="1" x14ac:dyDescent="0.25">
      <c r="A35" s="40">
        <v>34</v>
      </c>
      <c r="B35" s="40" t="s">
        <v>386</v>
      </c>
      <c r="C35" s="40" t="s">
        <v>33</v>
      </c>
      <c r="D35" s="40" t="s">
        <v>87</v>
      </c>
      <c r="E35" s="40" t="s">
        <v>25</v>
      </c>
      <c r="F35" s="40" t="s">
        <v>25</v>
      </c>
      <c r="G35" s="40" t="s">
        <v>25</v>
      </c>
      <c r="H35" s="40" t="s">
        <v>25</v>
      </c>
      <c r="I35" s="40" t="s">
        <v>25</v>
      </c>
      <c r="J35" s="40" t="s">
        <v>531</v>
      </c>
      <c r="K35" s="40" t="s">
        <v>532</v>
      </c>
      <c r="L35" s="40" t="s">
        <v>72</v>
      </c>
      <c r="M35" s="40">
        <v>2021</v>
      </c>
      <c r="N35" s="40">
        <v>0</v>
      </c>
      <c r="O35" s="40">
        <v>377.01</v>
      </c>
      <c r="P35" s="40">
        <v>57.258275760274003</v>
      </c>
    </row>
    <row r="36" spans="1:16" ht="11.25" customHeight="1" x14ac:dyDescent="0.25">
      <c r="A36" s="40">
        <v>35</v>
      </c>
      <c r="B36" s="40" t="s">
        <v>386</v>
      </c>
      <c r="C36" s="40" t="s">
        <v>40</v>
      </c>
      <c r="D36" s="40" t="s">
        <v>23</v>
      </c>
      <c r="E36" s="40" t="s">
        <v>41</v>
      </c>
      <c r="F36" s="40" t="s">
        <v>89</v>
      </c>
      <c r="G36" s="40" t="s">
        <v>25</v>
      </c>
      <c r="H36" s="40" t="s">
        <v>25</v>
      </c>
      <c r="I36" s="40" t="s">
        <v>25</v>
      </c>
      <c r="J36" s="40" t="s">
        <v>531</v>
      </c>
      <c r="K36" s="40" t="s">
        <v>532</v>
      </c>
      <c r="L36" s="40" t="s">
        <v>72</v>
      </c>
      <c r="M36" s="40">
        <v>2021</v>
      </c>
      <c r="N36" s="40">
        <v>0</v>
      </c>
      <c r="O36" s="40">
        <v>316.69</v>
      </c>
      <c r="P36" s="40">
        <v>48.096951638630102</v>
      </c>
    </row>
    <row r="37" spans="1:16" ht="11.25" customHeight="1" x14ac:dyDescent="0.25">
      <c r="A37" s="40">
        <v>36</v>
      </c>
      <c r="B37" s="40" t="s">
        <v>414</v>
      </c>
      <c r="C37" s="40" t="s">
        <v>22</v>
      </c>
      <c r="D37" s="40" t="s">
        <v>71</v>
      </c>
      <c r="E37" s="40" t="s">
        <v>24</v>
      </c>
      <c r="F37" s="40" t="s">
        <v>24</v>
      </c>
      <c r="G37" s="40" t="s">
        <v>25</v>
      </c>
      <c r="H37" s="40" t="s">
        <v>25</v>
      </c>
      <c r="I37" s="40" t="s">
        <v>534</v>
      </c>
      <c r="J37" s="40" t="s">
        <v>531</v>
      </c>
      <c r="K37" s="40" t="s">
        <v>532</v>
      </c>
      <c r="L37" s="40" t="s">
        <v>72</v>
      </c>
      <c r="M37" s="40">
        <v>2021</v>
      </c>
      <c r="N37" s="40">
        <v>0</v>
      </c>
      <c r="O37" s="40">
        <v>141.32</v>
      </c>
      <c r="P37" s="40"/>
    </row>
    <row r="38" spans="1:16" ht="11.25" customHeight="1" x14ac:dyDescent="0.25">
      <c r="A38" s="40">
        <v>37</v>
      </c>
      <c r="B38" s="40" t="s">
        <v>386</v>
      </c>
      <c r="C38" s="40" t="s">
        <v>40</v>
      </c>
      <c r="D38" s="40" t="s">
        <v>85</v>
      </c>
      <c r="E38" s="40" t="s">
        <v>41</v>
      </c>
      <c r="F38" s="40" t="s">
        <v>88</v>
      </c>
      <c r="G38" s="40" t="s">
        <v>25</v>
      </c>
      <c r="H38" s="40" t="s">
        <v>25</v>
      </c>
      <c r="I38" s="40" t="s">
        <v>38</v>
      </c>
      <c r="J38" s="40" t="s">
        <v>531</v>
      </c>
      <c r="K38" s="40" t="s">
        <v>532</v>
      </c>
      <c r="L38" s="40" t="s">
        <v>72</v>
      </c>
      <c r="M38" s="40">
        <v>2021</v>
      </c>
      <c r="N38" s="40">
        <v>0</v>
      </c>
      <c r="O38" s="40">
        <v>226.53</v>
      </c>
      <c r="P38" s="40">
        <v>50.387282669041099</v>
      </c>
    </row>
    <row r="39" spans="1:16" ht="11.25" customHeight="1" x14ac:dyDescent="0.25">
      <c r="A39" s="40">
        <v>38</v>
      </c>
      <c r="B39" s="40" t="s">
        <v>386</v>
      </c>
      <c r="C39" s="40" t="s">
        <v>43</v>
      </c>
      <c r="D39" s="40" t="s">
        <v>23</v>
      </c>
      <c r="E39" s="40" t="s">
        <v>44</v>
      </c>
      <c r="F39" s="40" t="s">
        <v>45</v>
      </c>
      <c r="G39" s="40" t="s">
        <v>25</v>
      </c>
      <c r="H39" s="40" t="s">
        <v>25</v>
      </c>
      <c r="I39" s="40" t="s">
        <v>25</v>
      </c>
      <c r="J39" s="40" t="s">
        <v>531</v>
      </c>
      <c r="K39" s="40" t="s">
        <v>532</v>
      </c>
      <c r="L39" s="40" t="s">
        <v>72</v>
      </c>
      <c r="M39" s="40">
        <v>2021</v>
      </c>
      <c r="N39" s="40">
        <v>0</v>
      </c>
      <c r="O39" s="40">
        <v>207.36</v>
      </c>
      <c r="P39" s="40">
        <v>31.492051668150701</v>
      </c>
    </row>
    <row r="40" spans="1:16" ht="11.25" customHeight="1" x14ac:dyDescent="0.25">
      <c r="A40" s="40">
        <v>39</v>
      </c>
      <c r="B40" s="40" t="s">
        <v>414</v>
      </c>
      <c r="C40" s="40" t="s">
        <v>22</v>
      </c>
      <c r="D40" s="40" t="s">
        <v>84</v>
      </c>
      <c r="E40" s="40" t="s">
        <v>24</v>
      </c>
      <c r="F40" s="40" t="s">
        <v>29</v>
      </c>
      <c r="G40" s="40" t="s">
        <v>25</v>
      </c>
      <c r="H40" s="40" t="s">
        <v>25</v>
      </c>
      <c r="I40" s="40" t="s">
        <v>25</v>
      </c>
      <c r="J40" s="40" t="s">
        <v>531</v>
      </c>
      <c r="K40" s="40" t="s">
        <v>532</v>
      </c>
      <c r="L40" s="40" t="s">
        <v>72</v>
      </c>
      <c r="M40" s="40">
        <v>2021</v>
      </c>
      <c r="N40" s="40">
        <v>0</v>
      </c>
      <c r="O40" s="40">
        <v>49.46</v>
      </c>
      <c r="P40" s="40"/>
    </row>
    <row r="41" spans="1:16" ht="11.25" customHeight="1" x14ac:dyDescent="0.25">
      <c r="A41" s="40">
        <v>40</v>
      </c>
      <c r="B41" s="40" t="s">
        <v>386</v>
      </c>
      <c r="C41" s="40" t="s">
        <v>33</v>
      </c>
      <c r="D41" s="40" t="s">
        <v>85</v>
      </c>
      <c r="E41" s="40" t="s">
        <v>25</v>
      </c>
      <c r="F41" s="40" t="s">
        <v>25</v>
      </c>
      <c r="G41" s="40" t="s">
        <v>25</v>
      </c>
      <c r="H41" s="40" t="s">
        <v>25</v>
      </c>
      <c r="I41" s="40" t="s">
        <v>38</v>
      </c>
      <c r="J41" s="40" t="s">
        <v>531</v>
      </c>
      <c r="K41" s="40" t="s">
        <v>532</v>
      </c>
      <c r="L41" s="40" t="s">
        <v>72</v>
      </c>
      <c r="M41" s="40">
        <v>2021</v>
      </c>
      <c r="N41" s="40">
        <v>0</v>
      </c>
      <c r="O41" s="40">
        <v>286.60000000000002</v>
      </c>
      <c r="P41" s="40">
        <v>57.258275760274003</v>
      </c>
    </row>
    <row r="42" spans="1:16" ht="11.25" customHeight="1" x14ac:dyDescent="0.25">
      <c r="A42" s="40">
        <v>41</v>
      </c>
      <c r="B42" s="40" t="s">
        <v>386</v>
      </c>
      <c r="C42" s="40" t="s">
        <v>40</v>
      </c>
      <c r="D42" s="40" t="s">
        <v>85</v>
      </c>
      <c r="E42" s="40" t="s">
        <v>41</v>
      </c>
      <c r="F42" s="40" t="s">
        <v>89</v>
      </c>
      <c r="G42" s="40" t="s">
        <v>25</v>
      </c>
      <c r="H42" s="40" t="s">
        <v>25</v>
      </c>
      <c r="I42" s="40" t="s">
        <v>38</v>
      </c>
      <c r="J42" s="40" t="s">
        <v>531</v>
      </c>
      <c r="K42" s="40" t="s">
        <v>532</v>
      </c>
      <c r="L42" s="40" t="s">
        <v>72</v>
      </c>
      <c r="M42" s="40">
        <v>2021</v>
      </c>
      <c r="N42" s="40">
        <v>0</v>
      </c>
      <c r="O42" s="40">
        <v>216.23</v>
      </c>
      <c r="P42" s="40">
        <v>48.096951638630102</v>
      </c>
    </row>
    <row r="43" spans="1:16" ht="11.25" customHeight="1" x14ac:dyDescent="0.25">
      <c r="A43" s="40">
        <v>42</v>
      </c>
      <c r="B43" s="40" t="s">
        <v>414</v>
      </c>
      <c r="C43" s="40" t="s">
        <v>22</v>
      </c>
      <c r="D43" s="40" t="s">
        <v>71</v>
      </c>
      <c r="E43" s="40" t="s">
        <v>24</v>
      </c>
      <c r="F43" s="40" t="s">
        <v>24</v>
      </c>
      <c r="G43" s="40" t="s">
        <v>25</v>
      </c>
      <c r="H43" s="40" t="s">
        <v>25</v>
      </c>
      <c r="I43" s="40" t="s">
        <v>37</v>
      </c>
      <c r="J43" s="40" t="s">
        <v>531</v>
      </c>
      <c r="K43" s="40" t="s">
        <v>532</v>
      </c>
      <c r="L43" s="40" t="s">
        <v>72</v>
      </c>
      <c r="M43" s="40">
        <v>2021</v>
      </c>
      <c r="N43" s="40">
        <v>0</v>
      </c>
      <c r="O43" s="40">
        <v>141.32</v>
      </c>
      <c r="P43" s="40"/>
    </row>
    <row r="44" spans="1:16" ht="11.25" customHeight="1" x14ac:dyDescent="0.25">
      <c r="A44" s="40">
        <v>43</v>
      </c>
      <c r="B44" s="40" t="s">
        <v>386</v>
      </c>
      <c r="C44" s="40" t="s">
        <v>40</v>
      </c>
      <c r="D44" s="40" t="s">
        <v>85</v>
      </c>
      <c r="E44" s="40" t="s">
        <v>41</v>
      </c>
      <c r="F44" s="40" t="s">
        <v>89</v>
      </c>
      <c r="G44" s="40" t="s">
        <v>25</v>
      </c>
      <c r="H44" s="40" t="s">
        <v>25</v>
      </c>
      <c r="I44" s="40" t="s">
        <v>534</v>
      </c>
      <c r="J44" s="40" t="s">
        <v>531</v>
      </c>
      <c r="K44" s="40" t="s">
        <v>532</v>
      </c>
      <c r="L44" s="40" t="s">
        <v>72</v>
      </c>
      <c r="M44" s="40">
        <v>2021</v>
      </c>
      <c r="N44" s="40">
        <v>0</v>
      </c>
      <c r="O44" s="40">
        <v>505.29</v>
      </c>
      <c r="P44" s="40">
        <v>48.096951638630102</v>
      </c>
    </row>
    <row r="45" spans="1:16" ht="11.25" customHeight="1" x14ac:dyDescent="0.25">
      <c r="A45" s="40">
        <v>44</v>
      </c>
      <c r="B45" s="40" t="s">
        <v>414</v>
      </c>
      <c r="C45" s="40" t="s">
        <v>35</v>
      </c>
      <c r="D45" s="40" t="s">
        <v>71</v>
      </c>
      <c r="E45" s="40" t="s">
        <v>25</v>
      </c>
      <c r="F45" s="40" t="s">
        <v>25</v>
      </c>
      <c r="G45" s="40" t="s">
        <v>25</v>
      </c>
      <c r="H45" s="40" t="s">
        <v>25</v>
      </c>
      <c r="I45" s="40" t="s">
        <v>37</v>
      </c>
      <c r="J45" s="40" t="s">
        <v>531</v>
      </c>
      <c r="K45" s="40" t="s">
        <v>532</v>
      </c>
      <c r="L45" s="40" t="s">
        <v>72</v>
      </c>
      <c r="M45" s="40">
        <v>2021</v>
      </c>
      <c r="N45" s="40">
        <v>0</v>
      </c>
      <c r="O45" s="40">
        <v>141.32</v>
      </c>
      <c r="P45" s="40"/>
    </row>
    <row r="46" spans="1:16" ht="11.25" customHeight="1" x14ac:dyDescent="0.25">
      <c r="A46" s="40">
        <v>45</v>
      </c>
      <c r="B46" s="40" t="s">
        <v>386</v>
      </c>
      <c r="C46" s="40" t="s">
        <v>33</v>
      </c>
      <c r="D46" s="40" t="s">
        <v>85</v>
      </c>
      <c r="E46" s="40" t="s">
        <v>25</v>
      </c>
      <c r="F46" s="40" t="s">
        <v>25</v>
      </c>
      <c r="G46" s="40" t="s">
        <v>25</v>
      </c>
      <c r="H46" s="40" t="s">
        <v>25</v>
      </c>
      <c r="I46" s="40" t="s">
        <v>37</v>
      </c>
      <c r="J46" s="40" t="s">
        <v>531</v>
      </c>
      <c r="K46" s="40" t="s">
        <v>532</v>
      </c>
      <c r="L46" s="40" t="s">
        <v>72</v>
      </c>
      <c r="M46" s="40">
        <v>2021</v>
      </c>
      <c r="N46" s="40">
        <v>0</v>
      </c>
      <c r="O46" s="40">
        <v>1091.54</v>
      </c>
      <c r="P46" s="40">
        <v>57.258275760274003</v>
      </c>
    </row>
    <row r="47" spans="1:16" ht="11.25" customHeight="1" x14ac:dyDescent="0.25">
      <c r="A47" s="40">
        <v>46</v>
      </c>
      <c r="B47" s="40" t="s">
        <v>386</v>
      </c>
      <c r="C47" s="40" t="s">
        <v>40</v>
      </c>
      <c r="D47" s="40" t="s">
        <v>85</v>
      </c>
      <c r="E47" s="40" t="s">
        <v>41</v>
      </c>
      <c r="F47" s="40" t="s">
        <v>89</v>
      </c>
      <c r="G47" s="40" t="s">
        <v>25</v>
      </c>
      <c r="H47" s="40" t="s">
        <v>25</v>
      </c>
      <c r="I47" s="40" t="s">
        <v>37</v>
      </c>
      <c r="J47" s="40" t="s">
        <v>531</v>
      </c>
      <c r="K47" s="40" t="s">
        <v>532</v>
      </c>
      <c r="L47" s="40" t="s">
        <v>72</v>
      </c>
      <c r="M47" s="40">
        <v>2021</v>
      </c>
      <c r="N47" s="40">
        <v>0</v>
      </c>
      <c r="O47" s="40">
        <v>794.36</v>
      </c>
      <c r="P47" s="40">
        <v>48.096951638630102</v>
      </c>
    </row>
    <row r="48" spans="1:16" ht="11.25" customHeight="1" x14ac:dyDescent="0.25">
      <c r="A48" s="40">
        <v>47</v>
      </c>
      <c r="B48" s="40" t="s">
        <v>386</v>
      </c>
      <c r="C48" s="40" t="s">
        <v>43</v>
      </c>
      <c r="D48" s="40" t="s">
        <v>23</v>
      </c>
      <c r="E48" s="40" t="s">
        <v>44</v>
      </c>
      <c r="F48" s="40" t="s">
        <v>90</v>
      </c>
      <c r="G48" s="40" t="s">
        <v>25</v>
      </c>
      <c r="H48" s="40" t="s">
        <v>25</v>
      </c>
      <c r="I48" s="40" t="s">
        <v>25</v>
      </c>
      <c r="J48" s="40" t="s">
        <v>531</v>
      </c>
      <c r="K48" s="40" t="s">
        <v>532</v>
      </c>
      <c r="L48" s="40" t="s">
        <v>72</v>
      </c>
      <c r="M48" s="40">
        <v>2021</v>
      </c>
      <c r="N48" s="40">
        <v>0</v>
      </c>
      <c r="O48" s="40">
        <v>226.21</v>
      </c>
      <c r="P48" s="40">
        <v>34.3549654561644</v>
      </c>
    </row>
    <row r="49" spans="1:16" ht="11.25" customHeight="1" x14ac:dyDescent="0.25">
      <c r="A49" s="40">
        <v>48</v>
      </c>
      <c r="B49" s="40" t="s">
        <v>386</v>
      </c>
      <c r="C49" s="40" t="s">
        <v>40</v>
      </c>
      <c r="D49" s="40" t="s">
        <v>87</v>
      </c>
      <c r="E49" s="40" t="s">
        <v>41</v>
      </c>
      <c r="F49" s="40" t="s">
        <v>88</v>
      </c>
      <c r="G49" s="40" t="s">
        <v>25</v>
      </c>
      <c r="H49" s="40" t="s">
        <v>25</v>
      </c>
      <c r="I49" s="40" t="s">
        <v>25</v>
      </c>
      <c r="J49" s="40" t="s">
        <v>531</v>
      </c>
      <c r="K49" s="40" t="s">
        <v>532</v>
      </c>
      <c r="L49" s="40" t="s">
        <v>72</v>
      </c>
      <c r="M49" s="40">
        <v>2021</v>
      </c>
      <c r="N49" s="40">
        <v>0</v>
      </c>
      <c r="O49" s="40">
        <v>331.77</v>
      </c>
      <c r="P49" s="40">
        <v>50.387282669041099</v>
      </c>
    </row>
    <row r="50" spans="1:16" ht="11.25" customHeight="1" x14ac:dyDescent="0.25">
      <c r="A50" s="40">
        <v>49</v>
      </c>
      <c r="B50" s="40" t="s">
        <v>414</v>
      </c>
      <c r="C50" s="40" t="s">
        <v>22</v>
      </c>
      <c r="D50" s="40" t="s">
        <v>71</v>
      </c>
      <c r="E50" s="40" t="s">
        <v>24</v>
      </c>
      <c r="F50" s="40" t="s">
        <v>24</v>
      </c>
      <c r="G50" s="40" t="s">
        <v>25</v>
      </c>
      <c r="H50" s="40" t="s">
        <v>25</v>
      </c>
      <c r="I50" s="40" t="s">
        <v>38</v>
      </c>
      <c r="J50" s="40" t="s">
        <v>531</v>
      </c>
      <c r="K50" s="40" t="s">
        <v>532</v>
      </c>
      <c r="L50" s="40" t="s">
        <v>72</v>
      </c>
      <c r="M50" s="40">
        <v>2021</v>
      </c>
      <c r="N50" s="40">
        <v>0</v>
      </c>
      <c r="O50" s="40">
        <v>141.32</v>
      </c>
      <c r="P50" s="40"/>
    </row>
    <row r="51" spans="1:16" ht="11.25" customHeight="1" x14ac:dyDescent="0.25">
      <c r="A51" s="40">
        <v>50</v>
      </c>
      <c r="B51" s="40" t="s">
        <v>386</v>
      </c>
      <c r="C51" s="40" t="s">
        <v>40</v>
      </c>
      <c r="D51" s="40" t="s">
        <v>85</v>
      </c>
      <c r="E51" s="40" t="s">
        <v>41</v>
      </c>
      <c r="F51" s="40" t="s">
        <v>88</v>
      </c>
      <c r="G51" s="40" t="s">
        <v>25</v>
      </c>
      <c r="H51" s="40" t="s">
        <v>25</v>
      </c>
      <c r="I51" s="40" t="s">
        <v>37</v>
      </c>
      <c r="J51" s="40" t="s">
        <v>531</v>
      </c>
      <c r="K51" s="40" t="s">
        <v>532</v>
      </c>
      <c r="L51" s="40" t="s">
        <v>72</v>
      </c>
      <c r="M51" s="40">
        <v>2021</v>
      </c>
      <c r="N51" s="40">
        <v>0</v>
      </c>
      <c r="O51" s="40">
        <v>832.18</v>
      </c>
      <c r="P51" s="40">
        <v>50.387282669041099</v>
      </c>
    </row>
    <row r="52" spans="1:16" ht="11.25" customHeight="1" x14ac:dyDescent="0.25">
      <c r="A52" s="40">
        <v>51</v>
      </c>
      <c r="B52" s="40" t="s">
        <v>414</v>
      </c>
      <c r="C52" s="40" t="s">
        <v>35</v>
      </c>
      <c r="D52" s="40" t="s">
        <v>71</v>
      </c>
      <c r="E52" s="40" t="s">
        <v>25</v>
      </c>
      <c r="F52" s="40" t="s">
        <v>25</v>
      </c>
      <c r="G52" s="40" t="s">
        <v>25</v>
      </c>
      <c r="H52" s="40" t="s">
        <v>25</v>
      </c>
      <c r="I52" s="40" t="s">
        <v>38</v>
      </c>
      <c r="J52" s="40" t="s">
        <v>531</v>
      </c>
      <c r="K52" s="40" t="s">
        <v>532</v>
      </c>
      <c r="L52" s="40" t="s">
        <v>72</v>
      </c>
      <c r="M52" s="40">
        <v>2021</v>
      </c>
      <c r="N52" s="40">
        <v>0</v>
      </c>
      <c r="O52" s="40">
        <v>141.32</v>
      </c>
      <c r="P52" s="40"/>
    </row>
    <row r="53" spans="1:16" ht="11.25" customHeight="1" x14ac:dyDescent="0.25">
      <c r="A53" s="40">
        <v>52</v>
      </c>
      <c r="B53" s="40" t="s">
        <v>414</v>
      </c>
      <c r="C53" s="40" t="s">
        <v>22</v>
      </c>
      <c r="D53" s="40" t="s">
        <v>84</v>
      </c>
      <c r="E53" s="40" t="s">
        <v>24</v>
      </c>
      <c r="F53" s="40" t="s">
        <v>30</v>
      </c>
      <c r="G53" s="40" t="s">
        <v>25</v>
      </c>
      <c r="H53" s="40" t="s">
        <v>25</v>
      </c>
      <c r="I53" s="40" t="s">
        <v>25</v>
      </c>
      <c r="J53" s="40" t="s">
        <v>531</v>
      </c>
      <c r="K53" s="40" t="s">
        <v>532</v>
      </c>
      <c r="L53" s="40" t="s">
        <v>72</v>
      </c>
      <c r="M53" s="40">
        <v>2021</v>
      </c>
      <c r="N53" s="40">
        <v>0</v>
      </c>
      <c r="O53" s="40">
        <v>84.79</v>
      </c>
      <c r="P53" s="40"/>
    </row>
    <row r="54" spans="1:16" ht="11.25" customHeight="1" x14ac:dyDescent="0.25">
      <c r="A54" s="40">
        <v>53</v>
      </c>
      <c r="B54" s="40" t="s">
        <v>414</v>
      </c>
      <c r="C54" s="40" t="s">
        <v>40</v>
      </c>
      <c r="D54" s="40" t="s">
        <v>71</v>
      </c>
      <c r="E54" s="40" t="s">
        <v>41</v>
      </c>
      <c r="F54" s="40" t="s">
        <v>88</v>
      </c>
      <c r="G54" s="40" t="s">
        <v>25</v>
      </c>
      <c r="H54" s="40" t="s">
        <v>25</v>
      </c>
      <c r="I54" s="40" t="s">
        <v>534</v>
      </c>
      <c r="J54" s="40" t="s">
        <v>531</v>
      </c>
      <c r="K54" s="40" t="s">
        <v>532</v>
      </c>
      <c r="L54" s="40" t="s">
        <v>72</v>
      </c>
      <c r="M54" s="40">
        <v>2021</v>
      </c>
      <c r="N54" s="40">
        <v>0</v>
      </c>
      <c r="O54" s="40">
        <v>124.36</v>
      </c>
      <c r="P54" s="40"/>
    </row>
    <row r="55" spans="1:16" ht="11.25" customHeight="1" x14ac:dyDescent="0.25">
      <c r="A55" s="40">
        <v>54</v>
      </c>
      <c r="B55" s="40" t="s">
        <v>386</v>
      </c>
      <c r="C55" s="40" t="s">
        <v>40</v>
      </c>
      <c r="D55" s="40" t="s">
        <v>87</v>
      </c>
      <c r="E55" s="40" t="s">
        <v>41</v>
      </c>
      <c r="F55" s="40" t="s">
        <v>25</v>
      </c>
      <c r="G55" s="40" t="s">
        <v>25</v>
      </c>
      <c r="H55" s="40" t="s">
        <v>25</v>
      </c>
      <c r="I55" s="40" t="s">
        <v>25</v>
      </c>
      <c r="J55" s="40" t="s">
        <v>531</v>
      </c>
      <c r="K55" s="40" t="s">
        <v>532</v>
      </c>
      <c r="L55" s="40" t="s">
        <v>72</v>
      </c>
      <c r="M55" s="40">
        <v>2021</v>
      </c>
      <c r="N55" s="40">
        <v>0</v>
      </c>
      <c r="O55" s="40">
        <v>331.77</v>
      </c>
      <c r="P55" s="40">
        <v>50.387282669041099</v>
      </c>
    </row>
    <row r="56" spans="1:16" ht="11.25" customHeight="1" x14ac:dyDescent="0.25">
      <c r="A56" s="40">
        <v>55</v>
      </c>
      <c r="B56" s="40" t="s">
        <v>414</v>
      </c>
      <c r="C56" s="40" t="s">
        <v>40</v>
      </c>
      <c r="D56" s="40" t="s">
        <v>84</v>
      </c>
      <c r="E56" s="40" t="s">
        <v>41</v>
      </c>
      <c r="F56" s="40" t="s">
        <v>25</v>
      </c>
      <c r="G56" s="40" t="s">
        <v>25</v>
      </c>
      <c r="H56" s="40" t="s">
        <v>25</v>
      </c>
      <c r="I56" s="40" t="s">
        <v>25</v>
      </c>
      <c r="J56" s="40" t="s">
        <v>531</v>
      </c>
      <c r="K56" s="40" t="s">
        <v>532</v>
      </c>
      <c r="L56" s="40" t="s">
        <v>72</v>
      </c>
      <c r="M56" s="40">
        <v>2021</v>
      </c>
      <c r="N56" s="40">
        <v>0</v>
      </c>
      <c r="O56" s="40">
        <v>124.36</v>
      </c>
      <c r="P56" s="40"/>
    </row>
    <row r="57" spans="1:16" ht="11.25" customHeight="1" x14ac:dyDescent="0.25">
      <c r="A57" s="40">
        <v>56</v>
      </c>
      <c r="B57" s="40" t="s">
        <v>414</v>
      </c>
      <c r="C57" s="40" t="s">
        <v>33</v>
      </c>
      <c r="D57" s="40" t="s">
        <v>71</v>
      </c>
      <c r="E57" s="40" t="s">
        <v>25</v>
      </c>
      <c r="F57" s="40" t="s">
        <v>25</v>
      </c>
      <c r="G57" s="40" t="s">
        <v>25</v>
      </c>
      <c r="H57" s="40" t="s">
        <v>25</v>
      </c>
      <c r="I57" s="40" t="s">
        <v>38</v>
      </c>
      <c r="J57" s="40" t="s">
        <v>531</v>
      </c>
      <c r="K57" s="40" t="s">
        <v>532</v>
      </c>
      <c r="L57" s="40" t="s">
        <v>72</v>
      </c>
      <c r="M57" s="40">
        <v>2021</v>
      </c>
      <c r="N57" s="40">
        <v>0</v>
      </c>
      <c r="O57" s="40">
        <v>141.32</v>
      </c>
      <c r="P57" s="40"/>
    </row>
    <row r="58" spans="1:16" ht="11.25" customHeight="1" x14ac:dyDescent="0.25">
      <c r="A58" s="40">
        <v>57</v>
      </c>
      <c r="B58" s="40" t="s">
        <v>414</v>
      </c>
      <c r="C58" s="40" t="s">
        <v>33</v>
      </c>
      <c r="D58" s="40" t="s">
        <v>86</v>
      </c>
      <c r="E58" s="40" t="s">
        <v>25</v>
      </c>
      <c r="F58" s="40" t="s">
        <v>25</v>
      </c>
      <c r="G58" s="40" t="s">
        <v>25</v>
      </c>
      <c r="H58" s="40" t="s">
        <v>25</v>
      </c>
      <c r="I58" s="40" t="s">
        <v>25</v>
      </c>
      <c r="J58" s="40" t="s">
        <v>531</v>
      </c>
      <c r="K58" s="40" t="s">
        <v>532</v>
      </c>
      <c r="L58" s="40" t="s">
        <v>72</v>
      </c>
      <c r="M58" s="40">
        <v>2021</v>
      </c>
      <c r="N58" s="40">
        <v>0</v>
      </c>
      <c r="O58" s="40">
        <v>141.32</v>
      </c>
      <c r="P58" s="40"/>
    </row>
    <row r="59" spans="1:16" ht="11.25" customHeight="1" x14ac:dyDescent="0.25">
      <c r="A59" s="40">
        <v>58</v>
      </c>
      <c r="B59" s="40" t="s">
        <v>414</v>
      </c>
      <c r="C59" s="40" t="s">
        <v>22</v>
      </c>
      <c r="D59" s="40" t="s">
        <v>86</v>
      </c>
      <c r="E59" s="40" t="s">
        <v>24</v>
      </c>
      <c r="F59" s="40" t="s">
        <v>30</v>
      </c>
      <c r="G59" s="40" t="s">
        <v>25</v>
      </c>
      <c r="H59" s="40" t="s">
        <v>25</v>
      </c>
      <c r="I59" s="40" t="s">
        <v>25</v>
      </c>
      <c r="J59" s="40" t="s">
        <v>531</v>
      </c>
      <c r="K59" s="40" t="s">
        <v>532</v>
      </c>
      <c r="L59" s="40" t="s">
        <v>72</v>
      </c>
      <c r="M59" s="40">
        <v>2021</v>
      </c>
      <c r="N59" s="40">
        <v>0</v>
      </c>
      <c r="O59" s="40">
        <v>84.79</v>
      </c>
      <c r="P59" s="40"/>
    </row>
    <row r="60" spans="1:16" ht="11.25" customHeight="1" x14ac:dyDescent="0.25">
      <c r="A60" s="40">
        <v>59</v>
      </c>
      <c r="B60" s="40" t="s">
        <v>414</v>
      </c>
      <c r="C60" s="40" t="s">
        <v>40</v>
      </c>
      <c r="D60" s="40" t="s">
        <v>84</v>
      </c>
      <c r="E60" s="40" t="s">
        <v>41</v>
      </c>
      <c r="F60" s="40" t="s">
        <v>89</v>
      </c>
      <c r="G60" s="40" t="s">
        <v>25</v>
      </c>
      <c r="H60" s="40" t="s">
        <v>25</v>
      </c>
      <c r="I60" s="40" t="s">
        <v>25</v>
      </c>
      <c r="J60" s="40" t="s">
        <v>531</v>
      </c>
      <c r="K60" s="40" t="s">
        <v>532</v>
      </c>
      <c r="L60" s="40" t="s">
        <v>72</v>
      </c>
      <c r="M60" s="40">
        <v>2021</v>
      </c>
      <c r="N60" s="40">
        <v>0</v>
      </c>
      <c r="O60" s="40">
        <v>118.71</v>
      </c>
      <c r="P60" s="40"/>
    </row>
    <row r="61" spans="1:16" ht="11.25" customHeight="1" x14ac:dyDescent="0.25">
      <c r="A61" s="40">
        <v>60</v>
      </c>
      <c r="B61" s="40" t="s">
        <v>414</v>
      </c>
      <c r="C61" s="40" t="s">
        <v>40</v>
      </c>
      <c r="D61" s="40" t="s">
        <v>71</v>
      </c>
      <c r="E61" s="40" t="s">
        <v>41</v>
      </c>
      <c r="F61" s="40" t="s">
        <v>88</v>
      </c>
      <c r="G61" s="40" t="s">
        <v>25</v>
      </c>
      <c r="H61" s="40" t="s">
        <v>25</v>
      </c>
      <c r="I61" s="40" t="s">
        <v>38</v>
      </c>
      <c r="J61" s="40" t="s">
        <v>531</v>
      </c>
      <c r="K61" s="40" t="s">
        <v>532</v>
      </c>
      <c r="L61" s="40" t="s">
        <v>72</v>
      </c>
      <c r="M61" s="40">
        <v>2021</v>
      </c>
      <c r="N61" s="40">
        <v>0</v>
      </c>
      <c r="O61" s="40">
        <v>124.36</v>
      </c>
      <c r="P61" s="40"/>
    </row>
    <row r="62" spans="1:16" ht="11.25" customHeight="1" x14ac:dyDescent="0.25">
      <c r="A62" s="40">
        <v>61</v>
      </c>
      <c r="B62" s="40" t="s">
        <v>414</v>
      </c>
      <c r="C62" s="40" t="s">
        <v>22</v>
      </c>
      <c r="D62" s="40" t="s">
        <v>84</v>
      </c>
      <c r="E62" s="40" t="s">
        <v>24</v>
      </c>
      <c r="F62" s="40" t="s">
        <v>31</v>
      </c>
      <c r="G62" s="40" t="s">
        <v>25</v>
      </c>
      <c r="H62" s="40" t="s">
        <v>25</v>
      </c>
      <c r="I62" s="40" t="s">
        <v>25</v>
      </c>
      <c r="J62" s="40" t="s">
        <v>531</v>
      </c>
      <c r="K62" s="40" t="s">
        <v>532</v>
      </c>
      <c r="L62" s="40" t="s">
        <v>72</v>
      </c>
      <c r="M62" s="40">
        <v>2021</v>
      </c>
      <c r="N62" s="40">
        <v>0</v>
      </c>
      <c r="O62" s="40">
        <v>127.19</v>
      </c>
      <c r="P62" s="40"/>
    </row>
    <row r="63" spans="1:16" ht="11.25" customHeight="1" x14ac:dyDescent="0.25">
      <c r="A63" s="40">
        <v>62</v>
      </c>
      <c r="B63" s="40" t="s">
        <v>414</v>
      </c>
      <c r="C63" s="40" t="s">
        <v>40</v>
      </c>
      <c r="D63" s="40" t="s">
        <v>84</v>
      </c>
      <c r="E63" s="40" t="s">
        <v>41</v>
      </c>
      <c r="F63" s="40" t="s">
        <v>88</v>
      </c>
      <c r="G63" s="40" t="s">
        <v>25</v>
      </c>
      <c r="H63" s="40" t="s">
        <v>25</v>
      </c>
      <c r="I63" s="40" t="s">
        <v>25</v>
      </c>
      <c r="J63" s="40" t="s">
        <v>531</v>
      </c>
      <c r="K63" s="40" t="s">
        <v>532</v>
      </c>
      <c r="L63" s="40" t="s">
        <v>72</v>
      </c>
      <c r="M63" s="40">
        <v>2021</v>
      </c>
      <c r="N63" s="40">
        <v>0</v>
      </c>
      <c r="O63" s="40">
        <v>124.36</v>
      </c>
      <c r="P63" s="40"/>
    </row>
    <row r="64" spans="1:16" ht="11.25" customHeight="1" x14ac:dyDescent="0.25">
      <c r="A64" s="40">
        <v>63</v>
      </c>
      <c r="B64" s="40" t="s">
        <v>386</v>
      </c>
      <c r="C64" s="40" t="s">
        <v>40</v>
      </c>
      <c r="D64" s="40" t="s">
        <v>23</v>
      </c>
      <c r="E64" s="40" t="s">
        <v>41</v>
      </c>
      <c r="F64" s="40" t="s">
        <v>88</v>
      </c>
      <c r="G64" s="40" t="s">
        <v>25</v>
      </c>
      <c r="H64" s="40" t="s">
        <v>25</v>
      </c>
      <c r="I64" s="40" t="s">
        <v>25</v>
      </c>
      <c r="J64" s="40" t="s">
        <v>531</v>
      </c>
      <c r="K64" s="40" t="s">
        <v>532</v>
      </c>
      <c r="L64" s="40" t="s">
        <v>72</v>
      </c>
      <c r="M64" s="40">
        <v>2021</v>
      </c>
      <c r="N64" s="40">
        <v>0</v>
      </c>
      <c r="O64" s="40">
        <v>331.77</v>
      </c>
      <c r="P64" s="40">
        <v>50.387282669041099</v>
      </c>
    </row>
    <row r="65" spans="1:16" ht="11.25" customHeight="1" x14ac:dyDescent="0.25">
      <c r="A65" s="40">
        <v>64</v>
      </c>
      <c r="B65" s="40" t="s">
        <v>414</v>
      </c>
      <c r="C65" s="40" t="s">
        <v>40</v>
      </c>
      <c r="D65" s="40" t="s">
        <v>71</v>
      </c>
      <c r="E65" s="40" t="s">
        <v>41</v>
      </c>
      <c r="F65" s="40" t="s">
        <v>25</v>
      </c>
      <c r="G65" s="40" t="s">
        <v>25</v>
      </c>
      <c r="H65" s="40" t="s">
        <v>25</v>
      </c>
      <c r="I65" s="40" t="s">
        <v>534</v>
      </c>
      <c r="J65" s="40" t="s">
        <v>531</v>
      </c>
      <c r="K65" s="40" t="s">
        <v>532</v>
      </c>
      <c r="L65" s="40" t="s">
        <v>72</v>
      </c>
      <c r="M65" s="40">
        <v>2021</v>
      </c>
      <c r="N65" s="40">
        <v>0</v>
      </c>
      <c r="O65" s="40">
        <v>124.36</v>
      </c>
      <c r="P65" s="40"/>
    </row>
    <row r="66" spans="1:16" ht="11.25" customHeight="1" x14ac:dyDescent="0.25">
      <c r="A66" s="40">
        <v>65</v>
      </c>
      <c r="B66" s="40" t="s">
        <v>414</v>
      </c>
      <c r="C66" s="40" t="s">
        <v>40</v>
      </c>
      <c r="D66" s="40" t="s">
        <v>86</v>
      </c>
      <c r="E66" s="40" t="s">
        <v>41</v>
      </c>
      <c r="F66" s="40" t="s">
        <v>89</v>
      </c>
      <c r="G66" s="40" t="s">
        <v>25</v>
      </c>
      <c r="H66" s="40" t="s">
        <v>25</v>
      </c>
      <c r="I66" s="40" t="s">
        <v>25</v>
      </c>
      <c r="J66" s="40" t="s">
        <v>531</v>
      </c>
      <c r="K66" s="40" t="s">
        <v>532</v>
      </c>
      <c r="L66" s="40" t="s">
        <v>72</v>
      </c>
      <c r="M66" s="40">
        <v>2021</v>
      </c>
      <c r="N66" s="40">
        <v>0</v>
      </c>
      <c r="O66" s="40">
        <v>118.71</v>
      </c>
      <c r="P66" s="40"/>
    </row>
    <row r="67" spans="1:16" ht="11.25" customHeight="1" x14ac:dyDescent="0.25">
      <c r="A67" s="40">
        <v>66</v>
      </c>
      <c r="B67" s="40" t="s">
        <v>414</v>
      </c>
      <c r="C67" s="40" t="s">
        <v>33</v>
      </c>
      <c r="D67" s="40" t="s">
        <v>71</v>
      </c>
      <c r="E67" s="40" t="s">
        <v>25</v>
      </c>
      <c r="F67" s="40" t="s">
        <v>25</v>
      </c>
      <c r="G67" s="40" t="s">
        <v>25</v>
      </c>
      <c r="H67" s="40" t="s">
        <v>25</v>
      </c>
      <c r="I67" s="40" t="s">
        <v>37</v>
      </c>
      <c r="J67" s="40" t="s">
        <v>531</v>
      </c>
      <c r="K67" s="40" t="s">
        <v>532</v>
      </c>
      <c r="L67" s="40" t="s">
        <v>72</v>
      </c>
      <c r="M67" s="40">
        <v>2021</v>
      </c>
      <c r="N67" s="40">
        <v>0</v>
      </c>
      <c r="O67" s="40">
        <v>141.32</v>
      </c>
      <c r="P67" s="40"/>
    </row>
    <row r="68" spans="1:16" ht="11.25" customHeight="1" x14ac:dyDescent="0.25">
      <c r="A68" s="40">
        <v>67</v>
      </c>
      <c r="B68" s="40" t="s">
        <v>414</v>
      </c>
      <c r="C68" s="40" t="s">
        <v>22</v>
      </c>
      <c r="D68" s="40" t="s">
        <v>86</v>
      </c>
      <c r="E68" s="40" t="s">
        <v>24</v>
      </c>
      <c r="F68" s="40" t="s">
        <v>31</v>
      </c>
      <c r="G68" s="40" t="s">
        <v>25</v>
      </c>
      <c r="H68" s="40" t="s">
        <v>25</v>
      </c>
      <c r="I68" s="40" t="s">
        <v>25</v>
      </c>
      <c r="J68" s="40" t="s">
        <v>531</v>
      </c>
      <c r="K68" s="40" t="s">
        <v>532</v>
      </c>
      <c r="L68" s="40" t="s">
        <v>72</v>
      </c>
      <c r="M68" s="40">
        <v>2021</v>
      </c>
      <c r="N68" s="40">
        <v>0</v>
      </c>
      <c r="O68" s="40">
        <v>127.19</v>
      </c>
      <c r="P68" s="40"/>
    </row>
    <row r="69" spans="1:16" ht="11.25" customHeight="1" x14ac:dyDescent="0.25">
      <c r="A69" s="40">
        <v>68</v>
      </c>
      <c r="B69" s="40" t="s">
        <v>414</v>
      </c>
      <c r="C69" s="40" t="s">
        <v>40</v>
      </c>
      <c r="D69" s="40" t="s">
        <v>86</v>
      </c>
      <c r="E69" s="40" t="s">
        <v>41</v>
      </c>
      <c r="F69" s="40" t="s">
        <v>25</v>
      </c>
      <c r="G69" s="40" t="s">
        <v>25</v>
      </c>
      <c r="H69" s="40" t="s">
        <v>25</v>
      </c>
      <c r="I69" s="40" t="s">
        <v>25</v>
      </c>
      <c r="J69" s="40" t="s">
        <v>531</v>
      </c>
      <c r="K69" s="40" t="s">
        <v>532</v>
      </c>
      <c r="L69" s="40" t="s">
        <v>72</v>
      </c>
      <c r="M69" s="40">
        <v>2021</v>
      </c>
      <c r="N69" s="40">
        <v>0</v>
      </c>
      <c r="O69" s="40">
        <v>124.36</v>
      </c>
      <c r="P69" s="40"/>
    </row>
    <row r="70" spans="1:16" ht="11.25" customHeight="1" x14ac:dyDescent="0.25">
      <c r="A70" s="40">
        <v>69</v>
      </c>
      <c r="B70" s="40" t="s">
        <v>414</v>
      </c>
      <c r="C70" s="40" t="s">
        <v>22</v>
      </c>
      <c r="D70" s="40" t="s">
        <v>86</v>
      </c>
      <c r="E70" s="40" t="s">
        <v>24</v>
      </c>
      <c r="F70" s="40" t="s">
        <v>32</v>
      </c>
      <c r="G70" s="40" t="s">
        <v>25</v>
      </c>
      <c r="H70" s="40" t="s">
        <v>25</v>
      </c>
      <c r="I70" s="40" t="s">
        <v>25</v>
      </c>
      <c r="J70" s="40" t="s">
        <v>531</v>
      </c>
      <c r="K70" s="40" t="s">
        <v>532</v>
      </c>
      <c r="L70" s="40" t="s">
        <v>72</v>
      </c>
      <c r="M70" s="40">
        <v>2021</v>
      </c>
      <c r="N70" s="40">
        <v>0</v>
      </c>
      <c r="O70" s="40">
        <v>141.32</v>
      </c>
      <c r="P70" s="40"/>
    </row>
    <row r="71" spans="1:16" ht="11.25" customHeight="1" x14ac:dyDescent="0.25">
      <c r="A71" s="40">
        <v>70</v>
      </c>
      <c r="B71" s="40" t="s">
        <v>414</v>
      </c>
      <c r="C71" s="40" t="s">
        <v>40</v>
      </c>
      <c r="D71" s="40" t="s">
        <v>86</v>
      </c>
      <c r="E71" s="40" t="s">
        <v>41</v>
      </c>
      <c r="F71" s="40" t="s">
        <v>88</v>
      </c>
      <c r="G71" s="40" t="s">
        <v>25</v>
      </c>
      <c r="H71" s="40" t="s">
        <v>25</v>
      </c>
      <c r="I71" s="40" t="s">
        <v>25</v>
      </c>
      <c r="J71" s="40" t="s">
        <v>531</v>
      </c>
      <c r="K71" s="40" t="s">
        <v>532</v>
      </c>
      <c r="L71" s="40" t="s">
        <v>72</v>
      </c>
      <c r="M71" s="40">
        <v>2021</v>
      </c>
      <c r="N71" s="40">
        <v>0</v>
      </c>
      <c r="O71" s="40">
        <v>124.36</v>
      </c>
      <c r="P71" s="40"/>
    </row>
    <row r="72" spans="1:16" ht="11.25" customHeight="1" x14ac:dyDescent="0.25">
      <c r="A72" s="40">
        <v>71</v>
      </c>
      <c r="B72" s="40" t="s">
        <v>414</v>
      </c>
      <c r="C72" s="40" t="s">
        <v>40</v>
      </c>
      <c r="D72" s="40" t="s">
        <v>71</v>
      </c>
      <c r="E72" s="40" t="s">
        <v>41</v>
      </c>
      <c r="F72" s="40" t="s">
        <v>88</v>
      </c>
      <c r="G72" s="40" t="s">
        <v>25</v>
      </c>
      <c r="H72" s="40" t="s">
        <v>25</v>
      </c>
      <c r="I72" s="40" t="s">
        <v>37</v>
      </c>
      <c r="J72" s="40" t="s">
        <v>531</v>
      </c>
      <c r="K72" s="40" t="s">
        <v>532</v>
      </c>
      <c r="L72" s="40" t="s">
        <v>72</v>
      </c>
      <c r="M72" s="40">
        <v>2021</v>
      </c>
      <c r="N72" s="40">
        <v>0</v>
      </c>
      <c r="O72" s="40">
        <v>124.36</v>
      </c>
      <c r="P72" s="40"/>
    </row>
    <row r="73" spans="1:16" ht="11.25" customHeight="1" x14ac:dyDescent="0.25">
      <c r="A73" s="40">
        <v>72</v>
      </c>
      <c r="B73" s="40" t="s">
        <v>386</v>
      </c>
      <c r="C73" s="40" t="s">
        <v>33</v>
      </c>
      <c r="D73" s="40" t="s">
        <v>23</v>
      </c>
      <c r="E73" s="40" t="s">
        <v>25</v>
      </c>
      <c r="F73" s="40" t="s">
        <v>25</v>
      </c>
      <c r="G73" s="40" t="s">
        <v>25</v>
      </c>
      <c r="H73" s="40" t="s">
        <v>25</v>
      </c>
      <c r="I73" s="40" t="s">
        <v>25</v>
      </c>
      <c r="J73" s="40" t="s">
        <v>531</v>
      </c>
      <c r="K73" s="40" t="s">
        <v>532</v>
      </c>
      <c r="L73" s="40" t="s">
        <v>72</v>
      </c>
      <c r="M73" s="40">
        <v>2021</v>
      </c>
      <c r="N73" s="40">
        <v>0</v>
      </c>
      <c r="O73" s="40">
        <v>377.01</v>
      </c>
      <c r="P73" s="40">
        <v>57.258275760274003</v>
      </c>
    </row>
    <row r="74" spans="1:16" ht="11.25" customHeight="1" x14ac:dyDescent="0.25">
      <c r="A74" s="40">
        <v>73</v>
      </c>
      <c r="B74" s="40" t="s">
        <v>414</v>
      </c>
      <c r="C74" s="40" t="s">
        <v>22</v>
      </c>
      <c r="D74" s="40" t="s">
        <v>86</v>
      </c>
      <c r="E74" s="40" t="s">
        <v>24</v>
      </c>
      <c r="F74" s="40" t="s">
        <v>29</v>
      </c>
      <c r="G74" s="40" t="s">
        <v>25</v>
      </c>
      <c r="H74" s="40" t="s">
        <v>25</v>
      </c>
      <c r="I74" s="40" t="s">
        <v>25</v>
      </c>
      <c r="J74" s="40" t="s">
        <v>531</v>
      </c>
      <c r="K74" s="40" t="s">
        <v>532</v>
      </c>
      <c r="L74" s="40" t="s">
        <v>72</v>
      </c>
      <c r="M74" s="40">
        <v>2021</v>
      </c>
      <c r="N74" s="40">
        <v>0</v>
      </c>
      <c r="O74" s="40">
        <v>49.46</v>
      </c>
      <c r="P74" s="40"/>
    </row>
    <row r="75" spans="1:16" ht="11.25" customHeight="1" x14ac:dyDescent="0.25">
      <c r="A75" s="40">
        <v>74</v>
      </c>
      <c r="B75" s="40" t="s">
        <v>414</v>
      </c>
      <c r="C75" s="40" t="s">
        <v>40</v>
      </c>
      <c r="D75" s="40" t="s">
        <v>71</v>
      </c>
      <c r="E75" s="40" t="s">
        <v>41</v>
      </c>
      <c r="F75" s="40" t="s">
        <v>89</v>
      </c>
      <c r="G75" s="40" t="s">
        <v>25</v>
      </c>
      <c r="H75" s="40" t="s">
        <v>25</v>
      </c>
      <c r="I75" s="40" t="s">
        <v>534</v>
      </c>
      <c r="J75" s="40" t="s">
        <v>531</v>
      </c>
      <c r="K75" s="40" t="s">
        <v>532</v>
      </c>
      <c r="L75" s="40" t="s">
        <v>72</v>
      </c>
      <c r="M75" s="40">
        <v>2021</v>
      </c>
      <c r="N75" s="40">
        <v>0</v>
      </c>
      <c r="O75" s="40">
        <v>118.71</v>
      </c>
      <c r="P75" s="40"/>
    </row>
    <row r="76" spans="1:16" ht="11.25" customHeight="1" x14ac:dyDescent="0.25">
      <c r="A76" s="40">
        <v>75</v>
      </c>
      <c r="B76" s="40" t="s">
        <v>414</v>
      </c>
      <c r="C76" s="40" t="s">
        <v>40</v>
      </c>
      <c r="D76" s="40" t="s">
        <v>71</v>
      </c>
      <c r="E76" s="40" t="s">
        <v>41</v>
      </c>
      <c r="F76" s="40" t="s">
        <v>25</v>
      </c>
      <c r="G76" s="40" t="s">
        <v>25</v>
      </c>
      <c r="H76" s="40" t="s">
        <v>25</v>
      </c>
      <c r="I76" s="40" t="s">
        <v>37</v>
      </c>
      <c r="J76" s="40" t="s">
        <v>531</v>
      </c>
      <c r="K76" s="40" t="s">
        <v>532</v>
      </c>
      <c r="L76" s="40" t="s">
        <v>72</v>
      </c>
      <c r="M76" s="40">
        <v>2021</v>
      </c>
      <c r="N76" s="40">
        <v>0</v>
      </c>
      <c r="O76" s="40">
        <v>124.36</v>
      </c>
      <c r="P76" s="40"/>
    </row>
    <row r="77" spans="1:16" ht="11.25" customHeight="1" x14ac:dyDescent="0.25">
      <c r="A77" s="40">
        <v>76</v>
      </c>
      <c r="B77" s="40" t="s">
        <v>414</v>
      </c>
      <c r="C77" s="40" t="s">
        <v>40</v>
      </c>
      <c r="D77" s="40" t="s">
        <v>71</v>
      </c>
      <c r="E77" s="40" t="s">
        <v>41</v>
      </c>
      <c r="F77" s="40" t="s">
        <v>25</v>
      </c>
      <c r="G77" s="40" t="s">
        <v>25</v>
      </c>
      <c r="H77" s="40" t="s">
        <v>25</v>
      </c>
      <c r="I77" s="40" t="s">
        <v>38</v>
      </c>
      <c r="J77" s="40" t="s">
        <v>531</v>
      </c>
      <c r="K77" s="40" t="s">
        <v>532</v>
      </c>
      <c r="L77" s="40" t="s">
        <v>72</v>
      </c>
      <c r="M77" s="40">
        <v>2021</v>
      </c>
      <c r="N77" s="40">
        <v>0</v>
      </c>
      <c r="O77" s="40">
        <v>124.36</v>
      </c>
      <c r="P77" s="40"/>
    </row>
    <row r="78" spans="1:16" ht="11.25" customHeight="1" x14ac:dyDescent="0.25">
      <c r="A78" s="40">
        <v>77</v>
      </c>
      <c r="B78" s="40" t="s">
        <v>414</v>
      </c>
      <c r="C78" s="40" t="s">
        <v>43</v>
      </c>
      <c r="D78" s="40" t="s">
        <v>84</v>
      </c>
      <c r="E78" s="40" t="s">
        <v>44</v>
      </c>
      <c r="F78" s="40" t="s">
        <v>45</v>
      </c>
      <c r="G78" s="40" t="s">
        <v>25</v>
      </c>
      <c r="H78" s="40" t="s">
        <v>25</v>
      </c>
      <c r="I78" s="40" t="s">
        <v>25</v>
      </c>
      <c r="J78" s="40" t="s">
        <v>531</v>
      </c>
      <c r="K78" s="40" t="s">
        <v>532</v>
      </c>
      <c r="L78" s="40" t="s">
        <v>72</v>
      </c>
      <c r="M78" s="40">
        <v>2021</v>
      </c>
      <c r="N78" s="40">
        <v>0</v>
      </c>
      <c r="O78" s="40">
        <v>77.73</v>
      </c>
      <c r="P78" s="40"/>
    </row>
    <row r="79" spans="1:16" ht="11.25" customHeight="1" x14ac:dyDescent="0.25">
      <c r="A79" s="40">
        <v>78</v>
      </c>
      <c r="B79" s="40" t="s">
        <v>414</v>
      </c>
      <c r="C79" s="40" t="s">
        <v>33</v>
      </c>
      <c r="D79" s="40" t="s">
        <v>71</v>
      </c>
      <c r="E79" s="40" t="s">
        <v>25</v>
      </c>
      <c r="F79" s="40" t="s">
        <v>25</v>
      </c>
      <c r="G79" s="40" t="s">
        <v>25</v>
      </c>
      <c r="H79" s="40" t="s">
        <v>25</v>
      </c>
      <c r="I79" s="40" t="s">
        <v>534</v>
      </c>
      <c r="J79" s="40" t="s">
        <v>531</v>
      </c>
      <c r="K79" s="40" t="s">
        <v>532</v>
      </c>
      <c r="L79" s="40" t="s">
        <v>72</v>
      </c>
      <c r="M79" s="40">
        <v>2021</v>
      </c>
      <c r="N79" s="40">
        <v>0</v>
      </c>
      <c r="O79" s="40">
        <v>141.32</v>
      </c>
      <c r="P79" s="40"/>
    </row>
    <row r="80" spans="1:16" ht="11.25" customHeight="1" x14ac:dyDescent="0.25">
      <c r="A80" s="40">
        <v>79</v>
      </c>
      <c r="B80" s="40" t="s">
        <v>414</v>
      </c>
      <c r="C80" s="40" t="s">
        <v>22</v>
      </c>
      <c r="D80" s="40" t="s">
        <v>84</v>
      </c>
      <c r="E80" s="40" t="s">
        <v>24</v>
      </c>
      <c r="F80" s="40" t="s">
        <v>32</v>
      </c>
      <c r="G80" s="40" t="s">
        <v>25</v>
      </c>
      <c r="H80" s="40" t="s">
        <v>25</v>
      </c>
      <c r="I80" s="40" t="s">
        <v>25</v>
      </c>
      <c r="J80" s="40" t="s">
        <v>531</v>
      </c>
      <c r="K80" s="40" t="s">
        <v>532</v>
      </c>
      <c r="L80" s="40" t="s">
        <v>72</v>
      </c>
      <c r="M80" s="40">
        <v>2021</v>
      </c>
      <c r="N80" s="40">
        <v>0</v>
      </c>
      <c r="O80" s="40">
        <v>141.32</v>
      </c>
      <c r="P80" s="40"/>
    </row>
    <row r="81" spans="1:16" ht="11.25" customHeight="1" x14ac:dyDescent="0.25">
      <c r="A81" s="40">
        <v>80</v>
      </c>
      <c r="B81" s="40" t="s">
        <v>414</v>
      </c>
      <c r="C81" s="40" t="s">
        <v>40</v>
      </c>
      <c r="D81" s="40" t="s">
        <v>71</v>
      </c>
      <c r="E81" s="40" t="s">
        <v>41</v>
      </c>
      <c r="F81" s="40" t="s">
        <v>89</v>
      </c>
      <c r="G81" s="40" t="s">
        <v>25</v>
      </c>
      <c r="H81" s="40" t="s">
        <v>25</v>
      </c>
      <c r="I81" s="40" t="s">
        <v>38</v>
      </c>
      <c r="J81" s="40" t="s">
        <v>531</v>
      </c>
      <c r="K81" s="40" t="s">
        <v>532</v>
      </c>
      <c r="L81" s="40" t="s">
        <v>72</v>
      </c>
      <c r="M81" s="40">
        <v>2021</v>
      </c>
      <c r="N81" s="40">
        <v>0</v>
      </c>
      <c r="O81" s="40">
        <v>118.71</v>
      </c>
      <c r="P81" s="40"/>
    </row>
    <row r="82" spans="1:16" ht="11.25" customHeight="1" x14ac:dyDescent="0.25">
      <c r="A82" s="40">
        <v>81</v>
      </c>
      <c r="B82" s="40" t="s">
        <v>414</v>
      </c>
      <c r="C82" s="40" t="s">
        <v>22</v>
      </c>
      <c r="D82" s="40" t="s">
        <v>86</v>
      </c>
      <c r="E82" s="40" t="s">
        <v>24</v>
      </c>
      <c r="F82" s="40" t="s">
        <v>24</v>
      </c>
      <c r="G82" s="40" t="s">
        <v>25</v>
      </c>
      <c r="H82" s="40" t="s">
        <v>25</v>
      </c>
      <c r="I82" s="40" t="s">
        <v>25</v>
      </c>
      <c r="J82" s="40" t="s">
        <v>531</v>
      </c>
      <c r="K82" s="40" t="s">
        <v>532</v>
      </c>
      <c r="L82" s="40" t="s">
        <v>72</v>
      </c>
      <c r="M82" s="40">
        <v>2021</v>
      </c>
      <c r="N82" s="40">
        <v>0</v>
      </c>
      <c r="O82" s="40">
        <v>141.32</v>
      </c>
      <c r="P82" s="40"/>
    </row>
    <row r="83" spans="1:16" ht="11.25" customHeight="1" x14ac:dyDescent="0.25">
      <c r="A83" s="40">
        <v>82</v>
      </c>
      <c r="B83" s="40" t="s">
        <v>414</v>
      </c>
      <c r="C83" s="40" t="s">
        <v>40</v>
      </c>
      <c r="D83" s="40" t="s">
        <v>71</v>
      </c>
      <c r="E83" s="40" t="s">
        <v>41</v>
      </c>
      <c r="F83" s="40" t="s">
        <v>89</v>
      </c>
      <c r="G83" s="40" t="s">
        <v>25</v>
      </c>
      <c r="H83" s="40" t="s">
        <v>25</v>
      </c>
      <c r="I83" s="40" t="s">
        <v>37</v>
      </c>
      <c r="J83" s="40" t="s">
        <v>531</v>
      </c>
      <c r="K83" s="40" t="s">
        <v>532</v>
      </c>
      <c r="L83" s="40" t="s">
        <v>72</v>
      </c>
      <c r="M83" s="40">
        <v>2021</v>
      </c>
      <c r="N83" s="40">
        <v>0</v>
      </c>
      <c r="O83" s="40">
        <v>118.71</v>
      </c>
      <c r="P83" s="40"/>
    </row>
    <row r="84" spans="1:16" ht="11.25" customHeight="1" x14ac:dyDescent="0.25">
      <c r="A84" s="40">
        <v>83</v>
      </c>
      <c r="B84" s="40" t="s">
        <v>414</v>
      </c>
      <c r="C84" s="40" t="s">
        <v>33</v>
      </c>
      <c r="D84" s="40" t="s">
        <v>84</v>
      </c>
      <c r="E84" s="40" t="s">
        <v>25</v>
      </c>
      <c r="F84" s="40" t="s">
        <v>25</v>
      </c>
      <c r="G84" s="40" t="s">
        <v>25</v>
      </c>
      <c r="H84" s="40" t="s">
        <v>25</v>
      </c>
      <c r="I84" s="40" t="s">
        <v>25</v>
      </c>
      <c r="J84" s="40" t="s">
        <v>531</v>
      </c>
      <c r="K84" s="40" t="s">
        <v>532</v>
      </c>
      <c r="L84" s="40" t="s">
        <v>72</v>
      </c>
      <c r="M84" s="40">
        <v>2021</v>
      </c>
      <c r="N84" s="40">
        <v>0</v>
      </c>
      <c r="O84" s="40">
        <v>141.32</v>
      </c>
      <c r="P84" s="40"/>
    </row>
    <row r="85" spans="1:16" ht="11.25" customHeight="1" x14ac:dyDescent="0.25">
      <c r="A85" s="40">
        <v>84</v>
      </c>
      <c r="B85" s="40" t="s">
        <v>414</v>
      </c>
      <c r="C85" s="40" t="s">
        <v>43</v>
      </c>
      <c r="D85" s="40" t="s">
        <v>84</v>
      </c>
      <c r="E85" s="40" t="s">
        <v>44</v>
      </c>
      <c r="F85" s="40" t="s">
        <v>90</v>
      </c>
      <c r="G85" s="40" t="s">
        <v>25</v>
      </c>
      <c r="H85" s="40" t="s">
        <v>25</v>
      </c>
      <c r="I85" s="40" t="s">
        <v>25</v>
      </c>
      <c r="J85" s="40" t="s">
        <v>531</v>
      </c>
      <c r="K85" s="40" t="s">
        <v>532</v>
      </c>
      <c r="L85" s="40" t="s">
        <v>72</v>
      </c>
      <c r="M85" s="40">
        <v>2021</v>
      </c>
      <c r="N85" s="40">
        <v>0</v>
      </c>
      <c r="O85" s="40">
        <v>84.79</v>
      </c>
      <c r="P85" s="40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251E-FC5B-4F04-AE11-7BE665367B80}">
  <sheetPr codeName="Planilha4"/>
  <dimension ref="A1:AD49"/>
  <sheetViews>
    <sheetView showGridLines="0" workbookViewId="0">
      <selection sqref="A1:W49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20" width="7.85546875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62</v>
      </c>
      <c r="B1" s="10" t="s">
        <v>63</v>
      </c>
      <c r="C1" s="10" t="s">
        <v>64</v>
      </c>
      <c r="D1" s="10" t="s">
        <v>65</v>
      </c>
      <c r="E1" s="10" t="s">
        <v>66</v>
      </c>
      <c r="F1" s="10" t="s">
        <v>67</v>
      </c>
      <c r="G1" s="10" t="s">
        <v>68</v>
      </c>
      <c r="H1" s="10" t="s">
        <v>69</v>
      </c>
      <c r="I1" s="11">
        <v>44440</v>
      </c>
      <c r="J1" s="11">
        <v>44470</v>
      </c>
      <c r="K1" s="11">
        <v>44501</v>
      </c>
      <c r="L1" s="11">
        <v>44531</v>
      </c>
      <c r="M1" s="11">
        <v>44562</v>
      </c>
      <c r="N1" s="11">
        <v>44593</v>
      </c>
      <c r="O1" s="11">
        <v>44621</v>
      </c>
      <c r="P1" s="11">
        <v>44652</v>
      </c>
      <c r="Q1" s="11">
        <v>44682</v>
      </c>
      <c r="R1" s="11">
        <v>44713</v>
      </c>
      <c r="S1" s="11">
        <v>44743</v>
      </c>
      <c r="T1" s="11">
        <v>44774</v>
      </c>
      <c r="U1" s="10" t="s">
        <v>70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79" t="s">
        <v>35</v>
      </c>
      <c r="B2" s="79" t="s">
        <v>48</v>
      </c>
      <c r="C2" s="79" t="s">
        <v>25</v>
      </c>
      <c r="D2" s="79" t="s">
        <v>25</v>
      </c>
      <c r="E2" s="79" t="s">
        <v>25</v>
      </c>
      <c r="F2" s="79" t="s">
        <v>25</v>
      </c>
      <c r="G2" s="13" t="s">
        <v>76</v>
      </c>
      <c r="H2" s="13" t="s">
        <v>75</v>
      </c>
      <c r="I2" s="13">
        <f>SUMIF(Mercado_Receita!$S$2:$S$553,"44440A4AzulNão se aplicaNão se aplicaNão se aplicaNão se aplicaPonta",Mercado_Receita!$J$2:$J$553)+SUMIF(Mercado_Receita!$S$2:$S$553,"44440A4AzulNão se aplicaNão se aplicaAPENão se aplicaPonta",Mercado_Receita!$J$2:$J$553)</f>
        <v>492</v>
      </c>
      <c r="J2" s="13">
        <f>SUMIF(Mercado_Receita!$S$2:$S$553,"44470A4AzulNão se aplicaNão se aplicaNão se aplicaNão se aplicaPonta",Mercado_Receita!$J$2:$J$553)+SUMIF(Mercado_Receita!$S$2:$S$553,"44470A4AzulNão se aplicaNão se aplicaAPENão se aplicaPonta",Mercado_Receita!$J$2:$J$553)</f>
        <v>503</v>
      </c>
      <c r="K2" s="13">
        <f>SUMIF(Mercado_Receita!$S$2:$S$553,"44501A4AzulNão se aplicaNão se aplicaNão se aplicaNão se aplicaPonta",Mercado_Receita!$J$2:$J$553)+SUMIF(Mercado_Receita!$S$2:$S$553,"44501A4AzulNão se aplicaNão se aplicaAPENão se aplicaPonta",Mercado_Receita!$J$2:$J$553)</f>
        <v>485</v>
      </c>
      <c r="L2" s="13">
        <f>SUMIF(Mercado_Receita!$S$2:$S$553,"44531A4AzulNão se aplicaNão se aplicaNão se aplicaNão se aplicaPonta",Mercado_Receita!$J$2:$J$553)+SUMIF(Mercado_Receita!$S$2:$S$553,"44531A4AzulNão se aplicaNão se aplicaAPENão se aplicaPonta",Mercado_Receita!$J$2:$J$553)</f>
        <v>473</v>
      </c>
      <c r="M2" s="13">
        <f>SUMIF(Mercado_Receita!$S$2:$S$553,"44562A4AzulNão se aplicaNão se aplicaNão se aplicaNão se aplicaPonta",Mercado_Receita!$J$2:$J$553)+SUMIF(Mercado_Receita!$S$2:$S$553,"44562A4AzulNão se aplicaNão se aplicaAPENão se aplicaPonta",Mercado_Receita!$J$2:$J$553)</f>
        <v>473</v>
      </c>
      <c r="N2" s="13">
        <f>SUMIF(Mercado_Receita!$S$2:$S$553,"44593A4AzulNão se aplicaNão se aplicaNão se aplicaNão se aplicaPonta",Mercado_Receita!$J$2:$J$553)+SUMIF(Mercado_Receita!$S$2:$S$553,"44593A4AzulNão se aplicaNão se aplicaAPENão se aplicaPonta",Mercado_Receita!$J$2:$J$553)</f>
        <v>473</v>
      </c>
      <c r="O2" s="13">
        <f>SUMIF(Mercado_Receita!$S$2:$S$553,"44621A4AzulNão se aplicaNão se aplicaNão se aplicaNão se aplicaPonta",Mercado_Receita!$J$2:$J$553)+SUMIF(Mercado_Receita!$S$2:$S$553,"44621A4AzulNão se aplicaNão se aplicaAPENão se aplicaPonta",Mercado_Receita!$J$2:$J$553)</f>
        <v>473</v>
      </c>
      <c r="P2" s="13">
        <f>SUMIF(Mercado_Receita!$S$2:$S$553,"44652A4AzulNão se aplicaNão se aplicaNão se aplicaNão se aplicaPonta",Mercado_Receita!$J$2:$J$553)+SUMIF(Mercado_Receita!$S$2:$S$553,"44652A4AzulNão se aplicaNão se aplicaAPENão se aplicaPonta",Mercado_Receita!$J$2:$J$553)</f>
        <v>481</v>
      </c>
      <c r="Q2" s="13">
        <f>SUMIF(Mercado_Receita!$S$2:$S$553,"44682A4AzulNão se aplicaNão se aplicaNão se aplicaNão se aplicaPonta",Mercado_Receita!$J$2:$J$553)+SUMIF(Mercado_Receita!$S$2:$S$553,"44682A4AzulNão se aplicaNão se aplicaAPENão se aplicaPonta",Mercado_Receita!$J$2:$J$553)</f>
        <v>485</v>
      </c>
      <c r="R2" s="13">
        <f>SUMIF(Mercado_Receita!$S$2:$S$553,"44713A4AzulNão se aplicaNão se aplicaNão se aplicaNão se aplicaPonta",Mercado_Receita!$J$2:$J$553)+SUMIF(Mercado_Receita!$S$2:$S$553,"44713A4AzulNão se aplicaNão se aplicaAPENão se aplicaPonta",Mercado_Receita!$J$2:$J$553)</f>
        <v>483</v>
      </c>
      <c r="S2" s="13">
        <f>SUMIF(Mercado_Receita!$S$2:$S$553,"44743A4AzulNão se aplicaNão se aplicaNão se aplicaNão se aplicaPonta",Mercado_Receita!$J$2:$J$553)+SUMIF(Mercado_Receita!$S$2:$S$553,"44743A4AzulNão se aplicaNão se aplicaAPENão se aplicaPonta",Mercado_Receita!$J$2:$J$553)</f>
        <v>480</v>
      </c>
      <c r="T2" s="13">
        <f>SUMIF(Mercado_Receita!$S$2:$S$553,"44774A4AzulNão se aplicaNão se aplicaNão se aplicaNão se aplicaPonta",Mercado_Receita!$J$2:$J$553)+SUMIF(Mercado_Receita!$S$2:$S$553,"44774A4AzulNão se aplicaNão se aplicaAPENão se aplicaPonta",Mercado_Receita!$J$2:$J$553)</f>
        <v>510</v>
      </c>
      <c r="U2" s="13">
        <f t="shared" ref="U2:U48" si="0">SUM(I2:T2)</f>
        <v>5811</v>
      </c>
      <c r="V2" s="13"/>
      <c r="W2" s="13"/>
    </row>
    <row r="3" spans="1:30" ht="11.25" customHeight="1" x14ac:dyDescent="0.25">
      <c r="A3" s="80"/>
      <c r="B3" s="80"/>
      <c r="C3" s="80"/>
      <c r="D3" s="80"/>
      <c r="E3" s="80"/>
      <c r="F3" s="80"/>
      <c r="G3" s="13" t="s">
        <v>77</v>
      </c>
      <c r="H3" s="13" t="s">
        <v>75</v>
      </c>
      <c r="I3" s="13">
        <f>SUMIF(Mercado_Receita!$S$2:$S$553,"44440A4AzulNão se aplicaNão se aplicaNão se aplicaNão se aplicaFora ponta",Mercado_Receita!$J$2:$J$553)+SUMIF(Mercado_Receita!$S$2:$S$553,"44440A4AzulNão se aplicaNão se aplicaAPENão se aplicaFora ponta",Mercado_Receita!$J$2:$J$553)</f>
        <v>497</v>
      </c>
      <c r="J3" s="13">
        <f>SUMIF(Mercado_Receita!$S$2:$S$553,"44470A4AzulNão se aplicaNão se aplicaNão se aplicaNão se aplicaFora ponta",Mercado_Receita!$J$2:$J$553)+SUMIF(Mercado_Receita!$S$2:$S$553,"44470A4AzulNão se aplicaNão se aplicaAPENão se aplicaFora ponta",Mercado_Receita!$J$2:$J$553)</f>
        <v>503</v>
      </c>
      <c r="K3" s="13">
        <f>SUMIF(Mercado_Receita!$S$2:$S$553,"44501A4AzulNão se aplicaNão se aplicaNão se aplicaNão se aplicaFora ponta",Mercado_Receita!$J$2:$J$553)+SUMIF(Mercado_Receita!$S$2:$S$553,"44501A4AzulNão se aplicaNão se aplicaAPENão se aplicaFora ponta",Mercado_Receita!$J$2:$J$553)</f>
        <v>485</v>
      </c>
      <c r="L3" s="13">
        <f>SUMIF(Mercado_Receita!$S$2:$S$553,"44531A4AzulNão se aplicaNão se aplicaNão se aplicaNão se aplicaFora ponta",Mercado_Receita!$J$2:$J$553)+SUMIF(Mercado_Receita!$S$2:$S$553,"44531A4AzulNão se aplicaNão se aplicaAPENão se aplicaFora ponta",Mercado_Receita!$J$2:$J$553)</f>
        <v>473</v>
      </c>
      <c r="M3" s="13">
        <f>SUMIF(Mercado_Receita!$S$2:$S$553,"44562A4AzulNão se aplicaNão se aplicaNão se aplicaNão se aplicaFora ponta",Mercado_Receita!$J$2:$J$553)+SUMIF(Mercado_Receita!$S$2:$S$553,"44562A4AzulNão se aplicaNão se aplicaAPENão se aplicaFora ponta",Mercado_Receita!$J$2:$J$553)</f>
        <v>476</v>
      </c>
      <c r="N3" s="13">
        <f>SUMIF(Mercado_Receita!$S$2:$S$553,"44593A4AzulNão se aplicaNão se aplicaNão se aplicaNão se aplicaFora ponta",Mercado_Receita!$J$2:$J$553)+SUMIF(Mercado_Receita!$S$2:$S$553,"44593A4AzulNão se aplicaNão se aplicaAPENão se aplicaFora ponta",Mercado_Receita!$J$2:$J$553)</f>
        <v>473</v>
      </c>
      <c r="O3" s="13">
        <f>SUMIF(Mercado_Receita!$S$2:$S$553,"44621A4AzulNão se aplicaNão se aplicaNão se aplicaNão se aplicaFora ponta",Mercado_Receita!$J$2:$J$553)+SUMIF(Mercado_Receita!$S$2:$S$553,"44621A4AzulNão se aplicaNão se aplicaAPENão se aplicaFora ponta",Mercado_Receita!$J$2:$J$553)</f>
        <v>476</v>
      </c>
      <c r="P3" s="13">
        <f>SUMIF(Mercado_Receita!$S$2:$S$553,"44652A4AzulNão se aplicaNão se aplicaNão se aplicaNão se aplicaFora ponta",Mercado_Receita!$J$2:$J$553)+SUMIF(Mercado_Receita!$S$2:$S$553,"44652A4AzulNão se aplicaNão se aplicaAPENão se aplicaFora ponta",Mercado_Receita!$J$2:$J$553)</f>
        <v>482</v>
      </c>
      <c r="Q3" s="13">
        <f>SUMIF(Mercado_Receita!$S$2:$S$553,"44682A4AzulNão se aplicaNão se aplicaNão se aplicaNão se aplicaFora ponta",Mercado_Receita!$J$2:$J$553)+SUMIF(Mercado_Receita!$S$2:$S$553,"44682A4AzulNão se aplicaNão se aplicaAPENão se aplicaFora ponta",Mercado_Receita!$J$2:$J$553)</f>
        <v>485</v>
      </c>
      <c r="R3" s="13">
        <f>SUMIF(Mercado_Receita!$S$2:$S$553,"44713A4AzulNão se aplicaNão se aplicaNão se aplicaNão se aplicaFora ponta",Mercado_Receita!$J$2:$J$553)+SUMIF(Mercado_Receita!$S$2:$S$553,"44713A4AzulNão se aplicaNão se aplicaAPENão se aplicaFora ponta",Mercado_Receita!$J$2:$J$553)</f>
        <v>487</v>
      </c>
      <c r="S3" s="13">
        <f>SUMIF(Mercado_Receita!$S$2:$S$553,"44743A4AzulNão se aplicaNão se aplicaNão se aplicaNão se aplicaFora ponta",Mercado_Receita!$J$2:$J$553)+SUMIF(Mercado_Receita!$S$2:$S$553,"44743A4AzulNão se aplicaNão se aplicaAPENão se aplicaFora ponta",Mercado_Receita!$J$2:$J$553)</f>
        <v>483</v>
      </c>
      <c r="T3" s="13">
        <f>SUMIF(Mercado_Receita!$S$2:$S$553,"44774A4AzulNão se aplicaNão se aplicaNão se aplicaNão se aplicaFora ponta",Mercado_Receita!$J$2:$J$553)+SUMIF(Mercado_Receita!$S$2:$S$553,"44774A4AzulNão se aplicaNão se aplicaAPENão se aplicaFora ponta",Mercado_Receita!$J$2:$J$553)</f>
        <v>490</v>
      </c>
      <c r="U3" s="13">
        <f t="shared" si="0"/>
        <v>5810</v>
      </c>
      <c r="V3" s="13"/>
      <c r="W3" s="13"/>
    </row>
    <row r="4" spans="1:30" ht="11.25" customHeight="1" x14ac:dyDescent="0.25">
      <c r="A4" s="80"/>
      <c r="B4" s="80"/>
      <c r="C4" s="80"/>
      <c r="D4" s="80"/>
      <c r="E4" s="80"/>
      <c r="F4" s="80"/>
      <c r="G4" s="13" t="s">
        <v>78</v>
      </c>
      <c r="H4" s="13" t="s">
        <v>72</v>
      </c>
      <c r="I4" s="13">
        <f>SUMIF(Mercado_Receita!$S$2:$S$553,"44440A4AzulNão se aplicaNão se aplicaNão se aplicaNão se aplicaPonta",Mercado_Receita!$L$2:$L$553)+SUMIF(Mercado_Receita!$S$2:$S$553,"44440A4AzulNão se aplicaNão se aplicaNão se aplicaNão se aplicaFora ponta",Mercado_Receita!$L$2:$L$553)+SUMIF(Mercado_Receita!$S$2:$S$553,"44440A4AzulNão se aplicaNão se aplicaNão se aplicaNão se aplicaIntermediário",Mercado_Receita!$L$2:$L$553)+SUMIF(Mercado_Receita!$S$2:$S$553,"44440A4AzulNão se aplicaNão se aplicaNão se aplicaNão se aplicaNão se aplica",Mercado_Receita!$L$2:$L$553)</f>
        <v>270.49399999999997</v>
      </c>
      <c r="J4" s="13">
        <f>SUMIF(Mercado_Receita!$S$2:$S$553,"44470A4AzulNão se aplicaNão se aplicaNão se aplicaNão se aplicaPonta",Mercado_Receita!$L$2:$L$553)+SUMIF(Mercado_Receita!$S$2:$S$553,"44470A4AzulNão se aplicaNão se aplicaNão se aplicaNão se aplicaFora ponta",Mercado_Receita!$L$2:$L$553)+SUMIF(Mercado_Receita!$S$2:$S$553,"44470A4AzulNão se aplicaNão se aplicaNão se aplicaNão se aplicaIntermediário",Mercado_Receita!$L$2:$L$553)+SUMIF(Mercado_Receita!$S$2:$S$553,"44470A4AzulNão se aplicaNão se aplicaNão se aplicaNão se aplicaNão se aplica",Mercado_Receita!$L$2:$L$553)</f>
        <v>254.827</v>
      </c>
      <c r="K4" s="13">
        <f>SUMIF(Mercado_Receita!$S$2:$S$553,"44501A4AzulNão se aplicaNão se aplicaNão se aplicaNão se aplicaPonta",Mercado_Receita!$L$2:$L$553)+SUMIF(Mercado_Receita!$S$2:$S$553,"44501A4AzulNão se aplicaNão se aplicaNão se aplicaNão se aplicaFora ponta",Mercado_Receita!$L$2:$L$553)+SUMIF(Mercado_Receita!$S$2:$S$553,"44501A4AzulNão se aplicaNão se aplicaNão se aplicaNão se aplicaIntermediário",Mercado_Receita!$L$2:$L$553)+SUMIF(Mercado_Receita!$S$2:$S$553,"44501A4AzulNão se aplicaNão se aplicaNão se aplicaNão se aplicaNão se aplica",Mercado_Receita!$L$2:$L$553)</f>
        <v>218.06699999999998</v>
      </c>
      <c r="L4" s="13">
        <f>SUMIF(Mercado_Receita!$S$2:$S$553,"44531A4AzulNão se aplicaNão se aplicaNão se aplicaNão se aplicaPonta",Mercado_Receita!$L$2:$L$553)+SUMIF(Mercado_Receita!$S$2:$S$553,"44531A4AzulNão se aplicaNão se aplicaNão se aplicaNão se aplicaFora ponta",Mercado_Receita!$L$2:$L$553)+SUMIF(Mercado_Receita!$S$2:$S$553,"44531A4AzulNão se aplicaNão se aplicaNão se aplicaNão se aplicaIntermediário",Mercado_Receita!$L$2:$L$553)+SUMIF(Mercado_Receita!$S$2:$S$553,"44531A4AzulNão se aplicaNão se aplicaNão se aplicaNão se aplicaNão se aplica",Mercado_Receita!$L$2:$L$553)</f>
        <v>231.25700000000001</v>
      </c>
      <c r="M4" s="13">
        <f>SUMIF(Mercado_Receita!$S$2:$S$553,"44562A4AzulNão se aplicaNão se aplicaNão se aplicaNão se aplicaPonta",Mercado_Receita!$L$2:$L$553)+SUMIF(Mercado_Receita!$S$2:$S$553,"44562A4AzulNão se aplicaNão se aplicaNão se aplicaNão se aplicaFora ponta",Mercado_Receita!$L$2:$L$553)+SUMIF(Mercado_Receita!$S$2:$S$553,"44562A4AzulNão se aplicaNão se aplicaNão se aplicaNão se aplicaIntermediário",Mercado_Receita!$L$2:$L$553)+SUMIF(Mercado_Receita!$S$2:$S$553,"44562A4AzulNão se aplicaNão se aplicaNão se aplicaNão se aplicaNão se aplica",Mercado_Receita!$L$2:$L$553)</f>
        <v>204.56</v>
      </c>
      <c r="N4" s="13">
        <f>SUMIF(Mercado_Receita!$S$2:$S$553,"44593A4AzulNão se aplicaNão se aplicaNão se aplicaNão se aplicaPonta",Mercado_Receita!$L$2:$L$553)+SUMIF(Mercado_Receita!$S$2:$S$553,"44593A4AzulNão se aplicaNão se aplicaNão se aplicaNão se aplicaFora ponta",Mercado_Receita!$L$2:$L$553)+SUMIF(Mercado_Receita!$S$2:$S$553,"44593A4AzulNão se aplicaNão se aplicaNão se aplicaNão se aplicaIntermediário",Mercado_Receita!$L$2:$L$553)+SUMIF(Mercado_Receita!$S$2:$S$553,"44593A4AzulNão se aplicaNão se aplicaNão se aplicaNão se aplicaNão se aplica",Mercado_Receita!$L$2:$L$553)</f>
        <v>192.90600000000001</v>
      </c>
      <c r="O4" s="13">
        <f>SUMIF(Mercado_Receita!$S$2:$S$553,"44621A4AzulNão se aplicaNão se aplicaNão se aplicaNão se aplicaPonta",Mercado_Receita!$L$2:$L$553)+SUMIF(Mercado_Receita!$S$2:$S$553,"44621A4AzulNão se aplicaNão se aplicaNão se aplicaNão se aplicaFora ponta",Mercado_Receita!$L$2:$L$553)+SUMIF(Mercado_Receita!$S$2:$S$553,"44621A4AzulNão se aplicaNão se aplicaNão se aplicaNão se aplicaIntermediário",Mercado_Receita!$L$2:$L$553)+SUMIF(Mercado_Receita!$S$2:$S$553,"44621A4AzulNão se aplicaNão se aplicaNão se aplicaNão se aplicaNão se aplica",Mercado_Receita!$L$2:$L$553)</f>
        <v>209.53300000000002</v>
      </c>
      <c r="P4" s="13">
        <f>SUMIF(Mercado_Receita!$S$2:$S$553,"44652A4AzulNão se aplicaNão se aplicaNão se aplicaNão se aplicaPonta",Mercado_Receita!$L$2:$L$553)+SUMIF(Mercado_Receita!$S$2:$S$553,"44652A4AzulNão se aplicaNão se aplicaNão se aplicaNão se aplicaFora ponta",Mercado_Receita!$L$2:$L$553)+SUMIF(Mercado_Receita!$S$2:$S$553,"44652A4AzulNão se aplicaNão se aplicaNão se aplicaNão se aplicaIntermediário",Mercado_Receita!$L$2:$L$553)+SUMIF(Mercado_Receita!$S$2:$S$553,"44652A4AzulNão se aplicaNão se aplicaNão se aplicaNão se aplicaNão se aplica",Mercado_Receita!$L$2:$L$553)</f>
        <v>212.49599999999998</v>
      </c>
      <c r="Q4" s="13">
        <f>SUMIF(Mercado_Receita!$S$2:$S$553,"44682A4AzulNão se aplicaNão se aplicaNão se aplicaNão se aplicaPonta",Mercado_Receita!$L$2:$L$553)+SUMIF(Mercado_Receita!$S$2:$S$553,"44682A4AzulNão se aplicaNão se aplicaNão se aplicaNão se aplicaFora ponta",Mercado_Receita!$L$2:$L$553)+SUMIF(Mercado_Receita!$S$2:$S$553,"44682A4AzulNão se aplicaNão se aplicaNão se aplicaNão se aplicaIntermediário",Mercado_Receita!$L$2:$L$553)+SUMIF(Mercado_Receita!$S$2:$S$553,"44682A4AzulNão se aplicaNão se aplicaNão se aplicaNão se aplicaNão se aplica",Mercado_Receita!$L$2:$L$553)</f>
        <v>268.77600000000001</v>
      </c>
      <c r="R4" s="13">
        <f>SUMIF(Mercado_Receita!$S$2:$S$553,"44713A4AzulNão se aplicaNão se aplicaNão se aplicaNão se aplicaPonta",Mercado_Receita!$L$2:$L$553)+SUMIF(Mercado_Receita!$S$2:$S$553,"44713A4AzulNão se aplicaNão se aplicaNão se aplicaNão se aplicaFora ponta",Mercado_Receita!$L$2:$L$553)+SUMIF(Mercado_Receita!$S$2:$S$553,"44713A4AzulNão se aplicaNão se aplicaNão se aplicaNão se aplicaIntermediário",Mercado_Receita!$L$2:$L$553)+SUMIF(Mercado_Receita!$S$2:$S$553,"44713A4AzulNão se aplicaNão se aplicaNão se aplicaNão se aplicaNão se aplica",Mercado_Receita!$L$2:$L$553)</f>
        <v>276.88</v>
      </c>
      <c r="S4" s="13">
        <f>SUMIF(Mercado_Receita!$S$2:$S$553,"44743A4AzulNão se aplicaNão se aplicaNão se aplicaNão se aplicaPonta",Mercado_Receita!$L$2:$L$553)+SUMIF(Mercado_Receita!$S$2:$S$553,"44743A4AzulNão se aplicaNão se aplicaNão se aplicaNão se aplicaFora ponta",Mercado_Receita!$L$2:$L$553)+SUMIF(Mercado_Receita!$S$2:$S$553,"44743A4AzulNão se aplicaNão se aplicaNão se aplicaNão se aplicaIntermediário",Mercado_Receita!$L$2:$L$553)+SUMIF(Mercado_Receita!$S$2:$S$553,"44743A4AzulNão se aplicaNão se aplicaNão se aplicaNão se aplicaNão se aplica",Mercado_Receita!$L$2:$L$553)</f>
        <v>266.86399999999998</v>
      </c>
      <c r="T4" s="13">
        <f>SUMIF(Mercado_Receita!$S$2:$S$553,"44774A4AzulNão se aplicaNão se aplicaNão se aplicaNão se aplicaPonta",Mercado_Receita!$L$2:$L$553)+SUMIF(Mercado_Receita!$S$2:$S$553,"44774A4AzulNão se aplicaNão se aplicaNão se aplicaNão se aplicaFora ponta",Mercado_Receita!$L$2:$L$553)+SUMIF(Mercado_Receita!$S$2:$S$553,"44774A4AzulNão se aplicaNão se aplicaNão se aplicaNão se aplicaIntermediário",Mercado_Receita!$L$2:$L$553)+SUMIF(Mercado_Receita!$S$2:$S$553,"44774A4AzulNão se aplicaNão se aplicaNão se aplicaNão se aplicaNão se aplica",Mercado_Receita!$L$2:$L$553)</f>
        <v>227.58599999999998</v>
      </c>
      <c r="U4" s="13">
        <f t="shared" si="0"/>
        <v>2834.2459999999996</v>
      </c>
      <c r="V4" s="13"/>
      <c r="W4" s="13"/>
    </row>
    <row r="5" spans="1:30" ht="11.25" customHeight="1" x14ac:dyDescent="0.25">
      <c r="A5" s="80"/>
      <c r="B5" s="80"/>
      <c r="C5" s="80"/>
      <c r="D5" s="80"/>
      <c r="E5" s="12" t="s">
        <v>79</v>
      </c>
      <c r="F5" s="12" t="s">
        <v>25</v>
      </c>
      <c r="G5" s="13" t="s">
        <v>78</v>
      </c>
      <c r="H5" s="13" t="s">
        <v>72</v>
      </c>
      <c r="I5" s="13">
        <f>SUMIF(Mercado_Receita!$S$2:$S$553,"44440A4AzulNão se aplicaNão se aplicaAPENão se aplicaPonta",Mercado_Receita!$L$2:$L$553)+SUMIF(Mercado_Receita!$S$2:$S$553,"44440A4AzulNão se aplicaNão se aplicaAPENão se aplicaFora ponta",Mercado_Receita!$L$2:$L$553)+SUMIF(Mercado_Receita!$S$2:$S$553,"44440A4AzulNão se aplicaNão se aplicaAPENão se aplicaIntermediário",Mercado_Receita!$L$2:$L$553)+SUMIF(Mercado_Receita!$S$2:$S$553,"44440A4AzulNão se aplicaNão se aplicaAPENão se aplicaNão se aplica",Mercado_Receita!$L$2:$L$553)</f>
        <v>0</v>
      </c>
      <c r="J5" s="13">
        <f>SUMIF(Mercado_Receita!$S$2:$S$553,"44470A4AzulNão se aplicaNão se aplicaAPENão se aplicaPonta",Mercado_Receita!$L$2:$L$553)+SUMIF(Mercado_Receita!$S$2:$S$553,"44470A4AzulNão se aplicaNão se aplicaAPENão se aplicaFora ponta",Mercado_Receita!$L$2:$L$553)+SUMIF(Mercado_Receita!$S$2:$S$553,"44470A4AzulNão se aplicaNão se aplicaAPENão se aplicaIntermediário",Mercado_Receita!$L$2:$L$553)+SUMIF(Mercado_Receita!$S$2:$S$553,"44470A4AzulNão se aplicaNão se aplicaAPENão se aplicaNão se aplica",Mercado_Receita!$L$2:$L$553)</f>
        <v>0</v>
      </c>
      <c r="K5" s="13">
        <f>SUMIF(Mercado_Receita!$S$2:$S$553,"44501A4AzulNão se aplicaNão se aplicaAPENão se aplicaPonta",Mercado_Receita!$L$2:$L$553)+SUMIF(Mercado_Receita!$S$2:$S$553,"44501A4AzulNão se aplicaNão se aplicaAPENão se aplicaFora ponta",Mercado_Receita!$L$2:$L$553)+SUMIF(Mercado_Receita!$S$2:$S$553,"44501A4AzulNão se aplicaNão se aplicaAPENão se aplicaIntermediário",Mercado_Receita!$L$2:$L$553)+SUMIF(Mercado_Receita!$S$2:$S$553,"44501A4AzulNão se aplicaNão se aplicaAPENão se aplicaNão se aplica",Mercado_Receita!$L$2:$L$553)</f>
        <v>0</v>
      </c>
      <c r="L5" s="13">
        <f>SUMIF(Mercado_Receita!$S$2:$S$553,"44531A4AzulNão se aplicaNão se aplicaAPENão se aplicaPonta",Mercado_Receita!$L$2:$L$553)+SUMIF(Mercado_Receita!$S$2:$S$553,"44531A4AzulNão se aplicaNão se aplicaAPENão se aplicaFora ponta",Mercado_Receita!$L$2:$L$553)+SUMIF(Mercado_Receita!$S$2:$S$553,"44531A4AzulNão se aplicaNão se aplicaAPENão se aplicaIntermediário",Mercado_Receita!$L$2:$L$553)+SUMIF(Mercado_Receita!$S$2:$S$553,"44531A4AzulNão se aplicaNão se aplicaAPENão se aplicaNão se aplica",Mercado_Receita!$L$2:$L$553)</f>
        <v>0</v>
      </c>
      <c r="M5" s="13">
        <f>SUMIF(Mercado_Receita!$S$2:$S$553,"44562A4AzulNão se aplicaNão se aplicaAPENão se aplicaPonta",Mercado_Receita!$L$2:$L$553)+SUMIF(Mercado_Receita!$S$2:$S$553,"44562A4AzulNão se aplicaNão se aplicaAPENão se aplicaFora ponta",Mercado_Receita!$L$2:$L$553)+SUMIF(Mercado_Receita!$S$2:$S$553,"44562A4AzulNão se aplicaNão se aplicaAPENão se aplicaIntermediário",Mercado_Receita!$L$2:$L$553)+SUMIF(Mercado_Receita!$S$2:$S$553,"44562A4AzulNão se aplicaNão se aplicaAPENão se aplicaNão se aplica",Mercado_Receita!$L$2:$L$553)</f>
        <v>0</v>
      </c>
      <c r="N5" s="13">
        <f>SUMIF(Mercado_Receita!$S$2:$S$553,"44593A4AzulNão se aplicaNão se aplicaAPENão se aplicaPonta",Mercado_Receita!$L$2:$L$553)+SUMIF(Mercado_Receita!$S$2:$S$553,"44593A4AzulNão se aplicaNão se aplicaAPENão se aplicaFora ponta",Mercado_Receita!$L$2:$L$553)+SUMIF(Mercado_Receita!$S$2:$S$553,"44593A4AzulNão se aplicaNão se aplicaAPENão se aplicaIntermediário",Mercado_Receita!$L$2:$L$553)+SUMIF(Mercado_Receita!$S$2:$S$553,"44593A4AzulNão se aplicaNão se aplicaAPENão se aplicaNão se aplica",Mercado_Receita!$L$2:$L$553)</f>
        <v>0</v>
      </c>
      <c r="O5" s="13">
        <f>SUMIF(Mercado_Receita!$S$2:$S$553,"44621A4AzulNão se aplicaNão se aplicaAPENão se aplicaPonta",Mercado_Receita!$L$2:$L$553)+SUMIF(Mercado_Receita!$S$2:$S$553,"44621A4AzulNão se aplicaNão se aplicaAPENão se aplicaFora ponta",Mercado_Receita!$L$2:$L$553)+SUMIF(Mercado_Receita!$S$2:$S$553,"44621A4AzulNão se aplicaNão se aplicaAPENão se aplicaIntermediário",Mercado_Receita!$L$2:$L$553)+SUMIF(Mercado_Receita!$S$2:$S$553,"44621A4AzulNão se aplicaNão se aplicaAPENão se aplicaNão se aplica",Mercado_Receita!$L$2:$L$553)</f>
        <v>0</v>
      </c>
      <c r="P5" s="13">
        <f>SUMIF(Mercado_Receita!$S$2:$S$553,"44652A4AzulNão se aplicaNão se aplicaAPENão se aplicaPonta",Mercado_Receita!$L$2:$L$553)+SUMIF(Mercado_Receita!$S$2:$S$553,"44652A4AzulNão se aplicaNão se aplicaAPENão se aplicaFora ponta",Mercado_Receita!$L$2:$L$553)+SUMIF(Mercado_Receita!$S$2:$S$553,"44652A4AzulNão se aplicaNão se aplicaAPENão se aplicaIntermediário",Mercado_Receita!$L$2:$L$553)+SUMIF(Mercado_Receita!$S$2:$S$553,"44652A4AzulNão se aplicaNão se aplicaAPENão se aplicaNão se aplica",Mercado_Receita!$L$2:$L$553)</f>
        <v>0</v>
      </c>
      <c r="Q5" s="13">
        <f>SUMIF(Mercado_Receita!$S$2:$S$553,"44682A4AzulNão se aplicaNão se aplicaAPENão se aplicaPonta",Mercado_Receita!$L$2:$L$553)+SUMIF(Mercado_Receita!$S$2:$S$553,"44682A4AzulNão se aplicaNão se aplicaAPENão se aplicaFora ponta",Mercado_Receita!$L$2:$L$553)+SUMIF(Mercado_Receita!$S$2:$S$553,"44682A4AzulNão se aplicaNão se aplicaAPENão se aplicaIntermediário",Mercado_Receita!$L$2:$L$553)+SUMIF(Mercado_Receita!$S$2:$S$553,"44682A4AzulNão se aplicaNão se aplicaAPENão se aplicaNão se aplica",Mercado_Receita!$L$2:$L$553)</f>
        <v>0</v>
      </c>
      <c r="R5" s="13">
        <f>SUMIF(Mercado_Receita!$S$2:$S$553,"44713A4AzulNão se aplicaNão se aplicaAPENão se aplicaPonta",Mercado_Receita!$L$2:$L$553)+SUMIF(Mercado_Receita!$S$2:$S$553,"44713A4AzulNão se aplicaNão se aplicaAPENão se aplicaFora ponta",Mercado_Receita!$L$2:$L$553)+SUMIF(Mercado_Receita!$S$2:$S$553,"44713A4AzulNão se aplicaNão se aplicaAPENão se aplicaIntermediário",Mercado_Receita!$L$2:$L$553)+SUMIF(Mercado_Receita!$S$2:$S$553,"44713A4AzulNão se aplicaNão se aplicaAPENão se aplicaNão se aplica",Mercado_Receita!$L$2:$L$553)</f>
        <v>0</v>
      </c>
      <c r="S5" s="13">
        <f>SUMIF(Mercado_Receita!$S$2:$S$553,"44743A4AzulNão se aplicaNão se aplicaAPENão se aplicaPonta",Mercado_Receita!$L$2:$L$553)+SUMIF(Mercado_Receita!$S$2:$S$553,"44743A4AzulNão se aplicaNão se aplicaAPENão se aplicaFora ponta",Mercado_Receita!$L$2:$L$553)+SUMIF(Mercado_Receita!$S$2:$S$553,"44743A4AzulNão se aplicaNão se aplicaAPENão se aplicaIntermediário",Mercado_Receita!$L$2:$L$553)+SUMIF(Mercado_Receita!$S$2:$S$553,"44743A4AzulNão se aplicaNão se aplicaAPENão se aplicaNão se aplica",Mercado_Receita!$L$2:$L$553)</f>
        <v>0</v>
      </c>
      <c r="T5" s="13">
        <f>SUMIF(Mercado_Receita!$S$2:$S$553,"44774A4AzulNão se aplicaNão se aplicaAPENão se aplicaPonta",Mercado_Receita!$L$2:$L$553)+SUMIF(Mercado_Receita!$S$2:$S$553,"44774A4AzulNão se aplicaNão se aplicaAPENão se aplicaFora ponta",Mercado_Receita!$L$2:$L$553)+SUMIF(Mercado_Receita!$S$2:$S$553,"44774A4AzulNão se aplicaNão se aplicaAPENão se aplicaIntermediário",Mercado_Receita!$L$2:$L$553)+SUMIF(Mercado_Receita!$S$2:$S$553,"44774A4AzulNão se aplicaNão se aplicaAPENão se aplicaNão se aplica",Mercado_Receita!$L$2:$L$553)</f>
        <v>0</v>
      </c>
      <c r="U5" s="13">
        <f t="shared" si="0"/>
        <v>0</v>
      </c>
      <c r="V5" s="13"/>
      <c r="W5" s="13"/>
    </row>
    <row r="6" spans="1:30" ht="11.25" customHeight="1" x14ac:dyDescent="0.25">
      <c r="A6" s="80"/>
      <c r="B6" s="12" t="s">
        <v>53</v>
      </c>
      <c r="C6" s="12" t="s">
        <v>25</v>
      </c>
      <c r="D6" s="12" t="s">
        <v>25</v>
      </c>
      <c r="E6" s="12" t="s">
        <v>25</v>
      </c>
      <c r="F6" s="12" t="s">
        <v>25</v>
      </c>
      <c r="G6" s="13" t="s">
        <v>9</v>
      </c>
      <c r="H6" s="13" t="s">
        <v>75</v>
      </c>
      <c r="I6" s="13">
        <f>SUMIF(Mercado_Receita!$S$2:$S$553,"44440A4GeraçãoNão se aplicaNão se aplicaNão se aplicaNão se aplicaNão se aplica",Mercado_Receita!$J$2:$J$553)+SUMIF(Mercado_Receita!$S$2:$S$553,"44440A4GeraçãoNão se aplicaNão se aplicaAPENão se aplicaNão se aplica",Mercado_Receita!$J$2:$J$553)</f>
        <v>909</v>
      </c>
      <c r="J6" s="13">
        <f>SUMIF(Mercado_Receita!$S$2:$S$553,"44470A4GeraçãoNão se aplicaNão se aplicaNão se aplicaNão se aplicaNão se aplica",Mercado_Receita!$J$2:$J$553)+SUMIF(Mercado_Receita!$S$2:$S$553,"44470A4GeraçãoNão se aplicaNão se aplicaAPENão se aplicaNão se aplica",Mercado_Receita!$J$2:$J$553)</f>
        <v>909</v>
      </c>
      <c r="K6" s="13">
        <f>SUMIF(Mercado_Receita!$S$2:$S$553,"44501A4GeraçãoNão se aplicaNão se aplicaNão se aplicaNão se aplicaNão se aplica",Mercado_Receita!$J$2:$J$553)+SUMIF(Mercado_Receita!$S$2:$S$553,"44501A4GeraçãoNão se aplicaNão se aplicaAPENão se aplicaNão se aplica",Mercado_Receita!$J$2:$J$553)</f>
        <v>909</v>
      </c>
      <c r="L6" s="13">
        <f>SUMIF(Mercado_Receita!$S$2:$S$553,"44531A4GeraçãoNão se aplicaNão se aplicaNão se aplicaNão se aplicaNão se aplica",Mercado_Receita!$J$2:$J$553)+SUMIF(Mercado_Receita!$S$2:$S$553,"44531A4GeraçãoNão se aplicaNão se aplicaAPENão se aplicaNão se aplica",Mercado_Receita!$J$2:$J$553)</f>
        <v>909</v>
      </c>
      <c r="M6" s="13">
        <f>SUMIF(Mercado_Receita!$S$2:$S$553,"44562A4GeraçãoNão se aplicaNão se aplicaNão se aplicaNão se aplicaNão se aplica",Mercado_Receita!$J$2:$J$553)+SUMIF(Mercado_Receita!$S$2:$S$553,"44562A4GeraçãoNão se aplicaNão se aplicaAPENão se aplicaNão se aplica",Mercado_Receita!$J$2:$J$553)</f>
        <v>909</v>
      </c>
      <c r="N6" s="13">
        <f>SUMIF(Mercado_Receita!$S$2:$S$553,"44593A4GeraçãoNão se aplicaNão se aplicaNão se aplicaNão se aplicaNão se aplica",Mercado_Receita!$J$2:$J$553)+SUMIF(Mercado_Receita!$S$2:$S$553,"44593A4GeraçãoNão se aplicaNão se aplicaAPENão se aplicaNão se aplica",Mercado_Receita!$J$2:$J$553)</f>
        <v>909</v>
      </c>
      <c r="O6" s="13">
        <f>SUMIF(Mercado_Receita!$S$2:$S$553,"44621A4GeraçãoNão se aplicaNão se aplicaNão se aplicaNão se aplicaNão se aplica",Mercado_Receita!$J$2:$J$553)+SUMIF(Mercado_Receita!$S$2:$S$553,"44621A4GeraçãoNão se aplicaNão se aplicaAPENão se aplicaNão se aplica",Mercado_Receita!$J$2:$J$553)</f>
        <v>909</v>
      </c>
      <c r="P6" s="13">
        <f>SUMIF(Mercado_Receita!$S$2:$S$553,"44652A4GeraçãoNão se aplicaNão se aplicaNão se aplicaNão se aplicaNão se aplica",Mercado_Receita!$J$2:$J$553)+SUMIF(Mercado_Receita!$S$2:$S$553,"44652A4GeraçãoNão se aplicaNão se aplicaAPENão se aplicaNão se aplica",Mercado_Receita!$J$2:$J$553)</f>
        <v>909</v>
      </c>
      <c r="Q6" s="13">
        <f>SUMIF(Mercado_Receita!$S$2:$S$553,"44682A4GeraçãoNão se aplicaNão se aplicaNão se aplicaNão se aplicaNão se aplica",Mercado_Receita!$J$2:$J$553)+SUMIF(Mercado_Receita!$S$2:$S$553,"44682A4GeraçãoNão se aplicaNão se aplicaAPENão se aplicaNão se aplica",Mercado_Receita!$J$2:$J$553)</f>
        <v>909</v>
      </c>
      <c r="R6" s="13">
        <f>SUMIF(Mercado_Receita!$S$2:$S$553,"44713A4GeraçãoNão se aplicaNão se aplicaNão se aplicaNão se aplicaNão se aplica",Mercado_Receita!$J$2:$J$553)+SUMIF(Mercado_Receita!$S$2:$S$553,"44713A4GeraçãoNão se aplicaNão se aplicaAPENão se aplicaNão se aplica",Mercado_Receita!$J$2:$J$553)</f>
        <v>909</v>
      </c>
      <c r="S6" s="13">
        <f>SUMIF(Mercado_Receita!$S$2:$S$553,"44743A4GeraçãoNão se aplicaNão se aplicaNão se aplicaNão se aplicaNão se aplica",Mercado_Receita!$J$2:$J$553)+SUMIF(Mercado_Receita!$S$2:$S$553,"44743A4GeraçãoNão se aplicaNão se aplicaAPENão se aplicaNão se aplica",Mercado_Receita!$J$2:$J$553)</f>
        <v>909</v>
      </c>
      <c r="T6" s="13">
        <f>SUMIF(Mercado_Receita!$S$2:$S$553,"44774A4GeraçãoNão se aplicaNão se aplicaNão se aplicaNão se aplicaNão se aplica",Mercado_Receita!$J$2:$J$553)+SUMIF(Mercado_Receita!$S$2:$S$553,"44774A4GeraçãoNão se aplicaNão se aplicaAPENão se aplicaNão se aplica",Mercado_Receita!$J$2:$J$553)</f>
        <v>909</v>
      </c>
      <c r="U6" s="13">
        <f t="shared" si="0"/>
        <v>10908</v>
      </c>
      <c r="V6" s="13"/>
      <c r="W6" s="13"/>
    </row>
    <row r="7" spans="1:30" ht="11.25" customHeight="1" x14ac:dyDescent="0.25">
      <c r="A7" s="80"/>
      <c r="B7" s="79" t="s">
        <v>36</v>
      </c>
      <c r="C7" s="79" t="s">
        <v>25</v>
      </c>
      <c r="D7" s="79" t="s">
        <v>25</v>
      </c>
      <c r="E7" s="79" t="s">
        <v>25</v>
      </c>
      <c r="F7" s="79" t="s">
        <v>25</v>
      </c>
      <c r="G7" s="13" t="s">
        <v>9</v>
      </c>
      <c r="H7" s="13" t="s">
        <v>75</v>
      </c>
      <c r="I7" s="13">
        <f>SUMIF(Mercado_Receita!$S$2:$S$553,"44440A4VerdeNão se aplicaNão se aplicaNão se aplicaNão se aplicaNão se aplica",Mercado_Receita!$J$2:$J$553)+SUMIF(Mercado_Receita!$S$2:$S$553,"44440A4VerdeNão se aplicaNão se aplicaAPENão se aplicaNão se aplica",Mercado_Receita!$J$2:$J$553)</f>
        <v>10697</v>
      </c>
      <c r="J7" s="13">
        <f>SUMIF(Mercado_Receita!$S$2:$S$553,"44470A4VerdeNão se aplicaNão se aplicaNão se aplicaNão se aplicaNão se aplica",Mercado_Receita!$J$2:$J$553)+SUMIF(Mercado_Receita!$S$2:$S$553,"44470A4VerdeNão se aplicaNão se aplicaAPENão se aplicaNão se aplica",Mercado_Receita!$J$2:$J$553)</f>
        <v>10836</v>
      </c>
      <c r="K7" s="13">
        <f>SUMIF(Mercado_Receita!$S$2:$S$553,"44501A4VerdeNão se aplicaNão se aplicaNão se aplicaNão se aplicaNão se aplica",Mercado_Receita!$J$2:$J$553)+SUMIF(Mercado_Receita!$S$2:$S$553,"44501A4VerdeNão se aplicaNão se aplicaAPENão se aplicaNão se aplica",Mercado_Receita!$J$2:$J$553)</f>
        <v>10895</v>
      </c>
      <c r="L7" s="13">
        <f>SUMIF(Mercado_Receita!$S$2:$S$553,"44531A4VerdeNão se aplicaNão se aplicaNão se aplicaNão se aplicaNão se aplica",Mercado_Receita!$J$2:$J$553)+SUMIF(Mercado_Receita!$S$2:$S$553,"44531A4VerdeNão se aplicaNão se aplicaAPENão se aplicaNão se aplica",Mercado_Receita!$J$2:$J$553)</f>
        <v>10923</v>
      </c>
      <c r="M7" s="13">
        <f>SUMIF(Mercado_Receita!$S$2:$S$553,"44562A4VerdeNão se aplicaNão se aplicaNão se aplicaNão se aplicaNão se aplica",Mercado_Receita!$J$2:$J$553)+SUMIF(Mercado_Receita!$S$2:$S$553,"44562A4VerdeNão se aplicaNão se aplicaAPENão se aplicaNão se aplica",Mercado_Receita!$J$2:$J$553)</f>
        <v>11897</v>
      </c>
      <c r="N7" s="13">
        <f>SUMIF(Mercado_Receita!$S$2:$S$553,"44593A4VerdeNão se aplicaNão se aplicaNão se aplicaNão se aplicaNão se aplica",Mercado_Receita!$J$2:$J$553)+SUMIF(Mercado_Receita!$S$2:$S$553,"44593A4VerdeNão se aplicaNão se aplicaAPENão se aplicaNão se aplica",Mercado_Receita!$J$2:$J$553)</f>
        <v>12106</v>
      </c>
      <c r="O7" s="13">
        <f>SUMIF(Mercado_Receita!$S$2:$S$553,"44621A4VerdeNão se aplicaNão se aplicaNão se aplicaNão se aplicaNão se aplica",Mercado_Receita!$J$2:$J$553)+SUMIF(Mercado_Receita!$S$2:$S$553,"44621A4VerdeNão se aplicaNão se aplicaAPENão se aplicaNão se aplica",Mercado_Receita!$J$2:$J$553)</f>
        <v>11999</v>
      </c>
      <c r="P7" s="13">
        <f>SUMIF(Mercado_Receita!$S$2:$S$553,"44652A4VerdeNão se aplicaNão se aplicaNão se aplicaNão se aplicaNão se aplica",Mercado_Receita!$J$2:$J$553)+SUMIF(Mercado_Receita!$S$2:$S$553,"44652A4VerdeNão se aplicaNão se aplicaAPENão se aplicaNão se aplica",Mercado_Receita!$J$2:$J$553)</f>
        <v>12119</v>
      </c>
      <c r="Q7" s="13">
        <f>SUMIF(Mercado_Receita!$S$2:$S$553,"44682A4VerdeNão se aplicaNão se aplicaNão se aplicaNão se aplicaNão se aplica",Mercado_Receita!$J$2:$J$553)+SUMIF(Mercado_Receita!$S$2:$S$553,"44682A4VerdeNão se aplicaNão se aplicaAPENão se aplicaNão se aplica",Mercado_Receita!$J$2:$J$553)</f>
        <v>12129</v>
      </c>
      <c r="R7" s="13">
        <f>SUMIF(Mercado_Receita!$S$2:$S$553,"44713A4VerdeNão se aplicaNão se aplicaNão se aplicaNão se aplicaNão se aplica",Mercado_Receita!$J$2:$J$553)+SUMIF(Mercado_Receita!$S$2:$S$553,"44713A4VerdeNão se aplicaNão se aplicaAPENão se aplicaNão se aplica",Mercado_Receita!$J$2:$J$553)</f>
        <v>12081</v>
      </c>
      <c r="S7" s="13">
        <f>SUMIF(Mercado_Receita!$S$2:$S$553,"44743A4VerdeNão se aplicaNão se aplicaNão se aplicaNão se aplicaNão se aplica",Mercado_Receita!$J$2:$J$553)+SUMIF(Mercado_Receita!$S$2:$S$553,"44743A4VerdeNão se aplicaNão se aplicaAPENão se aplicaNão se aplica",Mercado_Receita!$J$2:$J$553)</f>
        <v>11873</v>
      </c>
      <c r="T7" s="13">
        <f>SUMIF(Mercado_Receita!$S$2:$S$553,"44774A4VerdeNão se aplicaNão se aplicaNão se aplicaNão se aplicaNão se aplica",Mercado_Receita!$J$2:$J$553)+SUMIF(Mercado_Receita!$S$2:$S$553,"44774A4VerdeNão se aplicaNão se aplicaAPENão se aplicaNão se aplica",Mercado_Receita!$J$2:$J$553)</f>
        <v>12118</v>
      </c>
      <c r="U7" s="13">
        <f t="shared" si="0"/>
        <v>139673</v>
      </c>
      <c r="V7" s="13"/>
      <c r="W7" s="13"/>
    </row>
    <row r="8" spans="1:30" ht="11.25" customHeight="1" x14ac:dyDescent="0.25">
      <c r="A8" s="80"/>
      <c r="B8" s="80"/>
      <c r="C8" s="80"/>
      <c r="D8" s="80"/>
      <c r="E8" s="80"/>
      <c r="F8" s="80"/>
      <c r="G8" s="13" t="s">
        <v>73</v>
      </c>
      <c r="H8" s="13" t="s">
        <v>72</v>
      </c>
      <c r="I8" s="13">
        <f>SUMIF(Mercado_Receita!$S$2:$S$553,"44440A4VerdeNão se aplicaNão se aplicaNão se aplicaNão se aplicaPonta",Mercado_Receita!$L$2:$L$553)</f>
        <v>61.564000000000007</v>
      </c>
      <c r="J8" s="13">
        <f>SUMIF(Mercado_Receita!$S$2:$S$553,"44470A4VerdeNão se aplicaNão se aplicaNão se aplicaNão se aplicaPonta",Mercado_Receita!$L$2:$L$553)</f>
        <v>66.295999999999992</v>
      </c>
      <c r="K8" s="13">
        <f>SUMIF(Mercado_Receita!$S$2:$S$553,"44501A4VerdeNão se aplicaNão se aplicaNão se aplicaNão se aplicaPonta",Mercado_Receita!$L$2:$L$553)</f>
        <v>65.477999999999994</v>
      </c>
      <c r="L8" s="13">
        <f>SUMIF(Mercado_Receita!$S$2:$S$553,"44531A4VerdeNão se aplicaNão se aplicaNão se aplicaNão se aplicaPonta",Mercado_Receita!$L$2:$L$553)</f>
        <v>75.006999999999991</v>
      </c>
      <c r="M8" s="13">
        <f>SUMIF(Mercado_Receita!$S$2:$S$553,"44562A4VerdeNão se aplicaNão se aplicaNão se aplicaNão se aplicaPonta",Mercado_Receita!$L$2:$L$553)</f>
        <v>80.244000000000014</v>
      </c>
      <c r="N8" s="13">
        <f>SUMIF(Mercado_Receita!$S$2:$S$553,"44593A4VerdeNão se aplicaNão se aplicaNão se aplicaNão se aplicaPonta",Mercado_Receita!$L$2:$L$553)</f>
        <v>63.171999999999997</v>
      </c>
      <c r="O8" s="13">
        <f>SUMIF(Mercado_Receita!$S$2:$S$553,"44621A4VerdeNão se aplicaNão se aplicaNão se aplicaNão se aplicaPonta",Mercado_Receita!$L$2:$L$553)</f>
        <v>73.416000000000011</v>
      </c>
      <c r="P8" s="13">
        <f>SUMIF(Mercado_Receita!$S$2:$S$553,"44652A4VerdeNão se aplicaNão se aplicaNão se aplicaNão se aplicaPonta",Mercado_Receita!$L$2:$L$553)</f>
        <v>65.695000000000007</v>
      </c>
      <c r="Q8" s="13">
        <f>SUMIF(Mercado_Receita!$S$2:$S$553,"44682A4VerdeNão se aplicaNão se aplicaNão se aplicaNão se aplicaPonta",Mercado_Receita!$L$2:$L$553)</f>
        <v>97.733999999999995</v>
      </c>
      <c r="R8" s="13">
        <f>SUMIF(Mercado_Receita!$S$2:$S$553,"44713A4VerdeNão se aplicaNão se aplicaNão se aplicaNão se aplicaPonta",Mercado_Receita!$L$2:$L$553)</f>
        <v>103.84699999999999</v>
      </c>
      <c r="S8" s="13">
        <f>SUMIF(Mercado_Receita!$S$2:$S$553,"44743A4VerdeNão se aplicaNão se aplicaNão se aplicaNão se aplicaPonta",Mercado_Receita!$L$2:$L$553)</f>
        <v>125.23299999999999</v>
      </c>
      <c r="T8" s="13">
        <f>SUMIF(Mercado_Receita!$S$2:$S$553,"44774A4VerdeNão se aplicaNão se aplicaNão se aplicaNão se aplicaPonta",Mercado_Receita!$L$2:$L$553)</f>
        <v>137.25300000000001</v>
      </c>
      <c r="U8" s="13">
        <f t="shared" si="0"/>
        <v>1014.939</v>
      </c>
      <c r="V8" s="13"/>
      <c r="W8" s="13"/>
    </row>
    <row r="9" spans="1:30" ht="11.25" customHeight="1" x14ac:dyDescent="0.25">
      <c r="A9" s="80"/>
      <c r="B9" s="80"/>
      <c r="C9" s="80"/>
      <c r="D9" s="80"/>
      <c r="E9" s="80"/>
      <c r="F9" s="80"/>
      <c r="G9" s="13" t="s">
        <v>74</v>
      </c>
      <c r="H9" s="13" t="s">
        <v>72</v>
      </c>
      <c r="I9" s="13">
        <f>SUMIF(Mercado_Receita!$S$2:$S$553,"44440A4VerdeNão se aplicaNão se aplicaNão se aplicaNão se aplicaFora ponta",Mercado_Receita!$L$2:$L$553)</f>
        <v>2385.3589999999995</v>
      </c>
      <c r="J9" s="13">
        <f>SUMIF(Mercado_Receita!$S$2:$S$553,"44470A4VerdeNão se aplicaNão se aplicaNão se aplicaNão se aplicaFora ponta",Mercado_Receita!$L$2:$L$553)</f>
        <v>2258.1839999999997</v>
      </c>
      <c r="K9" s="13">
        <f>SUMIF(Mercado_Receita!$S$2:$S$553,"44501A4VerdeNão se aplicaNão se aplicaNão se aplicaNão se aplicaFora ponta",Mercado_Receita!$L$2:$L$553)</f>
        <v>2359.1329999999998</v>
      </c>
      <c r="L9" s="13">
        <f>SUMIF(Mercado_Receita!$S$2:$S$553,"44531A4VerdeNão se aplicaNão se aplicaNão se aplicaNão se aplicaFora ponta",Mercado_Receita!$L$2:$L$553)</f>
        <v>2048.4209999999998</v>
      </c>
      <c r="M9" s="13">
        <f>SUMIF(Mercado_Receita!$S$2:$S$553,"44562A4VerdeNão se aplicaNão se aplicaNão se aplicaNão se aplicaFora ponta",Mercado_Receita!$L$2:$L$553)</f>
        <v>2278.1660000000002</v>
      </c>
      <c r="N9" s="13">
        <f>SUMIF(Mercado_Receita!$S$2:$S$553,"44593A4VerdeNão se aplicaNão se aplicaNão se aplicaNão se aplicaFora ponta",Mercado_Receita!$L$2:$L$553)</f>
        <v>2249.3480000000004</v>
      </c>
      <c r="O9" s="13">
        <f>SUMIF(Mercado_Receita!$S$2:$S$553,"44621A4VerdeNão se aplicaNão se aplicaNão se aplicaNão se aplicaFora ponta",Mercado_Receita!$L$2:$L$553)</f>
        <v>2529.0110000000004</v>
      </c>
      <c r="P9" s="13">
        <f>SUMIF(Mercado_Receita!$S$2:$S$553,"44652A4VerdeNão se aplicaNão se aplicaNão se aplicaNão se aplicaFora ponta",Mercado_Receita!$L$2:$L$553)</f>
        <v>2316.2730000000001</v>
      </c>
      <c r="Q9" s="13">
        <f>SUMIF(Mercado_Receita!$S$2:$S$553,"44682A4VerdeNão se aplicaNão se aplicaNão se aplicaNão se aplicaFora ponta",Mercado_Receita!$L$2:$L$553)</f>
        <v>2430.7060000000006</v>
      </c>
      <c r="R9" s="13">
        <f>SUMIF(Mercado_Receita!$S$2:$S$553,"44713A4VerdeNão se aplicaNão se aplicaNão se aplicaNão se aplicaFora ponta",Mercado_Receita!$L$2:$L$553)</f>
        <v>2427.6120000000001</v>
      </c>
      <c r="S9" s="13">
        <f>SUMIF(Mercado_Receita!$S$2:$S$553,"44743A4VerdeNão se aplicaNão se aplicaNão se aplicaNão se aplicaFora ponta",Mercado_Receita!$L$2:$L$553)</f>
        <v>2374.7139999999999</v>
      </c>
      <c r="T9" s="13">
        <f>SUMIF(Mercado_Receita!$S$2:$S$553,"44774A4VerdeNão se aplicaNão se aplicaNão se aplicaNão se aplicaFora ponta",Mercado_Receita!$L$2:$L$553)</f>
        <v>2569.9969999999998</v>
      </c>
      <c r="U9" s="13">
        <f t="shared" si="0"/>
        <v>28226.924000000003</v>
      </c>
      <c r="V9" s="13"/>
      <c r="W9" s="13"/>
    </row>
    <row r="10" spans="1:30" ht="11.25" customHeight="1" x14ac:dyDescent="0.25">
      <c r="A10" s="80"/>
      <c r="B10" s="80"/>
      <c r="C10" s="80"/>
      <c r="D10" s="80"/>
      <c r="E10" s="79" t="s">
        <v>79</v>
      </c>
      <c r="F10" s="79" t="s">
        <v>25</v>
      </c>
      <c r="G10" s="13" t="s">
        <v>73</v>
      </c>
      <c r="H10" s="13" t="s">
        <v>72</v>
      </c>
      <c r="I10" s="13">
        <f>SUMIF(Mercado_Receita!$S$2:$S$553,"44440A4VerdeNão se aplicaNão se aplicaAPENão se aplicaPonta",Mercado_Receita!$L$2:$L$553)</f>
        <v>0</v>
      </c>
      <c r="J10" s="13">
        <f>SUMIF(Mercado_Receita!$S$2:$S$553,"44470A4VerdeNão se aplicaNão se aplicaAPENão se aplicaPonta",Mercado_Receita!$L$2:$L$553)</f>
        <v>0</v>
      </c>
      <c r="K10" s="13">
        <f>SUMIF(Mercado_Receita!$S$2:$S$553,"44501A4VerdeNão se aplicaNão se aplicaAPENão se aplicaPonta",Mercado_Receita!$L$2:$L$553)</f>
        <v>0</v>
      </c>
      <c r="L10" s="13">
        <f>SUMIF(Mercado_Receita!$S$2:$S$553,"44531A4VerdeNão se aplicaNão se aplicaAPENão se aplicaPonta",Mercado_Receita!$L$2:$L$553)</f>
        <v>0</v>
      </c>
      <c r="M10" s="13">
        <f>SUMIF(Mercado_Receita!$S$2:$S$553,"44562A4VerdeNão se aplicaNão se aplicaAPENão se aplicaPonta",Mercado_Receita!$L$2:$L$553)</f>
        <v>0</v>
      </c>
      <c r="N10" s="13">
        <f>SUMIF(Mercado_Receita!$S$2:$S$553,"44593A4VerdeNão se aplicaNão se aplicaAPENão se aplicaPonta",Mercado_Receita!$L$2:$L$553)</f>
        <v>0</v>
      </c>
      <c r="O10" s="13">
        <f>SUMIF(Mercado_Receita!$S$2:$S$553,"44621A4VerdeNão se aplicaNão se aplicaAPENão se aplicaPonta",Mercado_Receita!$L$2:$L$553)</f>
        <v>0</v>
      </c>
      <c r="P10" s="13">
        <f>SUMIF(Mercado_Receita!$S$2:$S$553,"44652A4VerdeNão se aplicaNão se aplicaAPENão se aplicaPonta",Mercado_Receita!$L$2:$L$553)</f>
        <v>0</v>
      </c>
      <c r="Q10" s="13">
        <f>SUMIF(Mercado_Receita!$S$2:$S$553,"44682A4VerdeNão se aplicaNão se aplicaAPENão se aplicaPonta",Mercado_Receita!$L$2:$L$553)</f>
        <v>0</v>
      </c>
      <c r="R10" s="13">
        <f>SUMIF(Mercado_Receita!$S$2:$S$553,"44713A4VerdeNão se aplicaNão se aplicaAPENão se aplicaPonta",Mercado_Receita!$L$2:$L$553)</f>
        <v>0</v>
      </c>
      <c r="S10" s="13">
        <f>SUMIF(Mercado_Receita!$S$2:$S$553,"44743A4VerdeNão se aplicaNão se aplicaAPENão se aplicaPonta",Mercado_Receita!$L$2:$L$553)</f>
        <v>0</v>
      </c>
      <c r="T10" s="13">
        <f>SUMIF(Mercado_Receita!$S$2:$S$553,"44774A4VerdeNão se aplicaNão se aplicaAPENão se aplicaPonta",Mercado_Receita!$L$2:$L$553)</f>
        <v>0</v>
      </c>
      <c r="U10" s="13">
        <f t="shared" si="0"/>
        <v>0</v>
      </c>
      <c r="V10" s="13"/>
      <c r="W10" s="13"/>
    </row>
    <row r="11" spans="1:30" ht="11.25" customHeight="1" x14ac:dyDescent="0.25">
      <c r="A11" s="80"/>
      <c r="B11" s="80"/>
      <c r="C11" s="80"/>
      <c r="D11" s="80"/>
      <c r="E11" s="80"/>
      <c r="F11" s="80"/>
      <c r="G11" s="13" t="s">
        <v>74</v>
      </c>
      <c r="H11" s="13" t="s">
        <v>72</v>
      </c>
      <c r="I11" s="13">
        <f>SUMIF(Mercado_Receita!$S$2:$S$553,"44440A4VerdeNão se aplicaNão se aplicaAPENão se aplicaFora ponta",Mercado_Receita!$L$2:$L$553)</f>
        <v>0</v>
      </c>
      <c r="J11" s="13">
        <f>SUMIF(Mercado_Receita!$S$2:$S$553,"44470A4VerdeNão se aplicaNão se aplicaAPENão se aplicaFora ponta",Mercado_Receita!$L$2:$L$553)</f>
        <v>0</v>
      </c>
      <c r="K11" s="13">
        <f>SUMIF(Mercado_Receita!$S$2:$S$553,"44501A4VerdeNão se aplicaNão se aplicaAPENão se aplicaFora ponta",Mercado_Receita!$L$2:$L$553)</f>
        <v>0</v>
      </c>
      <c r="L11" s="13">
        <f>SUMIF(Mercado_Receita!$S$2:$S$553,"44531A4VerdeNão se aplicaNão se aplicaAPENão se aplicaFora ponta",Mercado_Receita!$L$2:$L$553)</f>
        <v>0</v>
      </c>
      <c r="M11" s="13">
        <f>SUMIF(Mercado_Receita!$S$2:$S$553,"44562A4VerdeNão se aplicaNão se aplicaAPENão se aplicaFora ponta",Mercado_Receita!$L$2:$L$553)</f>
        <v>0</v>
      </c>
      <c r="N11" s="13">
        <f>SUMIF(Mercado_Receita!$S$2:$S$553,"44593A4VerdeNão se aplicaNão se aplicaAPENão se aplicaFora ponta",Mercado_Receita!$L$2:$L$553)</f>
        <v>0</v>
      </c>
      <c r="O11" s="13">
        <f>SUMIF(Mercado_Receita!$S$2:$S$553,"44621A4VerdeNão se aplicaNão se aplicaAPENão se aplicaFora ponta",Mercado_Receita!$L$2:$L$553)</f>
        <v>0</v>
      </c>
      <c r="P11" s="13">
        <f>SUMIF(Mercado_Receita!$S$2:$S$553,"44652A4VerdeNão se aplicaNão se aplicaAPENão se aplicaFora ponta",Mercado_Receita!$L$2:$L$553)</f>
        <v>0</v>
      </c>
      <c r="Q11" s="13">
        <f>SUMIF(Mercado_Receita!$S$2:$S$553,"44682A4VerdeNão se aplicaNão se aplicaAPENão se aplicaFora ponta",Mercado_Receita!$L$2:$L$553)</f>
        <v>0</v>
      </c>
      <c r="R11" s="13">
        <f>SUMIF(Mercado_Receita!$S$2:$S$553,"44713A4VerdeNão se aplicaNão se aplicaAPENão se aplicaFora ponta",Mercado_Receita!$L$2:$L$553)</f>
        <v>0</v>
      </c>
      <c r="S11" s="13">
        <f>SUMIF(Mercado_Receita!$S$2:$S$553,"44743A4VerdeNão se aplicaNão se aplicaAPENão se aplicaFora ponta",Mercado_Receita!$L$2:$L$553)</f>
        <v>0</v>
      </c>
      <c r="T11" s="13">
        <f>SUMIF(Mercado_Receita!$S$2:$S$553,"44774A4VerdeNão se aplicaNão se aplicaAPENão se aplicaFora ponta",Mercado_Receita!$L$2:$L$553)</f>
        <v>0</v>
      </c>
      <c r="U11" s="13">
        <f t="shared" si="0"/>
        <v>0</v>
      </c>
      <c r="V11" s="13"/>
      <c r="W11" s="13"/>
    </row>
    <row r="12" spans="1:30" ht="11.25" customHeight="1" x14ac:dyDescent="0.25">
      <c r="A12" s="79" t="s">
        <v>80</v>
      </c>
      <c r="B12" s="79" t="s">
        <v>53</v>
      </c>
      <c r="C12" s="79" t="s">
        <v>25</v>
      </c>
      <c r="D12" s="79" t="s">
        <v>25</v>
      </c>
      <c r="E12" s="12" t="s">
        <v>81</v>
      </c>
      <c r="F12" s="12" t="s">
        <v>25</v>
      </c>
      <c r="G12" s="13" t="s">
        <v>9</v>
      </c>
      <c r="H12" s="13" t="s">
        <v>75</v>
      </c>
      <c r="I12" s="13">
        <f>SUMIF(Mercado_Receita!$S$2:$S$553,"44440BGeraçãoNão se aplicaNão se aplicaTIPO 01Não se aplicaNão se aplica",Mercado_Receita!$J$2:$J$553)+SUMIF(Mercado_Receita!$S$2:$S$553,"44440BGeraçãoNão se aplicaNão se aplicaAPENão se aplicaNão se aplica",Mercado_Receita!$J$2:$J$553)</f>
        <v>0</v>
      </c>
      <c r="J12" s="13">
        <f>SUMIF(Mercado_Receita!$S$2:$S$553,"44470BGeraçãoNão se aplicaNão se aplicaTIPO 01Não se aplicaNão se aplica",Mercado_Receita!$J$2:$J$553)+SUMIF(Mercado_Receita!$S$2:$S$553,"44470BGeraçãoNão se aplicaNão se aplicaAPENão se aplicaNão se aplica",Mercado_Receita!$J$2:$J$553)</f>
        <v>0</v>
      </c>
      <c r="K12" s="13">
        <f>SUMIF(Mercado_Receita!$S$2:$S$553,"44501BGeraçãoNão se aplicaNão se aplicaTIPO 01Não se aplicaNão se aplica",Mercado_Receita!$J$2:$J$553)+SUMIF(Mercado_Receita!$S$2:$S$553,"44501BGeraçãoNão se aplicaNão se aplicaAPENão se aplicaNão se aplica",Mercado_Receita!$J$2:$J$553)</f>
        <v>0</v>
      </c>
      <c r="L12" s="13">
        <f>SUMIF(Mercado_Receita!$S$2:$S$553,"44531BGeraçãoNão se aplicaNão se aplicaTIPO 01Não se aplicaNão se aplica",Mercado_Receita!$J$2:$J$553)+SUMIF(Mercado_Receita!$S$2:$S$553,"44531BGeraçãoNão se aplicaNão se aplicaAPENão se aplicaNão se aplica",Mercado_Receita!$J$2:$J$553)</f>
        <v>0</v>
      </c>
      <c r="M12" s="13">
        <f>SUMIF(Mercado_Receita!$S$2:$S$553,"44562BGeraçãoNão se aplicaNão se aplicaTIPO 01Não se aplicaNão se aplica",Mercado_Receita!$J$2:$J$553)+SUMIF(Mercado_Receita!$S$2:$S$553,"44562BGeraçãoNão se aplicaNão se aplicaAPENão se aplicaNão se aplica",Mercado_Receita!$J$2:$J$553)</f>
        <v>0</v>
      </c>
      <c r="N12" s="13">
        <f>SUMIF(Mercado_Receita!$S$2:$S$553,"44593BGeraçãoNão se aplicaNão se aplicaTIPO 01Não se aplicaNão se aplica",Mercado_Receita!$J$2:$J$553)+SUMIF(Mercado_Receita!$S$2:$S$553,"44593BGeraçãoNão se aplicaNão se aplicaAPENão se aplicaNão se aplica",Mercado_Receita!$J$2:$J$553)</f>
        <v>0</v>
      </c>
      <c r="O12" s="13">
        <f>SUMIF(Mercado_Receita!$S$2:$S$553,"44621BGeraçãoNão se aplicaNão se aplicaTIPO 01Não se aplicaNão se aplica",Mercado_Receita!$J$2:$J$553)+SUMIF(Mercado_Receita!$S$2:$S$553,"44621BGeraçãoNão se aplicaNão se aplicaAPENão se aplicaNão se aplica",Mercado_Receita!$J$2:$J$553)</f>
        <v>0</v>
      </c>
      <c r="P12" s="13">
        <f>SUMIF(Mercado_Receita!$S$2:$S$553,"44652BGeraçãoNão se aplicaNão se aplicaTIPO 01Não se aplicaNão se aplica",Mercado_Receita!$J$2:$J$553)+SUMIF(Mercado_Receita!$S$2:$S$553,"44652BGeraçãoNão se aplicaNão se aplicaAPENão se aplicaNão se aplica",Mercado_Receita!$J$2:$J$553)</f>
        <v>0</v>
      </c>
      <c r="Q12" s="13">
        <f>SUMIF(Mercado_Receita!$S$2:$S$553,"44682BGeraçãoNão se aplicaNão se aplicaTIPO 01Não se aplicaNão se aplica",Mercado_Receita!$J$2:$J$553)+SUMIF(Mercado_Receita!$S$2:$S$553,"44682BGeraçãoNão se aplicaNão se aplicaAPENão se aplicaNão se aplica",Mercado_Receita!$J$2:$J$553)</f>
        <v>0</v>
      </c>
      <c r="R12" s="13">
        <f>SUMIF(Mercado_Receita!$S$2:$S$553,"44713BGeraçãoNão se aplicaNão se aplicaTIPO 01Não se aplicaNão se aplica",Mercado_Receita!$J$2:$J$553)+SUMIF(Mercado_Receita!$S$2:$S$553,"44713BGeraçãoNão se aplicaNão se aplicaAPENão se aplicaNão se aplica",Mercado_Receita!$J$2:$J$553)</f>
        <v>0</v>
      </c>
      <c r="S12" s="13">
        <f>SUMIF(Mercado_Receita!$S$2:$S$553,"44743BGeraçãoNão se aplicaNão se aplicaTIPO 01Não se aplicaNão se aplica",Mercado_Receita!$J$2:$J$553)+SUMIF(Mercado_Receita!$S$2:$S$553,"44743BGeraçãoNão se aplicaNão se aplicaAPENão se aplicaNão se aplica",Mercado_Receita!$J$2:$J$553)</f>
        <v>0</v>
      </c>
      <c r="T12" s="13">
        <f>SUMIF(Mercado_Receita!$S$2:$S$553,"44774BGeraçãoNão se aplicaNão se aplicaTIPO 01Não se aplicaNão se aplica",Mercado_Receita!$J$2:$J$553)+SUMIF(Mercado_Receita!$S$2:$S$553,"44774BGeraçãoNão se aplicaNão se aplicaAPENão se aplicaNão se aplica",Mercado_Receita!$J$2:$J$553)</f>
        <v>0</v>
      </c>
      <c r="U12" s="13">
        <f t="shared" si="0"/>
        <v>0</v>
      </c>
      <c r="V12" s="13"/>
      <c r="W12" s="13"/>
    </row>
    <row r="13" spans="1:30" ht="11.25" customHeight="1" x14ac:dyDescent="0.25">
      <c r="A13" s="80"/>
      <c r="B13" s="80"/>
      <c r="C13" s="80"/>
      <c r="D13" s="80"/>
      <c r="E13" s="12" t="s">
        <v>82</v>
      </c>
      <c r="F13" s="12" t="s">
        <v>25</v>
      </c>
      <c r="G13" s="13" t="s">
        <v>9</v>
      </c>
      <c r="H13" s="13" t="s">
        <v>75</v>
      </c>
      <c r="I13" s="13">
        <f>SUMIF(Mercado_Receita!$S$2:$S$553,"44440BGeraçãoNão se aplicaNão se aplicaTIPO 02Não se aplicaNão se aplica",Mercado_Receita!$J$2:$J$553)+SUMIF(Mercado_Receita!$S$2:$S$553,"44440BGeraçãoNão se aplicaNão se aplicaAPENão se aplicaNão se aplica",Mercado_Receita!$J$2:$J$553)</f>
        <v>0</v>
      </c>
      <c r="J13" s="13">
        <f>SUMIF(Mercado_Receita!$S$2:$S$553,"44470BGeraçãoNão se aplicaNão se aplicaTIPO 02Não se aplicaNão se aplica",Mercado_Receita!$J$2:$J$553)+SUMIF(Mercado_Receita!$S$2:$S$553,"44470BGeraçãoNão se aplicaNão se aplicaAPENão se aplicaNão se aplica",Mercado_Receita!$J$2:$J$553)</f>
        <v>0</v>
      </c>
      <c r="K13" s="13">
        <f>SUMIF(Mercado_Receita!$S$2:$S$553,"44501BGeraçãoNão se aplicaNão se aplicaTIPO 02Não se aplicaNão se aplica",Mercado_Receita!$J$2:$J$553)+SUMIF(Mercado_Receita!$S$2:$S$553,"44501BGeraçãoNão se aplicaNão se aplicaAPENão se aplicaNão se aplica",Mercado_Receita!$J$2:$J$553)</f>
        <v>0</v>
      </c>
      <c r="L13" s="13">
        <f>SUMIF(Mercado_Receita!$S$2:$S$553,"44531BGeraçãoNão se aplicaNão se aplicaTIPO 02Não se aplicaNão se aplica",Mercado_Receita!$J$2:$J$553)+SUMIF(Mercado_Receita!$S$2:$S$553,"44531BGeraçãoNão se aplicaNão se aplicaAPENão se aplicaNão se aplica",Mercado_Receita!$J$2:$J$553)</f>
        <v>0</v>
      </c>
      <c r="M13" s="13">
        <f>SUMIF(Mercado_Receita!$S$2:$S$553,"44562BGeraçãoNão se aplicaNão se aplicaTIPO 02Não se aplicaNão se aplica",Mercado_Receita!$J$2:$J$553)+SUMIF(Mercado_Receita!$S$2:$S$553,"44562BGeraçãoNão se aplicaNão se aplicaAPENão se aplicaNão se aplica",Mercado_Receita!$J$2:$J$553)</f>
        <v>0</v>
      </c>
      <c r="N13" s="13">
        <f>SUMIF(Mercado_Receita!$S$2:$S$553,"44593BGeraçãoNão se aplicaNão se aplicaTIPO 02Não se aplicaNão se aplica",Mercado_Receita!$J$2:$J$553)+SUMIF(Mercado_Receita!$S$2:$S$553,"44593BGeraçãoNão se aplicaNão se aplicaAPENão se aplicaNão se aplica",Mercado_Receita!$J$2:$J$553)</f>
        <v>0</v>
      </c>
      <c r="O13" s="13">
        <f>SUMIF(Mercado_Receita!$S$2:$S$553,"44621BGeraçãoNão se aplicaNão se aplicaTIPO 02Não se aplicaNão se aplica",Mercado_Receita!$J$2:$J$553)+SUMIF(Mercado_Receita!$S$2:$S$553,"44621BGeraçãoNão se aplicaNão se aplicaAPENão se aplicaNão se aplica",Mercado_Receita!$J$2:$J$553)</f>
        <v>0</v>
      </c>
      <c r="P13" s="13">
        <f>SUMIF(Mercado_Receita!$S$2:$S$553,"44652BGeraçãoNão se aplicaNão se aplicaTIPO 02Não se aplicaNão se aplica",Mercado_Receita!$J$2:$J$553)+SUMIF(Mercado_Receita!$S$2:$S$553,"44652BGeraçãoNão se aplicaNão se aplicaAPENão se aplicaNão se aplica",Mercado_Receita!$J$2:$J$553)</f>
        <v>0</v>
      </c>
      <c r="Q13" s="13">
        <f>SUMIF(Mercado_Receita!$S$2:$S$553,"44682BGeraçãoNão se aplicaNão se aplicaTIPO 02Não se aplicaNão se aplica",Mercado_Receita!$J$2:$J$553)+SUMIF(Mercado_Receita!$S$2:$S$553,"44682BGeraçãoNão se aplicaNão se aplicaAPENão se aplicaNão se aplica",Mercado_Receita!$J$2:$J$553)</f>
        <v>0</v>
      </c>
      <c r="R13" s="13">
        <f>SUMIF(Mercado_Receita!$S$2:$S$553,"44713BGeraçãoNão se aplicaNão se aplicaTIPO 02Não se aplicaNão se aplica",Mercado_Receita!$J$2:$J$553)+SUMIF(Mercado_Receita!$S$2:$S$553,"44713BGeraçãoNão se aplicaNão se aplicaAPENão se aplicaNão se aplica",Mercado_Receita!$J$2:$J$553)</f>
        <v>0</v>
      </c>
      <c r="S13" s="13">
        <f>SUMIF(Mercado_Receita!$S$2:$S$553,"44743BGeraçãoNão se aplicaNão se aplicaTIPO 02Não se aplicaNão se aplica",Mercado_Receita!$J$2:$J$553)+SUMIF(Mercado_Receita!$S$2:$S$553,"44743BGeraçãoNão se aplicaNão se aplicaAPENão se aplicaNão se aplica",Mercado_Receita!$J$2:$J$553)</f>
        <v>0</v>
      </c>
      <c r="T13" s="13">
        <f>SUMIF(Mercado_Receita!$S$2:$S$553,"44774BGeraçãoNão se aplicaNão se aplicaTIPO 02Não se aplicaNão se aplica",Mercado_Receita!$J$2:$J$553)+SUMIF(Mercado_Receita!$S$2:$S$553,"44774BGeraçãoNão se aplicaNão se aplicaAPENão se aplicaNão se aplica",Mercado_Receita!$J$2:$J$553)</f>
        <v>0</v>
      </c>
      <c r="U13" s="13">
        <f t="shared" si="0"/>
        <v>0</v>
      </c>
      <c r="V13" s="13"/>
      <c r="W13" s="13"/>
    </row>
    <row r="14" spans="1:30" ht="11.25" customHeight="1" x14ac:dyDescent="0.25">
      <c r="A14" s="79" t="s">
        <v>22</v>
      </c>
      <c r="B14" s="79" t="s">
        <v>85</v>
      </c>
      <c r="C14" s="79" t="s">
        <v>24</v>
      </c>
      <c r="D14" s="79" t="s">
        <v>24</v>
      </c>
      <c r="E14" s="79" t="s">
        <v>25</v>
      </c>
      <c r="F14" s="79" t="s">
        <v>25</v>
      </c>
      <c r="G14" s="13" t="s">
        <v>73</v>
      </c>
      <c r="H14" s="13" t="s">
        <v>72</v>
      </c>
      <c r="I14" s="13">
        <f>SUMIF(Mercado_Receita!$S$2:$S$553,"44440B1BrancaResidencialResidencialNão se aplicaNão se aplicaPonta",Mercado_Receita!$L$2:$L$553)</f>
        <v>0</v>
      </c>
      <c r="J14" s="13">
        <f>SUMIF(Mercado_Receita!$S$2:$S$553,"44470B1BrancaResidencialResidencialNão se aplicaNão se aplicaPonta",Mercado_Receita!$L$2:$L$553)</f>
        <v>0</v>
      </c>
      <c r="K14" s="13">
        <f>SUMIF(Mercado_Receita!$S$2:$S$553,"44501B1BrancaResidencialResidencialNão se aplicaNão se aplicaPonta",Mercado_Receita!$L$2:$L$553)</f>
        <v>0</v>
      </c>
      <c r="L14" s="13">
        <f>SUMIF(Mercado_Receita!$S$2:$S$553,"44531B1BrancaResidencialResidencialNão se aplicaNão se aplicaPonta",Mercado_Receita!$L$2:$L$553)</f>
        <v>0</v>
      </c>
      <c r="M14" s="13">
        <f>SUMIF(Mercado_Receita!$S$2:$S$553,"44562B1BrancaResidencialResidencialNão se aplicaNão se aplicaPonta",Mercado_Receita!$L$2:$L$553)</f>
        <v>0</v>
      </c>
      <c r="N14" s="13">
        <f>SUMIF(Mercado_Receita!$S$2:$S$553,"44593B1BrancaResidencialResidencialNão se aplicaNão se aplicaPonta",Mercado_Receita!$L$2:$L$553)</f>
        <v>0</v>
      </c>
      <c r="O14" s="13">
        <f>SUMIF(Mercado_Receita!$S$2:$S$553,"44621B1BrancaResidencialResidencialNão se aplicaNão se aplicaPonta",Mercado_Receita!$L$2:$L$553)</f>
        <v>0</v>
      </c>
      <c r="P14" s="13">
        <f>SUMIF(Mercado_Receita!$S$2:$S$553,"44652B1BrancaResidencialResidencialNão se aplicaNão se aplicaPonta",Mercado_Receita!$L$2:$L$553)</f>
        <v>0</v>
      </c>
      <c r="Q14" s="13">
        <f>SUMIF(Mercado_Receita!$S$2:$S$553,"44682B1BrancaResidencialResidencialNão se aplicaNão se aplicaPonta",Mercado_Receita!$L$2:$L$553)</f>
        <v>0</v>
      </c>
      <c r="R14" s="13">
        <f>SUMIF(Mercado_Receita!$S$2:$S$553,"44713B1BrancaResidencialResidencialNão se aplicaNão se aplicaPonta",Mercado_Receita!$L$2:$L$553)</f>
        <v>0</v>
      </c>
      <c r="S14" s="13">
        <f>SUMIF(Mercado_Receita!$S$2:$S$553,"44743B1BrancaResidencialResidencialNão se aplicaNão se aplicaPonta",Mercado_Receita!$L$2:$L$553)</f>
        <v>0</v>
      </c>
      <c r="T14" s="13">
        <f>SUMIF(Mercado_Receita!$S$2:$S$553,"44774B1BrancaResidencialResidencialNão se aplicaNão se aplicaPonta",Mercado_Receita!$L$2:$L$553)</f>
        <v>0</v>
      </c>
      <c r="U14" s="13">
        <f t="shared" si="0"/>
        <v>0</v>
      </c>
      <c r="V14" s="13"/>
      <c r="W14" s="13"/>
    </row>
    <row r="15" spans="1:30" ht="11.25" customHeight="1" x14ac:dyDescent="0.25">
      <c r="A15" s="80"/>
      <c r="B15" s="80"/>
      <c r="C15" s="80"/>
      <c r="D15" s="80"/>
      <c r="E15" s="80"/>
      <c r="F15" s="80"/>
      <c r="G15" s="13" t="s">
        <v>83</v>
      </c>
      <c r="H15" s="13" t="s">
        <v>72</v>
      </c>
      <c r="I15" s="13">
        <f>SUMIF(Mercado_Receita!$S$2:$S$553,"44440B1BrancaResidencialResidencialNão se aplicaNão se aplicaIntermediário",Mercado_Receita!$L$2:$L$553)</f>
        <v>0</v>
      </c>
      <c r="J15" s="13">
        <f>SUMIF(Mercado_Receita!$S$2:$S$553,"44470B1BrancaResidencialResidencialNão se aplicaNão se aplicaIntermediário",Mercado_Receita!$L$2:$L$553)</f>
        <v>0</v>
      </c>
      <c r="K15" s="13">
        <f>SUMIF(Mercado_Receita!$S$2:$S$553,"44501B1BrancaResidencialResidencialNão se aplicaNão se aplicaIntermediário",Mercado_Receita!$L$2:$L$553)</f>
        <v>0</v>
      </c>
      <c r="L15" s="13">
        <f>SUMIF(Mercado_Receita!$S$2:$S$553,"44531B1BrancaResidencialResidencialNão se aplicaNão se aplicaIntermediário",Mercado_Receita!$L$2:$L$553)</f>
        <v>0</v>
      </c>
      <c r="M15" s="13">
        <f>SUMIF(Mercado_Receita!$S$2:$S$553,"44562B1BrancaResidencialResidencialNão se aplicaNão se aplicaIntermediário",Mercado_Receita!$L$2:$L$553)</f>
        <v>0</v>
      </c>
      <c r="N15" s="13">
        <f>SUMIF(Mercado_Receita!$S$2:$S$553,"44593B1BrancaResidencialResidencialNão se aplicaNão se aplicaIntermediário",Mercado_Receita!$L$2:$L$553)</f>
        <v>0</v>
      </c>
      <c r="O15" s="13">
        <f>SUMIF(Mercado_Receita!$S$2:$S$553,"44621B1BrancaResidencialResidencialNão se aplicaNão se aplicaIntermediário",Mercado_Receita!$L$2:$L$553)</f>
        <v>0</v>
      </c>
      <c r="P15" s="13">
        <f>SUMIF(Mercado_Receita!$S$2:$S$553,"44652B1BrancaResidencialResidencialNão se aplicaNão se aplicaIntermediário",Mercado_Receita!$L$2:$L$553)</f>
        <v>0</v>
      </c>
      <c r="Q15" s="13">
        <f>SUMIF(Mercado_Receita!$S$2:$S$553,"44682B1BrancaResidencialResidencialNão se aplicaNão se aplicaIntermediário",Mercado_Receita!$L$2:$L$553)</f>
        <v>0</v>
      </c>
      <c r="R15" s="13">
        <f>SUMIF(Mercado_Receita!$S$2:$S$553,"44713B1BrancaResidencialResidencialNão se aplicaNão se aplicaIntermediário",Mercado_Receita!$L$2:$L$553)</f>
        <v>0</v>
      </c>
      <c r="S15" s="13">
        <f>SUMIF(Mercado_Receita!$S$2:$S$553,"44743B1BrancaResidencialResidencialNão se aplicaNão se aplicaIntermediário",Mercado_Receita!$L$2:$L$553)</f>
        <v>0</v>
      </c>
      <c r="T15" s="13">
        <f>SUMIF(Mercado_Receita!$S$2:$S$553,"44774B1BrancaResidencialResidencialNão se aplicaNão se aplicaIntermediário",Mercado_Receita!$L$2:$L$553)</f>
        <v>0</v>
      </c>
      <c r="U15" s="13">
        <f t="shared" si="0"/>
        <v>0</v>
      </c>
      <c r="V15" s="13"/>
      <c r="W15" s="13"/>
    </row>
    <row r="16" spans="1:30" ht="11.25" customHeight="1" x14ac:dyDescent="0.25">
      <c r="A16" s="80"/>
      <c r="B16" s="80"/>
      <c r="C16" s="80"/>
      <c r="D16" s="80"/>
      <c r="E16" s="80"/>
      <c r="F16" s="80"/>
      <c r="G16" s="13" t="s">
        <v>74</v>
      </c>
      <c r="H16" s="13" t="s">
        <v>72</v>
      </c>
      <c r="I16" s="13">
        <f>SUMIF(Mercado_Receita!$S$2:$S$553,"44440B1BrancaResidencialResidencialNão se aplicaNão se aplicaFora ponta",Mercado_Receita!$L$2:$L$553)</f>
        <v>0</v>
      </c>
      <c r="J16" s="13">
        <f>SUMIF(Mercado_Receita!$S$2:$S$553,"44470B1BrancaResidencialResidencialNão se aplicaNão se aplicaFora ponta",Mercado_Receita!$L$2:$L$553)</f>
        <v>0</v>
      </c>
      <c r="K16" s="13">
        <f>SUMIF(Mercado_Receita!$S$2:$S$553,"44501B1BrancaResidencialResidencialNão se aplicaNão se aplicaFora ponta",Mercado_Receita!$L$2:$L$553)</f>
        <v>0</v>
      </c>
      <c r="L16" s="13">
        <f>SUMIF(Mercado_Receita!$S$2:$S$553,"44531B1BrancaResidencialResidencialNão se aplicaNão se aplicaFora ponta",Mercado_Receita!$L$2:$L$553)</f>
        <v>0</v>
      </c>
      <c r="M16" s="13">
        <f>SUMIF(Mercado_Receita!$S$2:$S$553,"44562B1BrancaResidencialResidencialNão se aplicaNão se aplicaFora ponta",Mercado_Receita!$L$2:$L$553)</f>
        <v>0</v>
      </c>
      <c r="N16" s="13">
        <f>SUMIF(Mercado_Receita!$S$2:$S$553,"44593B1BrancaResidencialResidencialNão se aplicaNão se aplicaFora ponta",Mercado_Receita!$L$2:$L$553)</f>
        <v>0</v>
      </c>
      <c r="O16" s="13">
        <f>SUMIF(Mercado_Receita!$S$2:$S$553,"44621B1BrancaResidencialResidencialNão se aplicaNão se aplicaFora ponta",Mercado_Receita!$L$2:$L$553)</f>
        <v>0</v>
      </c>
      <c r="P16" s="13">
        <f>SUMIF(Mercado_Receita!$S$2:$S$553,"44652B1BrancaResidencialResidencialNão se aplicaNão se aplicaFora ponta",Mercado_Receita!$L$2:$L$553)</f>
        <v>0</v>
      </c>
      <c r="Q16" s="13">
        <f>SUMIF(Mercado_Receita!$S$2:$S$553,"44682B1BrancaResidencialResidencialNão se aplicaNão se aplicaFora ponta",Mercado_Receita!$L$2:$L$553)</f>
        <v>0</v>
      </c>
      <c r="R16" s="13">
        <f>SUMIF(Mercado_Receita!$S$2:$S$553,"44713B1BrancaResidencialResidencialNão se aplicaNão se aplicaFora ponta",Mercado_Receita!$L$2:$L$553)</f>
        <v>0</v>
      </c>
      <c r="S16" s="13">
        <f>SUMIF(Mercado_Receita!$S$2:$S$553,"44743B1BrancaResidencialResidencialNão se aplicaNão se aplicaFora ponta",Mercado_Receita!$L$2:$L$553)</f>
        <v>0</v>
      </c>
      <c r="T16" s="13">
        <f>SUMIF(Mercado_Receita!$S$2:$S$553,"44774B1BrancaResidencialResidencialNão se aplicaNão se aplicaFora ponta",Mercado_Receita!$L$2:$L$553)</f>
        <v>0</v>
      </c>
      <c r="U16" s="13">
        <f t="shared" si="0"/>
        <v>0</v>
      </c>
      <c r="V16" s="13"/>
      <c r="W16" s="13"/>
    </row>
    <row r="17" spans="1:23" ht="11.25" customHeight="1" x14ac:dyDescent="0.25">
      <c r="A17" s="80"/>
      <c r="B17" s="79" t="s">
        <v>23</v>
      </c>
      <c r="C17" s="79" t="s">
        <v>24</v>
      </c>
      <c r="D17" s="12" t="s">
        <v>24</v>
      </c>
      <c r="E17" s="12" t="s">
        <v>25</v>
      </c>
      <c r="F17" s="12" t="s">
        <v>25</v>
      </c>
      <c r="G17" s="13" t="s">
        <v>78</v>
      </c>
      <c r="H17" s="13" t="s">
        <v>72</v>
      </c>
      <c r="I17" s="13">
        <f>SUMIF(Mercado_Receita!$S$2:$S$553,"44440B1ConvencionalResidencialResidencialNão se aplicaNão se aplicaPonta",Mercado_Receita!$L$2:$L$553)+SUMIF(Mercado_Receita!$S$2:$S$553,"44440B1ConvencionalResidencialResidencialNão se aplicaNão se aplicaFora ponta",Mercado_Receita!$L$2:$L$553)+SUMIF(Mercado_Receita!$S$2:$S$553,"44440B1ConvencionalResidencialResidencialNão se aplicaNão se aplicaIntermediário",Mercado_Receita!$L$2:$L$553)+SUMIF(Mercado_Receita!$S$2:$S$553,"44440B1ConvencionalResidencialResidencialNão se aplicaNão se aplicaNão se aplica",Mercado_Receita!$L$2:$L$553)</f>
        <v>763.48900000000003</v>
      </c>
      <c r="J17" s="13">
        <f>SUMIF(Mercado_Receita!$S$2:$S$553,"44470B1ConvencionalResidencialResidencialNão se aplicaNão se aplicaPonta",Mercado_Receita!$L$2:$L$553)+SUMIF(Mercado_Receita!$S$2:$S$553,"44470B1ConvencionalResidencialResidencialNão se aplicaNão se aplicaFora ponta",Mercado_Receita!$L$2:$L$553)+SUMIF(Mercado_Receita!$S$2:$S$553,"44470B1ConvencionalResidencialResidencialNão se aplicaNão se aplicaIntermediário",Mercado_Receita!$L$2:$L$553)+SUMIF(Mercado_Receita!$S$2:$S$553,"44470B1ConvencionalResidencialResidencialNão se aplicaNão se aplicaNão se aplica",Mercado_Receita!$L$2:$L$553)</f>
        <v>793.32799999999997</v>
      </c>
      <c r="K17" s="13">
        <f>SUMIF(Mercado_Receita!$S$2:$S$553,"44501B1ConvencionalResidencialResidencialNão se aplicaNão se aplicaPonta",Mercado_Receita!$L$2:$L$553)+SUMIF(Mercado_Receita!$S$2:$S$553,"44501B1ConvencionalResidencialResidencialNão se aplicaNão se aplicaFora ponta",Mercado_Receita!$L$2:$L$553)+SUMIF(Mercado_Receita!$S$2:$S$553,"44501B1ConvencionalResidencialResidencialNão se aplicaNão se aplicaIntermediário",Mercado_Receita!$L$2:$L$553)+SUMIF(Mercado_Receita!$S$2:$S$553,"44501B1ConvencionalResidencialResidencialNão se aplicaNão se aplicaNão se aplica",Mercado_Receita!$L$2:$L$553)</f>
        <v>781.78700000000003</v>
      </c>
      <c r="L17" s="13">
        <f>SUMIF(Mercado_Receita!$S$2:$S$553,"44531B1ConvencionalResidencialResidencialNão se aplicaNão se aplicaPonta",Mercado_Receita!$L$2:$L$553)+SUMIF(Mercado_Receita!$S$2:$S$553,"44531B1ConvencionalResidencialResidencialNão se aplicaNão se aplicaFora ponta",Mercado_Receita!$L$2:$L$553)+SUMIF(Mercado_Receita!$S$2:$S$553,"44531B1ConvencionalResidencialResidencialNão se aplicaNão se aplicaIntermediário",Mercado_Receita!$L$2:$L$553)+SUMIF(Mercado_Receita!$S$2:$S$553,"44531B1ConvencionalResidencialResidencialNão se aplicaNão se aplicaNão se aplica",Mercado_Receita!$L$2:$L$553)</f>
        <v>1086.453</v>
      </c>
      <c r="M17" s="13">
        <f>SUMIF(Mercado_Receita!$S$2:$S$553,"44562B1ConvencionalResidencialResidencialNão se aplicaNão se aplicaPonta",Mercado_Receita!$L$2:$L$553)+SUMIF(Mercado_Receita!$S$2:$S$553,"44562B1ConvencionalResidencialResidencialNão se aplicaNão se aplicaFora ponta",Mercado_Receita!$L$2:$L$553)+SUMIF(Mercado_Receita!$S$2:$S$553,"44562B1ConvencionalResidencialResidencialNão se aplicaNão se aplicaIntermediário",Mercado_Receita!$L$2:$L$553)+SUMIF(Mercado_Receita!$S$2:$S$553,"44562B1ConvencionalResidencialResidencialNão se aplicaNão se aplicaNão se aplica",Mercado_Receita!$L$2:$L$553)</f>
        <v>1200.2190000000001</v>
      </c>
      <c r="N17" s="13">
        <f>SUMIF(Mercado_Receita!$S$2:$S$553,"44593B1ConvencionalResidencialResidencialNão se aplicaNão se aplicaPonta",Mercado_Receita!$L$2:$L$553)+SUMIF(Mercado_Receita!$S$2:$S$553,"44593B1ConvencionalResidencialResidencialNão se aplicaNão se aplicaFora ponta",Mercado_Receita!$L$2:$L$553)+SUMIF(Mercado_Receita!$S$2:$S$553,"44593B1ConvencionalResidencialResidencialNão se aplicaNão se aplicaIntermediário",Mercado_Receita!$L$2:$L$553)+SUMIF(Mercado_Receita!$S$2:$S$553,"44593B1ConvencionalResidencialResidencialNão se aplicaNão se aplicaNão se aplica",Mercado_Receita!$L$2:$L$553)</f>
        <v>1181.886</v>
      </c>
      <c r="O17" s="13">
        <f>SUMIF(Mercado_Receita!$S$2:$S$553,"44621B1ConvencionalResidencialResidencialNão se aplicaNão se aplicaPonta",Mercado_Receita!$L$2:$L$553)+SUMIF(Mercado_Receita!$S$2:$S$553,"44621B1ConvencionalResidencialResidencialNão se aplicaNão se aplicaFora ponta",Mercado_Receita!$L$2:$L$553)+SUMIF(Mercado_Receita!$S$2:$S$553,"44621B1ConvencionalResidencialResidencialNão se aplicaNão se aplicaIntermediário",Mercado_Receita!$L$2:$L$553)+SUMIF(Mercado_Receita!$S$2:$S$553,"44621B1ConvencionalResidencialResidencialNão se aplicaNão se aplicaNão se aplica",Mercado_Receita!$L$2:$L$553)</f>
        <v>1083.037</v>
      </c>
      <c r="P17" s="13">
        <f>SUMIF(Mercado_Receita!$S$2:$S$553,"44652B1ConvencionalResidencialResidencialNão se aplicaNão se aplicaPonta",Mercado_Receita!$L$2:$L$553)+SUMIF(Mercado_Receita!$S$2:$S$553,"44652B1ConvencionalResidencialResidencialNão se aplicaNão se aplicaFora ponta",Mercado_Receita!$L$2:$L$553)+SUMIF(Mercado_Receita!$S$2:$S$553,"44652B1ConvencionalResidencialResidencialNão se aplicaNão se aplicaIntermediário",Mercado_Receita!$L$2:$L$553)+SUMIF(Mercado_Receita!$S$2:$S$553,"44652B1ConvencionalResidencialResidencialNão se aplicaNão se aplicaNão se aplica",Mercado_Receita!$L$2:$L$553)</f>
        <v>986.73099999999999</v>
      </c>
      <c r="Q17" s="13">
        <f>SUMIF(Mercado_Receita!$S$2:$S$553,"44682B1ConvencionalResidencialResidencialNão se aplicaNão se aplicaPonta",Mercado_Receita!$L$2:$L$553)+SUMIF(Mercado_Receita!$S$2:$S$553,"44682B1ConvencionalResidencialResidencialNão se aplicaNão se aplicaFora ponta",Mercado_Receita!$L$2:$L$553)+SUMIF(Mercado_Receita!$S$2:$S$553,"44682B1ConvencionalResidencialResidencialNão se aplicaNão se aplicaIntermediário",Mercado_Receita!$L$2:$L$553)+SUMIF(Mercado_Receita!$S$2:$S$553,"44682B1ConvencionalResidencialResidencialNão se aplicaNão se aplicaNão se aplica",Mercado_Receita!$L$2:$L$553)</f>
        <v>959.15</v>
      </c>
      <c r="R17" s="13">
        <f>SUMIF(Mercado_Receita!$S$2:$S$553,"44713B1ConvencionalResidencialResidencialNão se aplicaNão se aplicaPonta",Mercado_Receita!$L$2:$L$553)+SUMIF(Mercado_Receita!$S$2:$S$553,"44713B1ConvencionalResidencialResidencialNão se aplicaNão se aplicaFora ponta",Mercado_Receita!$L$2:$L$553)+SUMIF(Mercado_Receita!$S$2:$S$553,"44713B1ConvencionalResidencialResidencialNão se aplicaNão se aplicaIntermediário",Mercado_Receita!$L$2:$L$553)+SUMIF(Mercado_Receita!$S$2:$S$553,"44713B1ConvencionalResidencialResidencialNão se aplicaNão se aplicaNão se aplica",Mercado_Receita!$L$2:$L$553)</f>
        <v>977.56000000000006</v>
      </c>
      <c r="S17" s="13">
        <f>SUMIF(Mercado_Receita!$S$2:$S$553,"44743B1ConvencionalResidencialResidencialNão se aplicaNão se aplicaPonta",Mercado_Receita!$L$2:$L$553)+SUMIF(Mercado_Receita!$S$2:$S$553,"44743B1ConvencionalResidencialResidencialNão se aplicaNão se aplicaFora ponta",Mercado_Receita!$L$2:$L$553)+SUMIF(Mercado_Receita!$S$2:$S$553,"44743B1ConvencionalResidencialResidencialNão se aplicaNão se aplicaIntermediário",Mercado_Receita!$L$2:$L$553)+SUMIF(Mercado_Receita!$S$2:$S$553,"44743B1ConvencionalResidencialResidencialNão se aplicaNão se aplicaNão se aplica",Mercado_Receita!$L$2:$L$553)</f>
        <v>963.84799999999996</v>
      </c>
      <c r="T17" s="13">
        <f>SUMIF(Mercado_Receita!$S$2:$S$553,"44774B1ConvencionalResidencialResidencialNão se aplicaNão se aplicaPonta",Mercado_Receita!$L$2:$L$553)+SUMIF(Mercado_Receita!$S$2:$S$553,"44774B1ConvencionalResidencialResidencialNão se aplicaNão se aplicaFora ponta",Mercado_Receita!$L$2:$L$553)+SUMIF(Mercado_Receita!$S$2:$S$553,"44774B1ConvencionalResidencialResidencialNão se aplicaNão se aplicaIntermediário",Mercado_Receita!$L$2:$L$553)+SUMIF(Mercado_Receita!$S$2:$S$553,"44774B1ConvencionalResidencialResidencialNão se aplicaNão se aplicaNão se aplica",Mercado_Receita!$L$2:$L$553)</f>
        <v>917.28399999999999</v>
      </c>
      <c r="U17" s="13">
        <f t="shared" si="0"/>
        <v>11694.771999999999</v>
      </c>
      <c r="V17" s="13"/>
      <c r="W17" s="13"/>
    </row>
    <row r="18" spans="1:23" ht="11.25" customHeight="1" x14ac:dyDescent="0.25">
      <c r="A18" s="80"/>
      <c r="B18" s="80"/>
      <c r="C18" s="80"/>
      <c r="D18" s="12" t="s">
        <v>29</v>
      </c>
      <c r="E18" s="12" t="s">
        <v>25</v>
      </c>
      <c r="F18" s="12" t="s">
        <v>25</v>
      </c>
      <c r="G18" s="13" t="s">
        <v>78</v>
      </c>
      <c r="H18" s="13" t="s">
        <v>72</v>
      </c>
      <c r="I18" s="13">
        <f>SUMIF(Mercado_Receita!$S$2:$S$553,"44440B1ConvencionalResidencialResidencial baixa renda – faixa 01Não se aplicaNão se aplicaPonta",Mercado_Receita!$L$2:$L$553)+SUMIF(Mercado_Receita!$S$2:$S$553,"44440B1ConvencionalResidencialResidencial baixa renda – faixa 01Não se aplicaNão se aplicaFora ponta",Mercado_Receita!$L$2:$L$553)+SUMIF(Mercado_Receita!$S$2:$S$553,"44440B1ConvencionalResidencialResidencial baixa renda – faixa 01Não se aplicaNão se aplicaIntermediário",Mercado_Receita!$L$2:$L$553)+SUMIF(Mercado_Receita!$S$2:$S$553,"44440B1ConvencionalResidencialResidencial baixa renda – faixa 01Não se aplicaNão se aplicaNão se aplica",Mercado_Receita!$L$2:$L$553)</f>
        <v>1.0249999999999999</v>
      </c>
      <c r="J18" s="13">
        <f>SUMIF(Mercado_Receita!$S$2:$S$553,"44470B1ConvencionalResidencialResidencial baixa renda – faixa 01Não se aplicaNão se aplicaPonta",Mercado_Receita!$L$2:$L$553)+SUMIF(Mercado_Receita!$S$2:$S$553,"44470B1ConvencionalResidencialResidencial baixa renda – faixa 01Não se aplicaNão se aplicaFora ponta",Mercado_Receita!$L$2:$L$553)+SUMIF(Mercado_Receita!$S$2:$S$553,"44470B1ConvencionalResidencialResidencial baixa renda – faixa 01Não se aplicaNão se aplicaIntermediário",Mercado_Receita!$L$2:$L$553)+SUMIF(Mercado_Receita!$S$2:$S$553,"44470B1ConvencionalResidencialResidencial baixa renda – faixa 01Não se aplicaNão se aplicaNão se aplica",Mercado_Receita!$L$2:$L$553)</f>
        <v>1.05</v>
      </c>
      <c r="K18" s="13">
        <f>SUMIF(Mercado_Receita!$S$2:$S$553,"44501B1ConvencionalResidencialResidencial baixa renda – faixa 01Não se aplicaNão se aplicaPonta",Mercado_Receita!$L$2:$L$553)+SUMIF(Mercado_Receita!$S$2:$S$553,"44501B1ConvencionalResidencialResidencial baixa renda – faixa 01Não se aplicaNão se aplicaFora ponta",Mercado_Receita!$L$2:$L$553)+SUMIF(Mercado_Receita!$S$2:$S$553,"44501B1ConvencionalResidencialResidencial baixa renda – faixa 01Não se aplicaNão se aplicaIntermediário",Mercado_Receita!$L$2:$L$553)+SUMIF(Mercado_Receita!$S$2:$S$553,"44501B1ConvencionalResidencialResidencial baixa renda – faixa 01Não se aplicaNão se aplicaNão se aplica",Mercado_Receita!$L$2:$L$553)</f>
        <v>1.1399999999999999</v>
      </c>
      <c r="L18" s="13">
        <f>SUMIF(Mercado_Receita!$S$2:$S$553,"44531B1ConvencionalResidencialResidencial baixa renda – faixa 01Não se aplicaNão se aplicaPonta",Mercado_Receita!$L$2:$L$553)+SUMIF(Mercado_Receita!$S$2:$S$553,"44531B1ConvencionalResidencialResidencial baixa renda – faixa 01Não se aplicaNão se aplicaFora ponta",Mercado_Receita!$L$2:$L$553)+SUMIF(Mercado_Receita!$S$2:$S$553,"44531B1ConvencionalResidencialResidencial baixa renda – faixa 01Não se aplicaNão se aplicaIntermediário",Mercado_Receita!$L$2:$L$553)+SUMIF(Mercado_Receita!$S$2:$S$553,"44531B1ConvencionalResidencialResidencial baixa renda – faixa 01Não se aplicaNão se aplicaNão se aplica",Mercado_Receita!$L$2:$L$553)</f>
        <v>1.1399999999999999</v>
      </c>
      <c r="M18" s="13">
        <f>SUMIF(Mercado_Receita!$S$2:$S$553,"44562B1ConvencionalResidencialResidencial baixa renda – faixa 01Não se aplicaNão se aplicaPonta",Mercado_Receita!$L$2:$L$553)+SUMIF(Mercado_Receita!$S$2:$S$553,"44562B1ConvencionalResidencialResidencial baixa renda – faixa 01Não se aplicaNão se aplicaFora ponta",Mercado_Receita!$L$2:$L$553)+SUMIF(Mercado_Receita!$S$2:$S$553,"44562B1ConvencionalResidencialResidencial baixa renda – faixa 01Não se aplicaNão se aplicaIntermediário",Mercado_Receita!$L$2:$L$553)+SUMIF(Mercado_Receita!$S$2:$S$553,"44562B1ConvencionalResidencialResidencial baixa renda – faixa 01Não se aplicaNão se aplicaNão se aplica",Mercado_Receita!$L$2:$L$553)</f>
        <v>1.17</v>
      </c>
      <c r="N18" s="13">
        <f>SUMIF(Mercado_Receita!$S$2:$S$553,"44593B1ConvencionalResidencialResidencial baixa renda – faixa 01Não se aplicaNão se aplicaPonta",Mercado_Receita!$L$2:$L$553)+SUMIF(Mercado_Receita!$S$2:$S$553,"44593B1ConvencionalResidencialResidencial baixa renda – faixa 01Não se aplicaNão se aplicaFora ponta",Mercado_Receita!$L$2:$L$553)+SUMIF(Mercado_Receita!$S$2:$S$553,"44593B1ConvencionalResidencialResidencial baixa renda – faixa 01Não se aplicaNão se aplicaIntermediário",Mercado_Receita!$L$2:$L$553)+SUMIF(Mercado_Receita!$S$2:$S$553,"44593B1ConvencionalResidencialResidencial baixa renda – faixa 01Não se aplicaNão se aplicaNão se aplica",Mercado_Receita!$L$2:$L$553)</f>
        <v>2.2599999999999998</v>
      </c>
      <c r="O18" s="13">
        <f>SUMIF(Mercado_Receita!$S$2:$S$553,"44621B1ConvencionalResidencialResidencial baixa renda – faixa 01Não se aplicaNão se aplicaPonta",Mercado_Receita!$L$2:$L$553)+SUMIF(Mercado_Receita!$S$2:$S$553,"44621B1ConvencionalResidencialResidencial baixa renda – faixa 01Não se aplicaNão se aplicaFora ponta",Mercado_Receita!$L$2:$L$553)+SUMIF(Mercado_Receita!$S$2:$S$553,"44621B1ConvencionalResidencialResidencial baixa renda – faixa 01Não se aplicaNão se aplicaIntermediário",Mercado_Receita!$L$2:$L$553)+SUMIF(Mercado_Receita!$S$2:$S$553,"44621B1ConvencionalResidencialResidencial baixa renda – faixa 01Não se aplicaNão se aplicaNão se aplica",Mercado_Receita!$L$2:$L$553)</f>
        <v>2.34</v>
      </c>
      <c r="P18" s="13">
        <f>SUMIF(Mercado_Receita!$S$2:$S$553,"44652B1ConvencionalResidencialResidencial baixa renda – faixa 01Não se aplicaNão se aplicaPonta",Mercado_Receita!$L$2:$L$553)+SUMIF(Mercado_Receita!$S$2:$S$553,"44652B1ConvencionalResidencialResidencial baixa renda – faixa 01Não se aplicaNão se aplicaFora ponta",Mercado_Receita!$L$2:$L$553)+SUMIF(Mercado_Receita!$S$2:$S$553,"44652B1ConvencionalResidencialResidencial baixa renda – faixa 01Não se aplicaNão se aplicaIntermediário",Mercado_Receita!$L$2:$L$553)+SUMIF(Mercado_Receita!$S$2:$S$553,"44652B1ConvencionalResidencialResidencial baixa renda – faixa 01Não se aplicaNão se aplicaNão se aplica",Mercado_Receita!$L$2:$L$553)</f>
        <v>4.08</v>
      </c>
      <c r="Q18" s="13">
        <f>SUMIF(Mercado_Receita!$S$2:$S$553,"44682B1ConvencionalResidencialResidencial baixa renda – faixa 01Não se aplicaNão se aplicaPonta",Mercado_Receita!$L$2:$L$553)+SUMIF(Mercado_Receita!$S$2:$S$553,"44682B1ConvencionalResidencialResidencial baixa renda – faixa 01Não se aplicaNão se aplicaFora ponta",Mercado_Receita!$L$2:$L$553)+SUMIF(Mercado_Receita!$S$2:$S$553,"44682B1ConvencionalResidencialResidencial baixa renda – faixa 01Não se aplicaNão se aplicaIntermediário",Mercado_Receita!$L$2:$L$553)+SUMIF(Mercado_Receita!$S$2:$S$553,"44682B1ConvencionalResidencialResidencial baixa renda – faixa 01Não se aplicaNão se aplicaNão se aplica",Mercado_Receita!$L$2:$L$553)</f>
        <v>4.1509999999999998</v>
      </c>
      <c r="R18" s="13">
        <f>SUMIF(Mercado_Receita!$S$2:$S$553,"44713B1ConvencionalResidencialResidencial baixa renda – faixa 01Não se aplicaNão se aplicaPonta",Mercado_Receita!$L$2:$L$553)+SUMIF(Mercado_Receita!$S$2:$S$553,"44713B1ConvencionalResidencialResidencial baixa renda – faixa 01Não se aplicaNão se aplicaFora ponta",Mercado_Receita!$L$2:$L$553)+SUMIF(Mercado_Receita!$S$2:$S$553,"44713B1ConvencionalResidencialResidencial baixa renda – faixa 01Não se aplicaNão se aplicaIntermediário",Mercado_Receita!$L$2:$L$553)+SUMIF(Mercado_Receita!$S$2:$S$553,"44713B1ConvencionalResidencialResidencial baixa renda – faixa 01Não se aplicaNão se aplicaNão se aplica",Mercado_Receita!$L$2:$L$553)</f>
        <v>4.2300000000000004</v>
      </c>
      <c r="S18" s="13">
        <f>SUMIF(Mercado_Receita!$S$2:$S$553,"44743B1ConvencionalResidencialResidencial baixa renda – faixa 01Não se aplicaNão se aplicaPonta",Mercado_Receita!$L$2:$L$553)+SUMIF(Mercado_Receita!$S$2:$S$553,"44743B1ConvencionalResidencialResidencial baixa renda – faixa 01Não se aplicaNão se aplicaFora ponta",Mercado_Receita!$L$2:$L$553)+SUMIF(Mercado_Receita!$S$2:$S$553,"44743B1ConvencionalResidencialResidencial baixa renda – faixa 01Não se aplicaNão se aplicaIntermediário",Mercado_Receita!$L$2:$L$553)+SUMIF(Mercado_Receita!$S$2:$S$553,"44743B1ConvencionalResidencialResidencial baixa renda – faixa 01Não se aplicaNão se aplicaNão se aplica",Mercado_Receita!$L$2:$L$553)</f>
        <v>3.9</v>
      </c>
      <c r="T18" s="13">
        <f>SUMIF(Mercado_Receita!$S$2:$S$553,"44774B1ConvencionalResidencialResidencial baixa renda – faixa 01Não se aplicaNão se aplicaPonta",Mercado_Receita!$L$2:$L$553)+SUMIF(Mercado_Receita!$S$2:$S$553,"44774B1ConvencionalResidencialResidencial baixa renda – faixa 01Não se aplicaNão se aplicaFora ponta",Mercado_Receita!$L$2:$L$553)+SUMIF(Mercado_Receita!$S$2:$S$553,"44774B1ConvencionalResidencialResidencial baixa renda – faixa 01Não se aplicaNão se aplicaIntermediário",Mercado_Receita!$L$2:$L$553)+SUMIF(Mercado_Receita!$S$2:$S$553,"44774B1ConvencionalResidencialResidencial baixa renda – faixa 01Não se aplicaNão se aplicaNão se aplica",Mercado_Receita!$L$2:$L$553)</f>
        <v>3.93</v>
      </c>
      <c r="U18" s="13">
        <f t="shared" si="0"/>
        <v>30.416</v>
      </c>
      <c r="V18" s="13"/>
      <c r="W18" s="13"/>
    </row>
    <row r="19" spans="1:23" ht="11.25" customHeight="1" x14ac:dyDescent="0.25">
      <c r="A19" s="80"/>
      <c r="B19" s="80"/>
      <c r="C19" s="80"/>
      <c r="D19" s="12" t="s">
        <v>30</v>
      </c>
      <c r="E19" s="12" t="s">
        <v>25</v>
      </c>
      <c r="F19" s="12" t="s">
        <v>25</v>
      </c>
      <c r="G19" s="13" t="s">
        <v>78</v>
      </c>
      <c r="H19" s="13" t="s">
        <v>72</v>
      </c>
      <c r="I19" s="13">
        <f>SUMIF(Mercado_Receita!$S$2:$S$553,"44440B1ConvencionalResidencialResidencial baixa renda – faixa 02Não se aplicaNão se aplicaPonta",Mercado_Receita!$L$2:$L$553)+SUMIF(Mercado_Receita!$S$2:$S$553,"44440B1ConvencionalResidencialResidencial baixa renda – faixa 02Não se aplicaNão se aplicaFora ponta",Mercado_Receita!$L$2:$L$553)+SUMIF(Mercado_Receita!$S$2:$S$553,"44440B1ConvencionalResidencialResidencial baixa renda – faixa 02Não se aplicaNão se aplicaIntermediário",Mercado_Receita!$L$2:$L$553)+SUMIF(Mercado_Receita!$S$2:$S$553,"44440B1ConvencionalResidencialResidencial baixa renda – faixa 02Não se aplicaNão se aplicaNão se aplica",Mercado_Receita!$L$2:$L$553)</f>
        <v>2.0699999999999998</v>
      </c>
      <c r="J19" s="13">
        <f>SUMIF(Mercado_Receita!$S$2:$S$553,"44470B1ConvencionalResidencialResidencial baixa renda – faixa 02Não se aplicaNão se aplicaPonta",Mercado_Receita!$L$2:$L$553)+SUMIF(Mercado_Receita!$S$2:$S$553,"44470B1ConvencionalResidencialResidencial baixa renda – faixa 02Não se aplicaNão se aplicaFora ponta",Mercado_Receita!$L$2:$L$553)+SUMIF(Mercado_Receita!$S$2:$S$553,"44470B1ConvencionalResidencialResidencial baixa renda – faixa 02Não se aplicaNão se aplicaIntermediário",Mercado_Receita!$L$2:$L$553)+SUMIF(Mercado_Receita!$S$2:$S$553,"44470B1ConvencionalResidencialResidencial baixa renda – faixa 02Não se aplicaNão se aplicaNão se aplica",Mercado_Receita!$L$2:$L$553)</f>
        <v>2.2440000000000002</v>
      </c>
      <c r="K19" s="13">
        <f>SUMIF(Mercado_Receita!$S$2:$S$553,"44501B1ConvencionalResidencialResidencial baixa renda – faixa 02Não se aplicaNão se aplicaPonta",Mercado_Receita!$L$2:$L$553)+SUMIF(Mercado_Receita!$S$2:$S$553,"44501B1ConvencionalResidencialResidencial baixa renda – faixa 02Não se aplicaNão se aplicaFora ponta",Mercado_Receita!$L$2:$L$553)+SUMIF(Mercado_Receita!$S$2:$S$553,"44501B1ConvencionalResidencialResidencial baixa renda – faixa 02Não se aplicaNão se aplicaIntermediário",Mercado_Receita!$L$2:$L$553)+SUMIF(Mercado_Receita!$S$2:$S$553,"44501B1ConvencionalResidencialResidencial baixa renda – faixa 02Não se aplicaNão se aplicaNão se aplica",Mercado_Receita!$L$2:$L$553)</f>
        <v>2.5049999999999999</v>
      </c>
      <c r="L19" s="13">
        <f>SUMIF(Mercado_Receita!$S$2:$S$553,"44531B1ConvencionalResidencialResidencial baixa renda – faixa 02Não se aplicaNão se aplicaPonta",Mercado_Receita!$L$2:$L$553)+SUMIF(Mercado_Receita!$S$2:$S$553,"44531B1ConvencionalResidencialResidencial baixa renda – faixa 02Não se aplicaNão se aplicaFora ponta",Mercado_Receita!$L$2:$L$553)+SUMIF(Mercado_Receita!$S$2:$S$553,"44531B1ConvencionalResidencialResidencial baixa renda – faixa 02Não se aplicaNão se aplicaIntermediário",Mercado_Receita!$L$2:$L$553)+SUMIF(Mercado_Receita!$S$2:$S$553,"44531B1ConvencionalResidencialResidencial baixa renda – faixa 02Não se aplicaNão se aplicaNão se aplica",Mercado_Receita!$L$2:$L$553)</f>
        <v>2.444</v>
      </c>
      <c r="M19" s="13">
        <f>SUMIF(Mercado_Receita!$S$2:$S$553,"44562B1ConvencionalResidencialResidencial baixa renda – faixa 02Não se aplicaNão se aplicaPonta",Mercado_Receita!$L$2:$L$553)+SUMIF(Mercado_Receita!$S$2:$S$553,"44562B1ConvencionalResidencialResidencial baixa renda – faixa 02Não se aplicaNão se aplicaFora ponta",Mercado_Receita!$L$2:$L$553)+SUMIF(Mercado_Receita!$S$2:$S$553,"44562B1ConvencionalResidencialResidencial baixa renda – faixa 02Não se aplicaNão se aplicaIntermediário",Mercado_Receita!$L$2:$L$553)+SUMIF(Mercado_Receita!$S$2:$S$553,"44562B1ConvencionalResidencialResidencial baixa renda – faixa 02Não se aplicaNão se aplicaNão se aplica",Mercado_Receita!$L$2:$L$553)</f>
        <v>2.5230000000000001</v>
      </c>
      <c r="N19" s="13">
        <f>SUMIF(Mercado_Receita!$S$2:$S$553,"44593B1ConvencionalResidencialResidencial baixa renda – faixa 02Não se aplicaNão se aplicaPonta",Mercado_Receita!$L$2:$L$553)+SUMIF(Mercado_Receita!$S$2:$S$553,"44593B1ConvencionalResidencialResidencial baixa renda – faixa 02Não se aplicaNão se aplicaFora ponta",Mercado_Receita!$L$2:$L$553)+SUMIF(Mercado_Receita!$S$2:$S$553,"44593B1ConvencionalResidencialResidencial baixa renda – faixa 02Não se aplicaNão se aplicaIntermediário",Mercado_Receita!$L$2:$L$553)+SUMIF(Mercado_Receita!$S$2:$S$553,"44593B1ConvencionalResidencialResidencial baixa renda – faixa 02Não se aplicaNão se aplicaNão se aplica",Mercado_Receita!$L$2:$L$553)</f>
        <v>4.7779999999999996</v>
      </c>
      <c r="O19" s="13">
        <f>SUMIF(Mercado_Receita!$S$2:$S$553,"44621B1ConvencionalResidencialResidencial baixa renda – faixa 02Não se aplicaNão se aplicaPonta",Mercado_Receita!$L$2:$L$553)+SUMIF(Mercado_Receita!$S$2:$S$553,"44621B1ConvencionalResidencialResidencial baixa renda – faixa 02Não se aplicaNão se aplicaFora ponta",Mercado_Receita!$L$2:$L$553)+SUMIF(Mercado_Receita!$S$2:$S$553,"44621B1ConvencionalResidencialResidencial baixa renda – faixa 02Não se aplicaNão se aplicaIntermediário",Mercado_Receita!$L$2:$L$553)+SUMIF(Mercado_Receita!$S$2:$S$553,"44621B1ConvencionalResidencialResidencial baixa renda – faixa 02Não se aplicaNão se aplicaNão se aplica",Mercado_Receita!$L$2:$L$553)</f>
        <v>4.8440000000000003</v>
      </c>
      <c r="P19" s="13">
        <f>SUMIF(Mercado_Receita!$S$2:$S$553,"44652B1ConvencionalResidencialResidencial baixa renda – faixa 02Não se aplicaNão se aplicaPonta",Mercado_Receita!$L$2:$L$553)+SUMIF(Mercado_Receita!$S$2:$S$553,"44652B1ConvencionalResidencialResidencial baixa renda – faixa 02Não se aplicaNão se aplicaFora ponta",Mercado_Receita!$L$2:$L$553)+SUMIF(Mercado_Receita!$S$2:$S$553,"44652B1ConvencionalResidencialResidencial baixa renda – faixa 02Não se aplicaNão se aplicaIntermediário",Mercado_Receita!$L$2:$L$553)+SUMIF(Mercado_Receita!$S$2:$S$553,"44652B1ConvencionalResidencialResidencial baixa renda – faixa 02Não se aplicaNão se aplicaNão se aplica",Mercado_Receita!$L$2:$L$553)</f>
        <v>8.1080000000000005</v>
      </c>
      <c r="Q19" s="13">
        <f>SUMIF(Mercado_Receita!$S$2:$S$553,"44682B1ConvencionalResidencialResidencial baixa renda – faixa 02Não se aplicaNão se aplicaPonta",Mercado_Receita!$L$2:$L$553)+SUMIF(Mercado_Receita!$S$2:$S$553,"44682B1ConvencionalResidencialResidencial baixa renda – faixa 02Não se aplicaNão se aplicaFora ponta",Mercado_Receita!$L$2:$L$553)+SUMIF(Mercado_Receita!$S$2:$S$553,"44682B1ConvencionalResidencialResidencial baixa renda – faixa 02Não se aplicaNão se aplicaIntermediário",Mercado_Receita!$L$2:$L$553)+SUMIF(Mercado_Receita!$S$2:$S$553,"44682B1ConvencionalResidencialResidencial baixa renda – faixa 02Não se aplicaNão se aplicaNão se aplica",Mercado_Receita!$L$2:$L$553)</f>
        <v>8.173</v>
      </c>
      <c r="R19" s="13">
        <f>SUMIF(Mercado_Receita!$S$2:$S$553,"44713B1ConvencionalResidencialResidencial baixa renda – faixa 02Não se aplicaNão se aplicaPonta",Mercado_Receita!$L$2:$L$553)+SUMIF(Mercado_Receita!$S$2:$S$553,"44713B1ConvencionalResidencialResidencial baixa renda – faixa 02Não se aplicaNão se aplicaFora ponta",Mercado_Receita!$L$2:$L$553)+SUMIF(Mercado_Receita!$S$2:$S$553,"44713B1ConvencionalResidencialResidencial baixa renda – faixa 02Não se aplicaNão se aplicaIntermediário",Mercado_Receita!$L$2:$L$553)+SUMIF(Mercado_Receita!$S$2:$S$553,"44713B1ConvencionalResidencialResidencial baixa renda – faixa 02Não se aplicaNão se aplicaNão se aplica",Mercado_Receita!$L$2:$L$553)</f>
        <v>8.3079999999999998</v>
      </c>
      <c r="S19" s="13">
        <f>SUMIF(Mercado_Receita!$S$2:$S$553,"44743B1ConvencionalResidencialResidencial baixa renda – faixa 02Não se aplicaNão se aplicaPonta",Mercado_Receita!$L$2:$L$553)+SUMIF(Mercado_Receita!$S$2:$S$553,"44743B1ConvencionalResidencialResidencial baixa renda – faixa 02Não se aplicaNão se aplicaFora ponta",Mercado_Receita!$L$2:$L$553)+SUMIF(Mercado_Receita!$S$2:$S$553,"44743B1ConvencionalResidencialResidencial baixa renda – faixa 02Não se aplicaNão se aplicaIntermediário",Mercado_Receita!$L$2:$L$553)+SUMIF(Mercado_Receita!$S$2:$S$553,"44743B1ConvencionalResidencialResidencial baixa renda – faixa 02Não se aplicaNão se aplicaNão se aplica",Mercado_Receita!$L$2:$L$553)</f>
        <v>7.3650000000000002</v>
      </c>
      <c r="T19" s="13">
        <f>SUMIF(Mercado_Receita!$S$2:$S$553,"44774B1ConvencionalResidencialResidencial baixa renda – faixa 02Não se aplicaNão se aplicaPonta",Mercado_Receita!$L$2:$L$553)+SUMIF(Mercado_Receita!$S$2:$S$553,"44774B1ConvencionalResidencialResidencial baixa renda – faixa 02Não se aplicaNão se aplicaFora ponta",Mercado_Receita!$L$2:$L$553)+SUMIF(Mercado_Receita!$S$2:$S$553,"44774B1ConvencionalResidencialResidencial baixa renda – faixa 02Não se aplicaNão se aplicaIntermediário",Mercado_Receita!$L$2:$L$553)+SUMIF(Mercado_Receita!$S$2:$S$553,"44774B1ConvencionalResidencialResidencial baixa renda – faixa 02Não se aplicaNão se aplicaNão se aplica",Mercado_Receita!$L$2:$L$553)</f>
        <v>7.5730000000000004</v>
      </c>
      <c r="U19" s="13">
        <f t="shared" si="0"/>
        <v>60.935000000000002</v>
      </c>
      <c r="V19" s="13"/>
      <c r="W19" s="13"/>
    </row>
    <row r="20" spans="1:23" ht="11.25" customHeight="1" x14ac:dyDescent="0.25">
      <c r="A20" s="80"/>
      <c r="B20" s="80"/>
      <c r="C20" s="80"/>
      <c r="D20" s="12" t="s">
        <v>31</v>
      </c>
      <c r="E20" s="12" t="s">
        <v>25</v>
      </c>
      <c r="F20" s="12" t="s">
        <v>25</v>
      </c>
      <c r="G20" s="13" t="s">
        <v>78</v>
      </c>
      <c r="H20" s="13" t="s">
        <v>72</v>
      </c>
      <c r="I20" s="13">
        <f>SUMIF(Mercado_Receita!$S$2:$S$553,"44440B1ConvencionalResidencialResidencial baixa renda – faixa 03Não se aplicaNão se aplicaPonta",Mercado_Receita!$L$2:$L$553)+SUMIF(Mercado_Receita!$S$2:$S$553,"44440B1ConvencionalResidencialResidencial baixa renda – faixa 03Não se aplicaNão se aplicaFora ponta",Mercado_Receita!$L$2:$L$553)+SUMIF(Mercado_Receita!$S$2:$S$553,"44440B1ConvencionalResidencialResidencial baixa renda – faixa 03Não se aplicaNão se aplicaIntermediário",Mercado_Receita!$L$2:$L$553)+SUMIF(Mercado_Receita!$S$2:$S$553,"44440B1ConvencionalResidencialResidencial baixa renda – faixa 03Não se aplicaNão se aplicaNão se aplica",Mercado_Receita!$L$2:$L$553)</f>
        <v>2.093</v>
      </c>
      <c r="J20" s="13">
        <f>SUMIF(Mercado_Receita!$S$2:$S$553,"44470B1ConvencionalResidencialResidencial baixa renda – faixa 03Não se aplicaNão se aplicaPonta",Mercado_Receita!$L$2:$L$553)+SUMIF(Mercado_Receita!$S$2:$S$553,"44470B1ConvencionalResidencialResidencial baixa renda – faixa 03Não se aplicaNão se aplicaFora ponta",Mercado_Receita!$L$2:$L$553)+SUMIF(Mercado_Receita!$S$2:$S$553,"44470B1ConvencionalResidencialResidencial baixa renda – faixa 03Não se aplicaNão se aplicaIntermediário",Mercado_Receita!$L$2:$L$553)+SUMIF(Mercado_Receita!$S$2:$S$553,"44470B1ConvencionalResidencialResidencial baixa renda – faixa 03Não se aplicaNão se aplicaNão se aplica",Mercado_Receita!$L$2:$L$553)</f>
        <v>2.202</v>
      </c>
      <c r="K20" s="13">
        <f>SUMIF(Mercado_Receita!$S$2:$S$553,"44501B1ConvencionalResidencialResidencial baixa renda – faixa 03Não se aplicaNão se aplicaPonta",Mercado_Receita!$L$2:$L$553)+SUMIF(Mercado_Receita!$S$2:$S$553,"44501B1ConvencionalResidencialResidencial baixa renda – faixa 03Não se aplicaNão se aplicaFora ponta",Mercado_Receita!$L$2:$L$553)+SUMIF(Mercado_Receita!$S$2:$S$553,"44501B1ConvencionalResidencialResidencial baixa renda – faixa 03Não se aplicaNão se aplicaIntermediário",Mercado_Receita!$L$2:$L$553)+SUMIF(Mercado_Receita!$S$2:$S$553,"44501B1ConvencionalResidencialResidencial baixa renda – faixa 03Não se aplicaNão se aplicaNão se aplica",Mercado_Receita!$L$2:$L$553)</f>
        <v>2.254</v>
      </c>
      <c r="L20" s="13">
        <f>SUMIF(Mercado_Receita!$S$2:$S$553,"44531B1ConvencionalResidencialResidencial baixa renda – faixa 03Não se aplicaNão se aplicaPonta",Mercado_Receita!$L$2:$L$553)+SUMIF(Mercado_Receita!$S$2:$S$553,"44531B1ConvencionalResidencialResidencial baixa renda – faixa 03Não se aplicaNão se aplicaFora ponta",Mercado_Receita!$L$2:$L$553)+SUMIF(Mercado_Receita!$S$2:$S$553,"44531B1ConvencionalResidencialResidencial baixa renda – faixa 03Não se aplicaNão se aplicaIntermediário",Mercado_Receita!$L$2:$L$553)+SUMIF(Mercado_Receita!$S$2:$S$553,"44531B1ConvencionalResidencialResidencial baixa renda – faixa 03Não se aplicaNão se aplicaNão se aplica",Mercado_Receita!$L$2:$L$553)</f>
        <v>2.601</v>
      </c>
      <c r="M20" s="13">
        <f>SUMIF(Mercado_Receita!$S$2:$S$553,"44562B1ConvencionalResidencialResidencial baixa renda – faixa 03Não se aplicaNão se aplicaPonta",Mercado_Receita!$L$2:$L$553)+SUMIF(Mercado_Receita!$S$2:$S$553,"44562B1ConvencionalResidencialResidencial baixa renda – faixa 03Não se aplicaNão se aplicaFora ponta",Mercado_Receita!$L$2:$L$553)+SUMIF(Mercado_Receita!$S$2:$S$553,"44562B1ConvencionalResidencialResidencial baixa renda – faixa 03Não se aplicaNão se aplicaIntermediário",Mercado_Receita!$L$2:$L$553)+SUMIF(Mercado_Receita!$S$2:$S$553,"44562B1ConvencionalResidencialResidencial baixa renda – faixa 03Não se aplicaNão se aplicaNão se aplica",Mercado_Receita!$L$2:$L$553)</f>
        <v>2.4950000000000001</v>
      </c>
      <c r="N20" s="13">
        <f>SUMIF(Mercado_Receita!$S$2:$S$553,"44593B1ConvencionalResidencialResidencial baixa renda – faixa 03Não se aplicaNão se aplicaPonta",Mercado_Receita!$L$2:$L$553)+SUMIF(Mercado_Receita!$S$2:$S$553,"44593B1ConvencionalResidencialResidencial baixa renda – faixa 03Não se aplicaNão se aplicaFora ponta",Mercado_Receita!$L$2:$L$553)+SUMIF(Mercado_Receita!$S$2:$S$553,"44593B1ConvencionalResidencialResidencial baixa renda – faixa 03Não se aplicaNão se aplicaIntermediário",Mercado_Receita!$L$2:$L$553)+SUMIF(Mercado_Receita!$S$2:$S$553,"44593B1ConvencionalResidencialResidencial baixa renda – faixa 03Não se aplicaNão se aplicaNão se aplica",Mercado_Receita!$L$2:$L$553)</f>
        <v>4.25</v>
      </c>
      <c r="O20" s="13">
        <f>SUMIF(Mercado_Receita!$S$2:$S$553,"44621B1ConvencionalResidencialResidencial baixa renda – faixa 03Não se aplicaNão se aplicaPonta",Mercado_Receita!$L$2:$L$553)+SUMIF(Mercado_Receita!$S$2:$S$553,"44621B1ConvencionalResidencialResidencial baixa renda – faixa 03Não se aplicaNão se aplicaFora ponta",Mercado_Receita!$L$2:$L$553)+SUMIF(Mercado_Receita!$S$2:$S$553,"44621B1ConvencionalResidencialResidencial baixa renda – faixa 03Não se aplicaNão se aplicaIntermediário",Mercado_Receita!$L$2:$L$553)+SUMIF(Mercado_Receita!$S$2:$S$553,"44621B1ConvencionalResidencialResidencial baixa renda – faixa 03Não se aplicaNão se aplicaNão se aplica",Mercado_Receita!$L$2:$L$553)</f>
        <v>4.2169999999999996</v>
      </c>
      <c r="P20" s="13">
        <f>SUMIF(Mercado_Receita!$S$2:$S$553,"44652B1ConvencionalResidencialResidencial baixa renda – faixa 03Não se aplicaNão se aplicaPonta",Mercado_Receita!$L$2:$L$553)+SUMIF(Mercado_Receita!$S$2:$S$553,"44652B1ConvencionalResidencialResidencial baixa renda – faixa 03Não se aplicaNão se aplicaFora ponta",Mercado_Receita!$L$2:$L$553)+SUMIF(Mercado_Receita!$S$2:$S$553,"44652B1ConvencionalResidencialResidencial baixa renda – faixa 03Não se aplicaNão se aplicaIntermediário",Mercado_Receita!$L$2:$L$553)+SUMIF(Mercado_Receita!$S$2:$S$553,"44652B1ConvencionalResidencialResidencial baixa renda – faixa 03Não se aplicaNão se aplicaNão se aplica",Mercado_Receita!$L$2:$L$553)</f>
        <v>7.976</v>
      </c>
      <c r="Q20" s="13">
        <f>SUMIF(Mercado_Receita!$S$2:$S$553,"44682B1ConvencionalResidencialResidencial baixa renda – faixa 03Não se aplicaNão se aplicaPonta",Mercado_Receita!$L$2:$L$553)+SUMIF(Mercado_Receita!$S$2:$S$553,"44682B1ConvencionalResidencialResidencial baixa renda – faixa 03Não se aplicaNão se aplicaFora ponta",Mercado_Receita!$L$2:$L$553)+SUMIF(Mercado_Receita!$S$2:$S$553,"44682B1ConvencionalResidencialResidencial baixa renda – faixa 03Não se aplicaNão se aplicaIntermediário",Mercado_Receita!$L$2:$L$553)+SUMIF(Mercado_Receita!$S$2:$S$553,"44682B1ConvencionalResidencialResidencial baixa renda – faixa 03Não se aplicaNão se aplicaNão se aplica",Mercado_Receita!$L$2:$L$553)</f>
        <v>7.9139999999999997</v>
      </c>
      <c r="R20" s="13">
        <f>SUMIF(Mercado_Receita!$S$2:$S$553,"44713B1ConvencionalResidencialResidencial baixa renda – faixa 03Não se aplicaNão se aplicaPonta",Mercado_Receita!$L$2:$L$553)+SUMIF(Mercado_Receita!$S$2:$S$553,"44713B1ConvencionalResidencialResidencial baixa renda – faixa 03Não se aplicaNão se aplicaFora ponta",Mercado_Receita!$L$2:$L$553)+SUMIF(Mercado_Receita!$S$2:$S$553,"44713B1ConvencionalResidencialResidencial baixa renda – faixa 03Não se aplicaNão se aplicaIntermediário",Mercado_Receita!$L$2:$L$553)+SUMIF(Mercado_Receita!$S$2:$S$553,"44713B1ConvencionalResidencialResidencial baixa renda – faixa 03Não se aplicaNão se aplicaNão se aplica",Mercado_Receita!$L$2:$L$553)</f>
        <v>7.9269999999999996</v>
      </c>
      <c r="S20" s="13">
        <f>SUMIF(Mercado_Receita!$S$2:$S$553,"44743B1ConvencionalResidencialResidencial baixa renda – faixa 03Não se aplicaNão se aplicaPonta",Mercado_Receita!$L$2:$L$553)+SUMIF(Mercado_Receita!$S$2:$S$553,"44743B1ConvencionalResidencialResidencial baixa renda – faixa 03Não se aplicaNão se aplicaFora ponta",Mercado_Receita!$L$2:$L$553)+SUMIF(Mercado_Receita!$S$2:$S$553,"44743B1ConvencionalResidencialResidencial baixa renda – faixa 03Não se aplicaNão se aplicaIntermediário",Mercado_Receita!$L$2:$L$553)+SUMIF(Mercado_Receita!$S$2:$S$553,"44743B1ConvencionalResidencialResidencial baixa renda – faixa 03Não se aplicaNão se aplicaNão se aplica",Mercado_Receita!$L$2:$L$553)</f>
        <v>7.6959999999999997</v>
      </c>
      <c r="T20" s="13">
        <f>SUMIF(Mercado_Receita!$S$2:$S$553,"44774B1ConvencionalResidencialResidencial baixa renda – faixa 03Não se aplicaNão se aplicaPonta",Mercado_Receita!$L$2:$L$553)+SUMIF(Mercado_Receita!$S$2:$S$553,"44774B1ConvencionalResidencialResidencial baixa renda – faixa 03Não se aplicaNão se aplicaFora ponta",Mercado_Receita!$L$2:$L$553)+SUMIF(Mercado_Receita!$S$2:$S$553,"44774B1ConvencionalResidencialResidencial baixa renda – faixa 03Não se aplicaNão se aplicaIntermediário",Mercado_Receita!$L$2:$L$553)+SUMIF(Mercado_Receita!$S$2:$S$553,"44774B1ConvencionalResidencialResidencial baixa renda – faixa 03Não se aplicaNão se aplicaNão se aplica",Mercado_Receita!$L$2:$L$553)</f>
        <v>7.2489999999999997</v>
      </c>
      <c r="U20" s="13">
        <f t="shared" si="0"/>
        <v>58.873999999999995</v>
      </c>
      <c r="V20" s="13"/>
      <c r="W20" s="13"/>
    </row>
    <row r="21" spans="1:23" ht="11.25" customHeight="1" x14ac:dyDescent="0.25">
      <c r="A21" s="80"/>
      <c r="B21" s="80"/>
      <c r="C21" s="80"/>
      <c r="D21" s="12" t="s">
        <v>32</v>
      </c>
      <c r="E21" s="12" t="s">
        <v>25</v>
      </c>
      <c r="F21" s="12" t="s">
        <v>25</v>
      </c>
      <c r="G21" s="13" t="s">
        <v>78</v>
      </c>
      <c r="H21" s="13" t="s">
        <v>72</v>
      </c>
      <c r="I21" s="13">
        <f>SUMIF(Mercado_Receita!$S$2:$S$553,"44440B1ConvencionalResidencialResidencial baixa renda – faixa 04Não se aplicaNão se aplicaPonta",Mercado_Receita!$L$2:$L$553)+SUMIF(Mercado_Receita!$S$2:$S$553,"44440B1ConvencionalResidencialResidencial baixa renda – faixa 04Não se aplicaNão se aplicaFora ponta",Mercado_Receita!$L$2:$L$553)+SUMIF(Mercado_Receita!$S$2:$S$553,"44440B1ConvencionalResidencialResidencial baixa renda – faixa 04Não se aplicaNão se aplicaIntermediário",Mercado_Receita!$L$2:$L$553)+SUMIF(Mercado_Receita!$S$2:$S$553,"44440B1ConvencionalResidencialResidencial baixa renda – faixa 04Não se aplicaNão se aplicaNão se aplica",Mercado_Receita!$L$2:$L$553)</f>
        <v>0.58399999999999996</v>
      </c>
      <c r="J21" s="13">
        <f>SUMIF(Mercado_Receita!$S$2:$S$553,"44470B1ConvencionalResidencialResidencial baixa renda – faixa 04Não se aplicaNão se aplicaPonta",Mercado_Receita!$L$2:$L$553)+SUMIF(Mercado_Receita!$S$2:$S$553,"44470B1ConvencionalResidencialResidencial baixa renda – faixa 04Não se aplicaNão se aplicaFora ponta",Mercado_Receita!$L$2:$L$553)+SUMIF(Mercado_Receita!$S$2:$S$553,"44470B1ConvencionalResidencialResidencial baixa renda – faixa 04Não se aplicaNão se aplicaIntermediário",Mercado_Receita!$L$2:$L$553)+SUMIF(Mercado_Receita!$S$2:$S$553,"44470B1ConvencionalResidencialResidencial baixa renda – faixa 04Não se aplicaNão se aplicaNão se aplica",Mercado_Receita!$L$2:$L$553)</f>
        <v>0.60099999999999998</v>
      </c>
      <c r="K21" s="13">
        <f>SUMIF(Mercado_Receita!$S$2:$S$553,"44501B1ConvencionalResidencialResidencial baixa renda – faixa 04Não se aplicaNão se aplicaPonta",Mercado_Receita!$L$2:$L$553)+SUMIF(Mercado_Receita!$S$2:$S$553,"44501B1ConvencionalResidencialResidencial baixa renda – faixa 04Não se aplicaNão se aplicaFora ponta",Mercado_Receita!$L$2:$L$553)+SUMIF(Mercado_Receita!$S$2:$S$553,"44501B1ConvencionalResidencialResidencial baixa renda – faixa 04Não se aplicaNão se aplicaIntermediário",Mercado_Receita!$L$2:$L$553)+SUMIF(Mercado_Receita!$S$2:$S$553,"44501B1ConvencionalResidencialResidencial baixa renda – faixa 04Não se aplicaNão se aplicaNão se aplica",Mercado_Receita!$L$2:$L$553)</f>
        <v>0.67100000000000004</v>
      </c>
      <c r="L21" s="13">
        <f>SUMIF(Mercado_Receita!$S$2:$S$553,"44531B1ConvencionalResidencialResidencial baixa renda – faixa 04Não se aplicaNão se aplicaPonta",Mercado_Receita!$L$2:$L$553)+SUMIF(Mercado_Receita!$S$2:$S$553,"44531B1ConvencionalResidencialResidencial baixa renda – faixa 04Não se aplicaNão se aplicaFora ponta",Mercado_Receita!$L$2:$L$553)+SUMIF(Mercado_Receita!$S$2:$S$553,"44531B1ConvencionalResidencialResidencial baixa renda – faixa 04Não se aplicaNão se aplicaIntermediário",Mercado_Receita!$L$2:$L$553)+SUMIF(Mercado_Receita!$S$2:$S$553,"44531B1ConvencionalResidencialResidencial baixa renda – faixa 04Não se aplicaNão se aplicaNão se aplica",Mercado_Receita!$L$2:$L$553)</f>
        <v>1.2829999999999999</v>
      </c>
      <c r="M21" s="13">
        <f>SUMIF(Mercado_Receita!$S$2:$S$553,"44562B1ConvencionalResidencialResidencial baixa renda – faixa 04Não se aplicaNão se aplicaPonta",Mercado_Receita!$L$2:$L$553)+SUMIF(Mercado_Receita!$S$2:$S$553,"44562B1ConvencionalResidencialResidencial baixa renda – faixa 04Não se aplicaNão se aplicaFora ponta",Mercado_Receita!$L$2:$L$553)+SUMIF(Mercado_Receita!$S$2:$S$553,"44562B1ConvencionalResidencialResidencial baixa renda – faixa 04Não se aplicaNão se aplicaIntermediário",Mercado_Receita!$L$2:$L$553)+SUMIF(Mercado_Receita!$S$2:$S$553,"44562B1ConvencionalResidencialResidencial baixa renda – faixa 04Não se aplicaNão se aplicaNão se aplica",Mercado_Receita!$L$2:$L$553)</f>
        <v>1.1020000000000001</v>
      </c>
      <c r="N21" s="13">
        <f>SUMIF(Mercado_Receita!$S$2:$S$553,"44593B1ConvencionalResidencialResidencial baixa renda – faixa 04Não se aplicaNão se aplicaPonta",Mercado_Receita!$L$2:$L$553)+SUMIF(Mercado_Receita!$S$2:$S$553,"44593B1ConvencionalResidencialResidencial baixa renda – faixa 04Não se aplicaNão se aplicaFora ponta",Mercado_Receita!$L$2:$L$553)+SUMIF(Mercado_Receita!$S$2:$S$553,"44593B1ConvencionalResidencialResidencial baixa renda – faixa 04Não se aplicaNão se aplicaIntermediário",Mercado_Receita!$L$2:$L$553)+SUMIF(Mercado_Receita!$S$2:$S$553,"44593B1ConvencionalResidencialResidencial baixa renda – faixa 04Não se aplicaNão se aplicaNão se aplica",Mercado_Receita!$L$2:$L$553)</f>
        <v>1.478</v>
      </c>
      <c r="O21" s="13">
        <f>SUMIF(Mercado_Receita!$S$2:$S$553,"44621B1ConvencionalResidencialResidencial baixa renda – faixa 04Não se aplicaNão se aplicaPonta",Mercado_Receita!$L$2:$L$553)+SUMIF(Mercado_Receita!$S$2:$S$553,"44621B1ConvencionalResidencialResidencial baixa renda – faixa 04Não se aplicaNão se aplicaFora ponta",Mercado_Receita!$L$2:$L$553)+SUMIF(Mercado_Receita!$S$2:$S$553,"44621B1ConvencionalResidencialResidencial baixa renda – faixa 04Não se aplicaNão se aplicaIntermediário",Mercado_Receita!$L$2:$L$553)+SUMIF(Mercado_Receita!$S$2:$S$553,"44621B1ConvencionalResidencialResidencial baixa renda – faixa 04Não se aplicaNão se aplicaNão se aplica",Mercado_Receita!$L$2:$L$553)</f>
        <v>2.129</v>
      </c>
      <c r="P21" s="13">
        <f>SUMIF(Mercado_Receita!$S$2:$S$553,"44652B1ConvencionalResidencialResidencial baixa renda – faixa 04Não se aplicaNão se aplicaPonta",Mercado_Receita!$L$2:$L$553)+SUMIF(Mercado_Receita!$S$2:$S$553,"44652B1ConvencionalResidencialResidencial baixa renda – faixa 04Não se aplicaNão se aplicaFora ponta",Mercado_Receita!$L$2:$L$553)+SUMIF(Mercado_Receita!$S$2:$S$553,"44652B1ConvencionalResidencialResidencial baixa renda – faixa 04Não se aplicaNão se aplicaIntermediário",Mercado_Receita!$L$2:$L$553)+SUMIF(Mercado_Receita!$S$2:$S$553,"44652B1ConvencionalResidencialResidencial baixa renda – faixa 04Não se aplicaNão se aplicaNão se aplica",Mercado_Receita!$L$2:$L$553)</f>
        <v>3.052</v>
      </c>
      <c r="Q21" s="13">
        <f>SUMIF(Mercado_Receita!$S$2:$S$553,"44682B1ConvencionalResidencialResidencial baixa renda – faixa 04Não se aplicaNão se aplicaPonta",Mercado_Receita!$L$2:$L$553)+SUMIF(Mercado_Receita!$S$2:$S$553,"44682B1ConvencionalResidencialResidencial baixa renda – faixa 04Não se aplicaNão se aplicaFora ponta",Mercado_Receita!$L$2:$L$553)+SUMIF(Mercado_Receita!$S$2:$S$553,"44682B1ConvencionalResidencialResidencial baixa renda – faixa 04Não se aplicaNão se aplicaIntermediário",Mercado_Receita!$L$2:$L$553)+SUMIF(Mercado_Receita!$S$2:$S$553,"44682B1ConvencionalResidencialResidencial baixa renda – faixa 04Não se aplicaNão se aplicaNão se aplica",Mercado_Receita!$L$2:$L$553)</f>
        <v>2.6309999999999998</v>
      </c>
      <c r="R21" s="13">
        <f>SUMIF(Mercado_Receita!$S$2:$S$553,"44713B1ConvencionalResidencialResidencial baixa renda – faixa 04Não se aplicaNão se aplicaPonta",Mercado_Receita!$L$2:$L$553)+SUMIF(Mercado_Receita!$S$2:$S$553,"44713B1ConvencionalResidencialResidencial baixa renda – faixa 04Não se aplicaNão se aplicaFora ponta",Mercado_Receita!$L$2:$L$553)+SUMIF(Mercado_Receita!$S$2:$S$553,"44713B1ConvencionalResidencialResidencial baixa renda – faixa 04Não se aplicaNão se aplicaIntermediário",Mercado_Receita!$L$2:$L$553)+SUMIF(Mercado_Receita!$S$2:$S$553,"44713B1ConvencionalResidencialResidencial baixa renda – faixa 04Não se aplicaNão se aplicaNão se aplica",Mercado_Receita!$L$2:$L$553)</f>
        <v>3.8069999999999999</v>
      </c>
      <c r="S21" s="13">
        <f>SUMIF(Mercado_Receita!$S$2:$S$553,"44743B1ConvencionalResidencialResidencial baixa renda – faixa 04Não se aplicaNão se aplicaPonta",Mercado_Receita!$L$2:$L$553)+SUMIF(Mercado_Receita!$S$2:$S$553,"44743B1ConvencionalResidencialResidencial baixa renda – faixa 04Não se aplicaNão se aplicaFora ponta",Mercado_Receita!$L$2:$L$553)+SUMIF(Mercado_Receita!$S$2:$S$553,"44743B1ConvencionalResidencialResidencial baixa renda – faixa 04Não se aplicaNão se aplicaIntermediário",Mercado_Receita!$L$2:$L$553)+SUMIF(Mercado_Receita!$S$2:$S$553,"44743B1ConvencionalResidencialResidencial baixa renda – faixa 04Não se aplicaNão se aplicaNão se aplica",Mercado_Receita!$L$2:$L$553)</f>
        <v>2.4139999999999997</v>
      </c>
      <c r="T21" s="13">
        <f>SUMIF(Mercado_Receita!$S$2:$S$553,"44774B1ConvencionalResidencialResidencial baixa renda – faixa 04Não se aplicaNão se aplicaPonta",Mercado_Receita!$L$2:$L$553)+SUMIF(Mercado_Receita!$S$2:$S$553,"44774B1ConvencionalResidencialResidencial baixa renda – faixa 04Não se aplicaNão se aplicaFora ponta",Mercado_Receita!$L$2:$L$553)+SUMIF(Mercado_Receita!$S$2:$S$553,"44774B1ConvencionalResidencialResidencial baixa renda – faixa 04Não se aplicaNão se aplicaIntermediário",Mercado_Receita!$L$2:$L$553)+SUMIF(Mercado_Receita!$S$2:$S$553,"44774B1ConvencionalResidencialResidencial baixa renda – faixa 04Não se aplicaNão se aplicaNão se aplica",Mercado_Receita!$L$2:$L$553)</f>
        <v>2.6739999999999999</v>
      </c>
      <c r="U21" s="13">
        <f t="shared" si="0"/>
        <v>22.426000000000002</v>
      </c>
      <c r="V21" s="13"/>
      <c r="W21" s="13"/>
    </row>
    <row r="22" spans="1:23" ht="11.25" customHeight="1" x14ac:dyDescent="0.25">
      <c r="A22" s="80"/>
      <c r="B22" s="79" t="s">
        <v>87</v>
      </c>
      <c r="C22" s="79" t="s">
        <v>24</v>
      </c>
      <c r="D22" s="12" t="s">
        <v>24</v>
      </c>
      <c r="E22" s="12" t="s">
        <v>25</v>
      </c>
      <c r="F22" s="12" t="s">
        <v>25</v>
      </c>
      <c r="G22" s="13" t="s">
        <v>78</v>
      </c>
      <c r="H22" s="13" t="s">
        <v>72</v>
      </c>
      <c r="I22" s="13">
        <f>SUMIF(Mercado_Receita!$S$2:$S$553,"44440B1Convencional pré-pagamentoResidencialResidencialNão se aplicaNão se aplicaPonta",Mercado_Receita!$L$2:$L$553)+SUMIF(Mercado_Receita!$S$2:$S$553,"44440B1Convencional pré-pagamentoResidencialResidencialNão se aplicaNão se aplicaFora ponta",Mercado_Receita!$L$2:$L$553)+SUMIF(Mercado_Receita!$S$2:$S$553,"44440B1Convencional pré-pagamentoResidencialResidencialNão se aplicaNão se aplicaIntermediário",Mercado_Receita!$L$2:$L$553)+SUMIF(Mercado_Receita!$S$2:$S$553,"44440B1Convencional pré-pagamentoResidencialResidencialNão se aplicaNão se aplicaNão se aplica",Mercado_Receita!$L$2:$L$553)</f>
        <v>0</v>
      </c>
      <c r="J22" s="13">
        <f>SUMIF(Mercado_Receita!$S$2:$S$553,"44470B1Convencional pré-pagamentoResidencialResidencialNão se aplicaNão se aplicaPonta",Mercado_Receita!$L$2:$L$553)+SUMIF(Mercado_Receita!$S$2:$S$553,"44470B1Convencional pré-pagamentoResidencialResidencialNão se aplicaNão se aplicaFora ponta",Mercado_Receita!$L$2:$L$553)+SUMIF(Mercado_Receita!$S$2:$S$553,"44470B1Convencional pré-pagamentoResidencialResidencialNão se aplicaNão se aplicaIntermediário",Mercado_Receita!$L$2:$L$553)+SUMIF(Mercado_Receita!$S$2:$S$553,"44470B1Convencional pré-pagamentoResidencialResidencialNão se aplicaNão se aplicaNão se aplica",Mercado_Receita!$L$2:$L$553)</f>
        <v>0</v>
      </c>
      <c r="K22" s="13">
        <f>SUMIF(Mercado_Receita!$S$2:$S$553,"44501B1Convencional pré-pagamentoResidencialResidencialNão se aplicaNão se aplicaPonta",Mercado_Receita!$L$2:$L$553)+SUMIF(Mercado_Receita!$S$2:$S$553,"44501B1Convencional pré-pagamentoResidencialResidencialNão se aplicaNão se aplicaFora ponta",Mercado_Receita!$L$2:$L$553)+SUMIF(Mercado_Receita!$S$2:$S$553,"44501B1Convencional pré-pagamentoResidencialResidencialNão se aplicaNão se aplicaIntermediário",Mercado_Receita!$L$2:$L$553)+SUMIF(Mercado_Receita!$S$2:$S$553,"44501B1Convencional pré-pagamentoResidencialResidencialNão se aplicaNão se aplicaNão se aplica",Mercado_Receita!$L$2:$L$553)</f>
        <v>0</v>
      </c>
      <c r="L22" s="13">
        <f>SUMIF(Mercado_Receita!$S$2:$S$553,"44531B1Convencional pré-pagamentoResidencialResidencialNão se aplicaNão se aplicaPonta",Mercado_Receita!$L$2:$L$553)+SUMIF(Mercado_Receita!$S$2:$S$553,"44531B1Convencional pré-pagamentoResidencialResidencialNão se aplicaNão se aplicaFora ponta",Mercado_Receita!$L$2:$L$553)+SUMIF(Mercado_Receita!$S$2:$S$553,"44531B1Convencional pré-pagamentoResidencialResidencialNão se aplicaNão se aplicaIntermediário",Mercado_Receita!$L$2:$L$553)+SUMIF(Mercado_Receita!$S$2:$S$553,"44531B1Convencional pré-pagamentoResidencialResidencialNão se aplicaNão se aplicaNão se aplica",Mercado_Receita!$L$2:$L$553)</f>
        <v>0</v>
      </c>
      <c r="M22" s="13">
        <f>SUMIF(Mercado_Receita!$S$2:$S$553,"44562B1Convencional pré-pagamentoResidencialResidencialNão se aplicaNão se aplicaPonta",Mercado_Receita!$L$2:$L$553)+SUMIF(Mercado_Receita!$S$2:$S$553,"44562B1Convencional pré-pagamentoResidencialResidencialNão se aplicaNão se aplicaFora ponta",Mercado_Receita!$L$2:$L$553)+SUMIF(Mercado_Receita!$S$2:$S$553,"44562B1Convencional pré-pagamentoResidencialResidencialNão se aplicaNão se aplicaIntermediário",Mercado_Receita!$L$2:$L$553)+SUMIF(Mercado_Receita!$S$2:$S$553,"44562B1Convencional pré-pagamentoResidencialResidencialNão se aplicaNão se aplicaNão se aplica",Mercado_Receita!$L$2:$L$553)</f>
        <v>0</v>
      </c>
      <c r="N22" s="13">
        <f>SUMIF(Mercado_Receita!$S$2:$S$553,"44593B1Convencional pré-pagamentoResidencialResidencialNão se aplicaNão se aplicaPonta",Mercado_Receita!$L$2:$L$553)+SUMIF(Mercado_Receita!$S$2:$S$553,"44593B1Convencional pré-pagamentoResidencialResidencialNão se aplicaNão se aplicaFora ponta",Mercado_Receita!$L$2:$L$553)+SUMIF(Mercado_Receita!$S$2:$S$553,"44593B1Convencional pré-pagamentoResidencialResidencialNão se aplicaNão se aplicaIntermediário",Mercado_Receita!$L$2:$L$553)+SUMIF(Mercado_Receita!$S$2:$S$553,"44593B1Convencional pré-pagamentoResidencialResidencialNão se aplicaNão se aplicaNão se aplica",Mercado_Receita!$L$2:$L$553)</f>
        <v>0</v>
      </c>
      <c r="O22" s="13">
        <f>SUMIF(Mercado_Receita!$S$2:$S$553,"44621B1Convencional pré-pagamentoResidencialResidencialNão se aplicaNão se aplicaPonta",Mercado_Receita!$L$2:$L$553)+SUMIF(Mercado_Receita!$S$2:$S$553,"44621B1Convencional pré-pagamentoResidencialResidencialNão se aplicaNão se aplicaFora ponta",Mercado_Receita!$L$2:$L$553)+SUMIF(Mercado_Receita!$S$2:$S$553,"44621B1Convencional pré-pagamentoResidencialResidencialNão se aplicaNão se aplicaIntermediário",Mercado_Receita!$L$2:$L$553)+SUMIF(Mercado_Receita!$S$2:$S$553,"44621B1Convencional pré-pagamentoResidencialResidencialNão se aplicaNão se aplicaNão se aplica",Mercado_Receita!$L$2:$L$553)</f>
        <v>0</v>
      </c>
      <c r="P22" s="13">
        <f>SUMIF(Mercado_Receita!$S$2:$S$553,"44652B1Convencional pré-pagamentoResidencialResidencialNão se aplicaNão se aplicaPonta",Mercado_Receita!$L$2:$L$553)+SUMIF(Mercado_Receita!$S$2:$S$553,"44652B1Convencional pré-pagamentoResidencialResidencialNão se aplicaNão se aplicaFora ponta",Mercado_Receita!$L$2:$L$553)+SUMIF(Mercado_Receita!$S$2:$S$553,"44652B1Convencional pré-pagamentoResidencialResidencialNão se aplicaNão se aplicaIntermediário",Mercado_Receita!$L$2:$L$553)+SUMIF(Mercado_Receita!$S$2:$S$553,"44652B1Convencional pré-pagamentoResidencialResidencialNão se aplicaNão se aplicaNão se aplica",Mercado_Receita!$L$2:$L$553)</f>
        <v>0</v>
      </c>
      <c r="Q22" s="13">
        <f>SUMIF(Mercado_Receita!$S$2:$S$553,"44682B1Convencional pré-pagamentoResidencialResidencialNão se aplicaNão se aplicaPonta",Mercado_Receita!$L$2:$L$553)+SUMIF(Mercado_Receita!$S$2:$S$553,"44682B1Convencional pré-pagamentoResidencialResidencialNão se aplicaNão se aplicaFora ponta",Mercado_Receita!$L$2:$L$553)+SUMIF(Mercado_Receita!$S$2:$S$553,"44682B1Convencional pré-pagamentoResidencialResidencialNão se aplicaNão se aplicaIntermediário",Mercado_Receita!$L$2:$L$553)+SUMIF(Mercado_Receita!$S$2:$S$553,"44682B1Convencional pré-pagamentoResidencialResidencialNão se aplicaNão se aplicaNão se aplica",Mercado_Receita!$L$2:$L$553)</f>
        <v>0</v>
      </c>
      <c r="R22" s="13">
        <f>SUMIF(Mercado_Receita!$S$2:$S$553,"44713B1Convencional pré-pagamentoResidencialResidencialNão se aplicaNão se aplicaPonta",Mercado_Receita!$L$2:$L$553)+SUMIF(Mercado_Receita!$S$2:$S$553,"44713B1Convencional pré-pagamentoResidencialResidencialNão se aplicaNão se aplicaFora ponta",Mercado_Receita!$L$2:$L$553)+SUMIF(Mercado_Receita!$S$2:$S$553,"44713B1Convencional pré-pagamentoResidencialResidencialNão se aplicaNão se aplicaIntermediário",Mercado_Receita!$L$2:$L$553)+SUMIF(Mercado_Receita!$S$2:$S$553,"44713B1Convencional pré-pagamentoResidencialResidencialNão se aplicaNão se aplicaNão se aplica",Mercado_Receita!$L$2:$L$553)</f>
        <v>0</v>
      </c>
      <c r="S22" s="13">
        <f>SUMIF(Mercado_Receita!$S$2:$S$553,"44743B1Convencional pré-pagamentoResidencialResidencialNão se aplicaNão se aplicaPonta",Mercado_Receita!$L$2:$L$553)+SUMIF(Mercado_Receita!$S$2:$S$553,"44743B1Convencional pré-pagamentoResidencialResidencialNão se aplicaNão se aplicaFora ponta",Mercado_Receita!$L$2:$L$553)+SUMIF(Mercado_Receita!$S$2:$S$553,"44743B1Convencional pré-pagamentoResidencialResidencialNão se aplicaNão se aplicaIntermediário",Mercado_Receita!$L$2:$L$553)+SUMIF(Mercado_Receita!$S$2:$S$553,"44743B1Convencional pré-pagamentoResidencialResidencialNão se aplicaNão se aplicaNão se aplica",Mercado_Receita!$L$2:$L$553)</f>
        <v>0</v>
      </c>
      <c r="T22" s="13">
        <f>SUMIF(Mercado_Receita!$S$2:$S$553,"44774B1Convencional pré-pagamentoResidencialResidencialNão se aplicaNão se aplicaPonta",Mercado_Receita!$L$2:$L$553)+SUMIF(Mercado_Receita!$S$2:$S$553,"44774B1Convencional pré-pagamentoResidencialResidencialNão se aplicaNão se aplicaFora ponta",Mercado_Receita!$L$2:$L$553)+SUMIF(Mercado_Receita!$S$2:$S$553,"44774B1Convencional pré-pagamentoResidencialResidencialNão se aplicaNão se aplicaIntermediário",Mercado_Receita!$L$2:$L$553)+SUMIF(Mercado_Receita!$S$2:$S$553,"44774B1Convencional pré-pagamentoResidencialResidencialNão se aplicaNão se aplicaNão se aplica",Mercado_Receita!$L$2:$L$553)</f>
        <v>0</v>
      </c>
      <c r="U22" s="13">
        <f t="shared" si="0"/>
        <v>0</v>
      </c>
      <c r="V22" s="13"/>
      <c r="W22" s="13"/>
    </row>
    <row r="23" spans="1:23" ht="11.25" customHeight="1" x14ac:dyDescent="0.25">
      <c r="A23" s="80"/>
      <c r="B23" s="80"/>
      <c r="C23" s="80"/>
      <c r="D23" s="12" t="s">
        <v>29</v>
      </c>
      <c r="E23" s="12" t="s">
        <v>25</v>
      </c>
      <c r="F23" s="12" t="s">
        <v>25</v>
      </c>
      <c r="G23" s="13" t="s">
        <v>78</v>
      </c>
      <c r="H23" s="13" t="s">
        <v>72</v>
      </c>
      <c r="I23" s="13">
        <f>SUMIF(Mercado_Receita!$S$2:$S$553,"44440B1Convencional pré-pagamentoResidencialResidencial baixa renda – faixa 01Não se aplicaNão se aplicaPonta",Mercado_Receita!$L$2:$L$553)+SUMIF(Mercado_Receita!$S$2:$S$553,"44440B1Convencional pré-pagamentoResidencialResidencial baixa renda – faixa 01Não se aplicaNão se aplicaFora ponta",Mercado_Receita!$L$2:$L$553)+SUMIF(Mercado_Receita!$S$2:$S$553,"44440B1Convencional pré-pagamentoResidencialResidencial baixa renda – faixa 01Não se aplicaNão se aplicaIntermediário",Mercado_Receita!$L$2:$L$553)+SUMIF(Mercado_Receita!$S$2:$S$553,"44440B1Convencional pré-pagamentoResidencialResidencial baixa renda – faixa 01Não se aplicaNão se aplicaNão se aplica",Mercado_Receita!$L$2:$L$553)</f>
        <v>0</v>
      </c>
      <c r="J23" s="13">
        <f>SUMIF(Mercado_Receita!$S$2:$S$553,"44470B1Convencional pré-pagamentoResidencialResidencial baixa renda – faixa 01Não se aplicaNão se aplicaPonta",Mercado_Receita!$L$2:$L$553)+SUMIF(Mercado_Receita!$S$2:$S$553,"44470B1Convencional pré-pagamentoResidencialResidencial baixa renda – faixa 01Não se aplicaNão se aplicaFora ponta",Mercado_Receita!$L$2:$L$553)+SUMIF(Mercado_Receita!$S$2:$S$553,"44470B1Convencional pré-pagamentoResidencialResidencial baixa renda – faixa 01Não se aplicaNão se aplicaIntermediário",Mercado_Receita!$L$2:$L$553)+SUMIF(Mercado_Receita!$S$2:$S$553,"44470B1Convencional pré-pagamentoResidencialResidencial baixa renda – faixa 01Não se aplicaNão se aplicaNão se aplica",Mercado_Receita!$L$2:$L$553)</f>
        <v>0</v>
      </c>
      <c r="K23" s="13">
        <f>SUMIF(Mercado_Receita!$S$2:$S$553,"44501B1Convencional pré-pagamentoResidencialResidencial baixa renda – faixa 01Não se aplicaNão se aplicaPonta",Mercado_Receita!$L$2:$L$553)+SUMIF(Mercado_Receita!$S$2:$S$553,"44501B1Convencional pré-pagamentoResidencialResidencial baixa renda – faixa 01Não se aplicaNão se aplicaFora ponta",Mercado_Receita!$L$2:$L$553)+SUMIF(Mercado_Receita!$S$2:$S$553,"44501B1Convencional pré-pagamentoResidencialResidencial baixa renda – faixa 01Não se aplicaNão se aplicaIntermediário",Mercado_Receita!$L$2:$L$553)+SUMIF(Mercado_Receita!$S$2:$S$553,"44501B1Convencional pré-pagamentoResidencialResidencial baixa renda – faixa 01Não se aplicaNão se aplicaNão se aplica",Mercado_Receita!$L$2:$L$553)</f>
        <v>0</v>
      </c>
      <c r="L23" s="13">
        <f>SUMIF(Mercado_Receita!$S$2:$S$553,"44531B1Convencional pré-pagamentoResidencialResidencial baixa renda – faixa 01Não se aplicaNão se aplicaPonta",Mercado_Receita!$L$2:$L$553)+SUMIF(Mercado_Receita!$S$2:$S$553,"44531B1Convencional pré-pagamentoResidencialResidencial baixa renda – faixa 01Não se aplicaNão se aplicaFora ponta",Mercado_Receita!$L$2:$L$553)+SUMIF(Mercado_Receita!$S$2:$S$553,"44531B1Convencional pré-pagamentoResidencialResidencial baixa renda – faixa 01Não se aplicaNão se aplicaIntermediário",Mercado_Receita!$L$2:$L$553)+SUMIF(Mercado_Receita!$S$2:$S$553,"44531B1Convencional pré-pagamentoResidencialResidencial baixa renda – faixa 01Não se aplicaNão se aplicaNão se aplica",Mercado_Receita!$L$2:$L$553)</f>
        <v>0</v>
      </c>
      <c r="M23" s="13">
        <f>SUMIF(Mercado_Receita!$S$2:$S$553,"44562B1Convencional pré-pagamentoResidencialResidencial baixa renda – faixa 01Não se aplicaNão se aplicaPonta",Mercado_Receita!$L$2:$L$553)+SUMIF(Mercado_Receita!$S$2:$S$553,"44562B1Convencional pré-pagamentoResidencialResidencial baixa renda – faixa 01Não se aplicaNão se aplicaFora ponta",Mercado_Receita!$L$2:$L$553)+SUMIF(Mercado_Receita!$S$2:$S$553,"44562B1Convencional pré-pagamentoResidencialResidencial baixa renda – faixa 01Não se aplicaNão se aplicaIntermediário",Mercado_Receita!$L$2:$L$553)+SUMIF(Mercado_Receita!$S$2:$S$553,"44562B1Convencional pré-pagamentoResidencialResidencial baixa renda – faixa 01Não se aplicaNão se aplicaNão se aplica",Mercado_Receita!$L$2:$L$553)</f>
        <v>0</v>
      </c>
      <c r="N23" s="13">
        <f>SUMIF(Mercado_Receita!$S$2:$S$553,"44593B1Convencional pré-pagamentoResidencialResidencial baixa renda – faixa 01Não se aplicaNão se aplicaPonta",Mercado_Receita!$L$2:$L$553)+SUMIF(Mercado_Receita!$S$2:$S$553,"44593B1Convencional pré-pagamentoResidencialResidencial baixa renda – faixa 01Não se aplicaNão se aplicaFora ponta",Mercado_Receita!$L$2:$L$553)+SUMIF(Mercado_Receita!$S$2:$S$553,"44593B1Convencional pré-pagamentoResidencialResidencial baixa renda – faixa 01Não se aplicaNão se aplicaIntermediário",Mercado_Receita!$L$2:$L$553)+SUMIF(Mercado_Receita!$S$2:$S$553,"44593B1Convencional pré-pagamentoResidencialResidencial baixa renda – faixa 01Não se aplicaNão se aplicaNão se aplica",Mercado_Receita!$L$2:$L$553)</f>
        <v>0</v>
      </c>
      <c r="O23" s="13">
        <f>SUMIF(Mercado_Receita!$S$2:$S$553,"44621B1Convencional pré-pagamentoResidencialResidencial baixa renda – faixa 01Não se aplicaNão se aplicaPonta",Mercado_Receita!$L$2:$L$553)+SUMIF(Mercado_Receita!$S$2:$S$553,"44621B1Convencional pré-pagamentoResidencialResidencial baixa renda – faixa 01Não se aplicaNão se aplicaFora ponta",Mercado_Receita!$L$2:$L$553)+SUMIF(Mercado_Receita!$S$2:$S$553,"44621B1Convencional pré-pagamentoResidencialResidencial baixa renda – faixa 01Não se aplicaNão se aplicaIntermediário",Mercado_Receita!$L$2:$L$553)+SUMIF(Mercado_Receita!$S$2:$S$553,"44621B1Convencional pré-pagamentoResidencialResidencial baixa renda – faixa 01Não se aplicaNão se aplicaNão se aplica",Mercado_Receita!$L$2:$L$553)</f>
        <v>0</v>
      </c>
      <c r="P23" s="13">
        <f>SUMIF(Mercado_Receita!$S$2:$S$553,"44652B1Convencional pré-pagamentoResidencialResidencial baixa renda – faixa 01Não se aplicaNão se aplicaPonta",Mercado_Receita!$L$2:$L$553)+SUMIF(Mercado_Receita!$S$2:$S$553,"44652B1Convencional pré-pagamentoResidencialResidencial baixa renda – faixa 01Não se aplicaNão se aplicaFora ponta",Mercado_Receita!$L$2:$L$553)+SUMIF(Mercado_Receita!$S$2:$S$553,"44652B1Convencional pré-pagamentoResidencialResidencial baixa renda – faixa 01Não se aplicaNão se aplicaIntermediário",Mercado_Receita!$L$2:$L$553)+SUMIF(Mercado_Receita!$S$2:$S$553,"44652B1Convencional pré-pagamentoResidencialResidencial baixa renda – faixa 01Não se aplicaNão se aplicaNão se aplica",Mercado_Receita!$L$2:$L$553)</f>
        <v>0</v>
      </c>
      <c r="Q23" s="13">
        <f>SUMIF(Mercado_Receita!$S$2:$S$553,"44682B1Convencional pré-pagamentoResidencialResidencial baixa renda – faixa 01Não se aplicaNão se aplicaPonta",Mercado_Receita!$L$2:$L$553)+SUMIF(Mercado_Receita!$S$2:$S$553,"44682B1Convencional pré-pagamentoResidencialResidencial baixa renda – faixa 01Não se aplicaNão se aplicaFora ponta",Mercado_Receita!$L$2:$L$553)+SUMIF(Mercado_Receita!$S$2:$S$553,"44682B1Convencional pré-pagamentoResidencialResidencial baixa renda – faixa 01Não se aplicaNão se aplicaIntermediário",Mercado_Receita!$L$2:$L$553)+SUMIF(Mercado_Receita!$S$2:$S$553,"44682B1Convencional pré-pagamentoResidencialResidencial baixa renda – faixa 01Não se aplicaNão se aplicaNão se aplica",Mercado_Receita!$L$2:$L$553)</f>
        <v>0</v>
      </c>
      <c r="R23" s="13">
        <f>SUMIF(Mercado_Receita!$S$2:$S$553,"44713B1Convencional pré-pagamentoResidencialResidencial baixa renda – faixa 01Não se aplicaNão se aplicaPonta",Mercado_Receita!$L$2:$L$553)+SUMIF(Mercado_Receita!$S$2:$S$553,"44713B1Convencional pré-pagamentoResidencialResidencial baixa renda – faixa 01Não se aplicaNão se aplicaFora ponta",Mercado_Receita!$L$2:$L$553)+SUMIF(Mercado_Receita!$S$2:$S$553,"44713B1Convencional pré-pagamentoResidencialResidencial baixa renda – faixa 01Não se aplicaNão se aplicaIntermediário",Mercado_Receita!$L$2:$L$553)+SUMIF(Mercado_Receita!$S$2:$S$553,"44713B1Convencional pré-pagamentoResidencialResidencial baixa renda – faixa 01Não se aplicaNão se aplicaNão se aplica",Mercado_Receita!$L$2:$L$553)</f>
        <v>0</v>
      </c>
      <c r="S23" s="13">
        <f>SUMIF(Mercado_Receita!$S$2:$S$553,"44743B1Convencional pré-pagamentoResidencialResidencial baixa renda – faixa 01Não se aplicaNão se aplicaPonta",Mercado_Receita!$L$2:$L$553)+SUMIF(Mercado_Receita!$S$2:$S$553,"44743B1Convencional pré-pagamentoResidencialResidencial baixa renda – faixa 01Não se aplicaNão se aplicaFora ponta",Mercado_Receita!$L$2:$L$553)+SUMIF(Mercado_Receita!$S$2:$S$553,"44743B1Convencional pré-pagamentoResidencialResidencial baixa renda – faixa 01Não se aplicaNão se aplicaIntermediário",Mercado_Receita!$L$2:$L$553)+SUMIF(Mercado_Receita!$S$2:$S$553,"44743B1Convencional pré-pagamentoResidencialResidencial baixa renda – faixa 01Não se aplicaNão se aplicaNão se aplica",Mercado_Receita!$L$2:$L$553)</f>
        <v>0</v>
      </c>
      <c r="T23" s="13">
        <f>SUMIF(Mercado_Receita!$S$2:$S$553,"44774B1Convencional pré-pagamentoResidencialResidencial baixa renda – faixa 01Não se aplicaNão se aplicaPonta",Mercado_Receita!$L$2:$L$553)+SUMIF(Mercado_Receita!$S$2:$S$553,"44774B1Convencional pré-pagamentoResidencialResidencial baixa renda – faixa 01Não se aplicaNão se aplicaFora ponta",Mercado_Receita!$L$2:$L$553)+SUMIF(Mercado_Receita!$S$2:$S$553,"44774B1Convencional pré-pagamentoResidencialResidencial baixa renda – faixa 01Não se aplicaNão se aplicaIntermediário",Mercado_Receita!$L$2:$L$553)+SUMIF(Mercado_Receita!$S$2:$S$553,"44774B1Convencional pré-pagamentoResidencialResidencial baixa renda – faixa 01Não se aplicaNão se aplicaNão se aplica",Mercado_Receita!$L$2:$L$553)</f>
        <v>0</v>
      </c>
      <c r="U23" s="13">
        <f t="shared" si="0"/>
        <v>0</v>
      </c>
      <c r="V23" s="13"/>
      <c r="W23" s="13"/>
    </row>
    <row r="24" spans="1:23" ht="11.25" customHeight="1" x14ac:dyDescent="0.25">
      <c r="A24" s="80"/>
      <c r="B24" s="80"/>
      <c r="C24" s="80"/>
      <c r="D24" s="12" t="s">
        <v>30</v>
      </c>
      <c r="E24" s="12" t="s">
        <v>25</v>
      </c>
      <c r="F24" s="12" t="s">
        <v>25</v>
      </c>
      <c r="G24" s="13" t="s">
        <v>78</v>
      </c>
      <c r="H24" s="13" t="s">
        <v>72</v>
      </c>
      <c r="I24" s="13">
        <f>SUMIF(Mercado_Receita!$S$2:$S$553,"44440B1Convencional pré-pagamentoResidencialResidencial baixa renda – faixa 02Não se aplicaNão se aplicaPonta",Mercado_Receita!$L$2:$L$553)+SUMIF(Mercado_Receita!$S$2:$S$553,"44440B1Convencional pré-pagamentoResidencialResidencial baixa renda – faixa 02Não se aplicaNão se aplicaFora ponta",Mercado_Receita!$L$2:$L$553)+SUMIF(Mercado_Receita!$S$2:$S$553,"44440B1Convencional pré-pagamentoResidencialResidencial baixa renda – faixa 02Não se aplicaNão se aplicaIntermediário",Mercado_Receita!$L$2:$L$553)+SUMIF(Mercado_Receita!$S$2:$S$553,"44440B1Convencional pré-pagamentoResidencialResidencial baixa renda – faixa 02Não se aplicaNão se aplicaNão se aplica",Mercado_Receita!$L$2:$L$553)</f>
        <v>0</v>
      </c>
      <c r="J24" s="13">
        <f>SUMIF(Mercado_Receita!$S$2:$S$553,"44470B1Convencional pré-pagamentoResidencialResidencial baixa renda – faixa 02Não se aplicaNão se aplicaPonta",Mercado_Receita!$L$2:$L$553)+SUMIF(Mercado_Receita!$S$2:$S$553,"44470B1Convencional pré-pagamentoResidencialResidencial baixa renda – faixa 02Não se aplicaNão se aplicaFora ponta",Mercado_Receita!$L$2:$L$553)+SUMIF(Mercado_Receita!$S$2:$S$553,"44470B1Convencional pré-pagamentoResidencialResidencial baixa renda – faixa 02Não se aplicaNão se aplicaIntermediário",Mercado_Receita!$L$2:$L$553)+SUMIF(Mercado_Receita!$S$2:$S$553,"44470B1Convencional pré-pagamentoResidencialResidencial baixa renda – faixa 02Não se aplicaNão se aplicaNão se aplica",Mercado_Receita!$L$2:$L$553)</f>
        <v>0</v>
      </c>
      <c r="K24" s="13">
        <f>SUMIF(Mercado_Receita!$S$2:$S$553,"44501B1Convencional pré-pagamentoResidencialResidencial baixa renda – faixa 02Não se aplicaNão se aplicaPonta",Mercado_Receita!$L$2:$L$553)+SUMIF(Mercado_Receita!$S$2:$S$553,"44501B1Convencional pré-pagamentoResidencialResidencial baixa renda – faixa 02Não se aplicaNão se aplicaFora ponta",Mercado_Receita!$L$2:$L$553)+SUMIF(Mercado_Receita!$S$2:$S$553,"44501B1Convencional pré-pagamentoResidencialResidencial baixa renda – faixa 02Não se aplicaNão se aplicaIntermediário",Mercado_Receita!$L$2:$L$553)+SUMIF(Mercado_Receita!$S$2:$S$553,"44501B1Convencional pré-pagamentoResidencialResidencial baixa renda – faixa 02Não se aplicaNão se aplicaNão se aplica",Mercado_Receita!$L$2:$L$553)</f>
        <v>0</v>
      </c>
      <c r="L24" s="13">
        <f>SUMIF(Mercado_Receita!$S$2:$S$553,"44531B1Convencional pré-pagamentoResidencialResidencial baixa renda – faixa 02Não se aplicaNão se aplicaPonta",Mercado_Receita!$L$2:$L$553)+SUMIF(Mercado_Receita!$S$2:$S$553,"44531B1Convencional pré-pagamentoResidencialResidencial baixa renda – faixa 02Não se aplicaNão se aplicaFora ponta",Mercado_Receita!$L$2:$L$553)+SUMIF(Mercado_Receita!$S$2:$S$553,"44531B1Convencional pré-pagamentoResidencialResidencial baixa renda – faixa 02Não se aplicaNão se aplicaIntermediário",Mercado_Receita!$L$2:$L$553)+SUMIF(Mercado_Receita!$S$2:$S$553,"44531B1Convencional pré-pagamentoResidencialResidencial baixa renda – faixa 02Não se aplicaNão se aplicaNão se aplica",Mercado_Receita!$L$2:$L$553)</f>
        <v>0</v>
      </c>
      <c r="M24" s="13">
        <f>SUMIF(Mercado_Receita!$S$2:$S$553,"44562B1Convencional pré-pagamentoResidencialResidencial baixa renda – faixa 02Não se aplicaNão se aplicaPonta",Mercado_Receita!$L$2:$L$553)+SUMIF(Mercado_Receita!$S$2:$S$553,"44562B1Convencional pré-pagamentoResidencialResidencial baixa renda – faixa 02Não se aplicaNão se aplicaFora ponta",Mercado_Receita!$L$2:$L$553)+SUMIF(Mercado_Receita!$S$2:$S$553,"44562B1Convencional pré-pagamentoResidencialResidencial baixa renda – faixa 02Não se aplicaNão se aplicaIntermediário",Mercado_Receita!$L$2:$L$553)+SUMIF(Mercado_Receita!$S$2:$S$553,"44562B1Convencional pré-pagamentoResidencialResidencial baixa renda – faixa 02Não se aplicaNão se aplicaNão se aplica",Mercado_Receita!$L$2:$L$553)</f>
        <v>0</v>
      </c>
      <c r="N24" s="13">
        <f>SUMIF(Mercado_Receita!$S$2:$S$553,"44593B1Convencional pré-pagamentoResidencialResidencial baixa renda – faixa 02Não se aplicaNão se aplicaPonta",Mercado_Receita!$L$2:$L$553)+SUMIF(Mercado_Receita!$S$2:$S$553,"44593B1Convencional pré-pagamentoResidencialResidencial baixa renda – faixa 02Não se aplicaNão se aplicaFora ponta",Mercado_Receita!$L$2:$L$553)+SUMIF(Mercado_Receita!$S$2:$S$553,"44593B1Convencional pré-pagamentoResidencialResidencial baixa renda – faixa 02Não se aplicaNão se aplicaIntermediário",Mercado_Receita!$L$2:$L$553)+SUMIF(Mercado_Receita!$S$2:$S$553,"44593B1Convencional pré-pagamentoResidencialResidencial baixa renda – faixa 02Não se aplicaNão se aplicaNão se aplica",Mercado_Receita!$L$2:$L$553)</f>
        <v>0</v>
      </c>
      <c r="O24" s="13">
        <f>SUMIF(Mercado_Receita!$S$2:$S$553,"44621B1Convencional pré-pagamentoResidencialResidencial baixa renda – faixa 02Não se aplicaNão se aplicaPonta",Mercado_Receita!$L$2:$L$553)+SUMIF(Mercado_Receita!$S$2:$S$553,"44621B1Convencional pré-pagamentoResidencialResidencial baixa renda – faixa 02Não se aplicaNão se aplicaFora ponta",Mercado_Receita!$L$2:$L$553)+SUMIF(Mercado_Receita!$S$2:$S$553,"44621B1Convencional pré-pagamentoResidencialResidencial baixa renda – faixa 02Não se aplicaNão se aplicaIntermediário",Mercado_Receita!$L$2:$L$553)+SUMIF(Mercado_Receita!$S$2:$S$553,"44621B1Convencional pré-pagamentoResidencialResidencial baixa renda – faixa 02Não se aplicaNão se aplicaNão se aplica",Mercado_Receita!$L$2:$L$553)</f>
        <v>0</v>
      </c>
      <c r="P24" s="13">
        <f>SUMIF(Mercado_Receita!$S$2:$S$553,"44652B1Convencional pré-pagamentoResidencialResidencial baixa renda – faixa 02Não se aplicaNão se aplicaPonta",Mercado_Receita!$L$2:$L$553)+SUMIF(Mercado_Receita!$S$2:$S$553,"44652B1Convencional pré-pagamentoResidencialResidencial baixa renda – faixa 02Não se aplicaNão se aplicaFora ponta",Mercado_Receita!$L$2:$L$553)+SUMIF(Mercado_Receita!$S$2:$S$553,"44652B1Convencional pré-pagamentoResidencialResidencial baixa renda – faixa 02Não se aplicaNão se aplicaIntermediário",Mercado_Receita!$L$2:$L$553)+SUMIF(Mercado_Receita!$S$2:$S$553,"44652B1Convencional pré-pagamentoResidencialResidencial baixa renda – faixa 02Não se aplicaNão se aplicaNão se aplica",Mercado_Receita!$L$2:$L$553)</f>
        <v>0</v>
      </c>
      <c r="Q24" s="13">
        <f>SUMIF(Mercado_Receita!$S$2:$S$553,"44682B1Convencional pré-pagamentoResidencialResidencial baixa renda – faixa 02Não se aplicaNão se aplicaPonta",Mercado_Receita!$L$2:$L$553)+SUMIF(Mercado_Receita!$S$2:$S$553,"44682B1Convencional pré-pagamentoResidencialResidencial baixa renda – faixa 02Não se aplicaNão se aplicaFora ponta",Mercado_Receita!$L$2:$L$553)+SUMIF(Mercado_Receita!$S$2:$S$553,"44682B1Convencional pré-pagamentoResidencialResidencial baixa renda – faixa 02Não se aplicaNão se aplicaIntermediário",Mercado_Receita!$L$2:$L$553)+SUMIF(Mercado_Receita!$S$2:$S$553,"44682B1Convencional pré-pagamentoResidencialResidencial baixa renda – faixa 02Não se aplicaNão se aplicaNão se aplica",Mercado_Receita!$L$2:$L$553)</f>
        <v>0</v>
      </c>
      <c r="R24" s="13">
        <f>SUMIF(Mercado_Receita!$S$2:$S$553,"44713B1Convencional pré-pagamentoResidencialResidencial baixa renda – faixa 02Não se aplicaNão se aplicaPonta",Mercado_Receita!$L$2:$L$553)+SUMIF(Mercado_Receita!$S$2:$S$553,"44713B1Convencional pré-pagamentoResidencialResidencial baixa renda – faixa 02Não se aplicaNão se aplicaFora ponta",Mercado_Receita!$L$2:$L$553)+SUMIF(Mercado_Receita!$S$2:$S$553,"44713B1Convencional pré-pagamentoResidencialResidencial baixa renda – faixa 02Não se aplicaNão se aplicaIntermediário",Mercado_Receita!$L$2:$L$553)+SUMIF(Mercado_Receita!$S$2:$S$553,"44713B1Convencional pré-pagamentoResidencialResidencial baixa renda – faixa 02Não se aplicaNão se aplicaNão se aplica",Mercado_Receita!$L$2:$L$553)</f>
        <v>0</v>
      </c>
      <c r="S24" s="13">
        <f>SUMIF(Mercado_Receita!$S$2:$S$553,"44743B1Convencional pré-pagamentoResidencialResidencial baixa renda – faixa 02Não se aplicaNão se aplicaPonta",Mercado_Receita!$L$2:$L$553)+SUMIF(Mercado_Receita!$S$2:$S$553,"44743B1Convencional pré-pagamentoResidencialResidencial baixa renda – faixa 02Não se aplicaNão se aplicaFora ponta",Mercado_Receita!$L$2:$L$553)+SUMIF(Mercado_Receita!$S$2:$S$553,"44743B1Convencional pré-pagamentoResidencialResidencial baixa renda – faixa 02Não se aplicaNão se aplicaIntermediário",Mercado_Receita!$L$2:$L$553)+SUMIF(Mercado_Receita!$S$2:$S$553,"44743B1Convencional pré-pagamentoResidencialResidencial baixa renda – faixa 02Não se aplicaNão se aplicaNão se aplica",Mercado_Receita!$L$2:$L$553)</f>
        <v>0</v>
      </c>
      <c r="T24" s="13">
        <f>SUMIF(Mercado_Receita!$S$2:$S$553,"44774B1Convencional pré-pagamentoResidencialResidencial baixa renda – faixa 02Não se aplicaNão se aplicaPonta",Mercado_Receita!$L$2:$L$553)+SUMIF(Mercado_Receita!$S$2:$S$553,"44774B1Convencional pré-pagamentoResidencialResidencial baixa renda – faixa 02Não se aplicaNão se aplicaFora ponta",Mercado_Receita!$L$2:$L$553)+SUMIF(Mercado_Receita!$S$2:$S$553,"44774B1Convencional pré-pagamentoResidencialResidencial baixa renda – faixa 02Não se aplicaNão se aplicaIntermediário",Mercado_Receita!$L$2:$L$553)+SUMIF(Mercado_Receita!$S$2:$S$553,"44774B1Convencional pré-pagamentoResidencialResidencial baixa renda – faixa 02Não se aplicaNão se aplicaNão se aplica",Mercado_Receita!$L$2:$L$553)</f>
        <v>0</v>
      </c>
      <c r="U24" s="13">
        <f t="shared" si="0"/>
        <v>0</v>
      </c>
      <c r="V24" s="13"/>
      <c r="W24" s="13"/>
    </row>
    <row r="25" spans="1:23" ht="11.25" customHeight="1" x14ac:dyDescent="0.25">
      <c r="A25" s="80"/>
      <c r="B25" s="80"/>
      <c r="C25" s="80"/>
      <c r="D25" s="12" t="s">
        <v>31</v>
      </c>
      <c r="E25" s="12" t="s">
        <v>25</v>
      </c>
      <c r="F25" s="12" t="s">
        <v>25</v>
      </c>
      <c r="G25" s="13" t="s">
        <v>78</v>
      </c>
      <c r="H25" s="13" t="s">
        <v>72</v>
      </c>
      <c r="I25" s="13">
        <f>SUMIF(Mercado_Receita!$S$2:$S$553,"44440B1Convencional pré-pagamentoResidencialResidencial baixa renda – faixa 03Não se aplicaNão se aplicaPonta",Mercado_Receita!$L$2:$L$553)+SUMIF(Mercado_Receita!$S$2:$S$553,"44440B1Convencional pré-pagamentoResidencialResidencial baixa renda – faixa 03Não se aplicaNão se aplicaFora ponta",Mercado_Receita!$L$2:$L$553)+SUMIF(Mercado_Receita!$S$2:$S$553,"44440B1Convencional pré-pagamentoResidencialResidencial baixa renda – faixa 03Não se aplicaNão se aplicaIntermediário",Mercado_Receita!$L$2:$L$553)+SUMIF(Mercado_Receita!$S$2:$S$553,"44440B1Convencional pré-pagamentoResidencialResidencial baixa renda – faixa 03Não se aplicaNão se aplicaNão se aplica",Mercado_Receita!$L$2:$L$553)</f>
        <v>0</v>
      </c>
      <c r="J25" s="13">
        <f>SUMIF(Mercado_Receita!$S$2:$S$553,"44470B1Convencional pré-pagamentoResidencialResidencial baixa renda – faixa 03Não se aplicaNão se aplicaPonta",Mercado_Receita!$L$2:$L$553)+SUMIF(Mercado_Receita!$S$2:$S$553,"44470B1Convencional pré-pagamentoResidencialResidencial baixa renda – faixa 03Não se aplicaNão se aplicaFora ponta",Mercado_Receita!$L$2:$L$553)+SUMIF(Mercado_Receita!$S$2:$S$553,"44470B1Convencional pré-pagamentoResidencialResidencial baixa renda – faixa 03Não se aplicaNão se aplicaIntermediário",Mercado_Receita!$L$2:$L$553)+SUMIF(Mercado_Receita!$S$2:$S$553,"44470B1Convencional pré-pagamentoResidencialResidencial baixa renda – faixa 03Não se aplicaNão se aplicaNão se aplica",Mercado_Receita!$L$2:$L$553)</f>
        <v>0</v>
      </c>
      <c r="K25" s="13">
        <f>SUMIF(Mercado_Receita!$S$2:$S$553,"44501B1Convencional pré-pagamentoResidencialResidencial baixa renda – faixa 03Não se aplicaNão se aplicaPonta",Mercado_Receita!$L$2:$L$553)+SUMIF(Mercado_Receita!$S$2:$S$553,"44501B1Convencional pré-pagamentoResidencialResidencial baixa renda – faixa 03Não se aplicaNão se aplicaFora ponta",Mercado_Receita!$L$2:$L$553)+SUMIF(Mercado_Receita!$S$2:$S$553,"44501B1Convencional pré-pagamentoResidencialResidencial baixa renda – faixa 03Não se aplicaNão se aplicaIntermediário",Mercado_Receita!$L$2:$L$553)+SUMIF(Mercado_Receita!$S$2:$S$553,"44501B1Convencional pré-pagamentoResidencialResidencial baixa renda – faixa 03Não se aplicaNão se aplicaNão se aplica",Mercado_Receita!$L$2:$L$553)</f>
        <v>0</v>
      </c>
      <c r="L25" s="13">
        <f>SUMIF(Mercado_Receita!$S$2:$S$553,"44531B1Convencional pré-pagamentoResidencialResidencial baixa renda – faixa 03Não se aplicaNão se aplicaPonta",Mercado_Receita!$L$2:$L$553)+SUMIF(Mercado_Receita!$S$2:$S$553,"44531B1Convencional pré-pagamentoResidencialResidencial baixa renda – faixa 03Não se aplicaNão se aplicaFora ponta",Mercado_Receita!$L$2:$L$553)+SUMIF(Mercado_Receita!$S$2:$S$553,"44531B1Convencional pré-pagamentoResidencialResidencial baixa renda – faixa 03Não se aplicaNão se aplicaIntermediário",Mercado_Receita!$L$2:$L$553)+SUMIF(Mercado_Receita!$S$2:$S$553,"44531B1Convencional pré-pagamentoResidencialResidencial baixa renda – faixa 03Não se aplicaNão se aplicaNão se aplica",Mercado_Receita!$L$2:$L$553)</f>
        <v>0</v>
      </c>
      <c r="M25" s="13">
        <f>SUMIF(Mercado_Receita!$S$2:$S$553,"44562B1Convencional pré-pagamentoResidencialResidencial baixa renda – faixa 03Não se aplicaNão se aplicaPonta",Mercado_Receita!$L$2:$L$553)+SUMIF(Mercado_Receita!$S$2:$S$553,"44562B1Convencional pré-pagamentoResidencialResidencial baixa renda – faixa 03Não se aplicaNão se aplicaFora ponta",Mercado_Receita!$L$2:$L$553)+SUMIF(Mercado_Receita!$S$2:$S$553,"44562B1Convencional pré-pagamentoResidencialResidencial baixa renda – faixa 03Não se aplicaNão se aplicaIntermediário",Mercado_Receita!$L$2:$L$553)+SUMIF(Mercado_Receita!$S$2:$S$553,"44562B1Convencional pré-pagamentoResidencialResidencial baixa renda – faixa 03Não se aplicaNão se aplicaNão se aplica",Mercado_Receita!$L$2:$L$553)</f>
        <v>0</v>
      </c>
      <c r="N25" s="13">
        <f>SUMIF(Mercado_Receita!$S$2:$S$553,"44593B1Convencional pré-pagamentoResidencialResidencial baixa renda – faixa 03Não se aplicaNão se aplicaPonta",Mercado_Receita!$L$2:$L$553)+SUMIF(Mercado_Receita!$S$2:$S$553,"44593B1Convencional pré-pagamentoResidencialResidencial baixa renda – faixa 03Não se aplicaNão se aplicaFora ponta",Mercado_Receita!$L$2:$L$553)+SUMIF(Mercado_Receita!$S$2:$S$553,"44593B1Convencional pré-pagamentoResidencialResidencial baixa renda – faixa 03Não se aplicaNão se aplicaIntermediário",Mercado_Receita!$L$2:$L$553)+SUMIF(Mercado_Receita!$S$2:$S$553,"44593B1Convencional pré-pagamentoResidencialResidencial baixa renda – faixa 03Não se aplicaNão se aplicaNão se aplica",Mercado_Receita!$L$2:$L$553)</f>
        <v>0</v>
      </c>
      <c r="O25" s="13">
        <f>SUMIF(Mercado_Receita!$S$2:$S$553,"44621B1Convencional pré-pagamentoResidencialResidencial baixa renda – faixa 03Não se aplicaNão se aplicaPonta",Mercado_Receita!$L$2:$L$553)+SUMIF(Mercado_Receita!$S$2:$S$553,"44621B1Convencional pré-pagamentoResidencialResidencial baixa renda – faixa 03Não se aplicaNão se aplicaFora ponta",Mercado_Receita!$L$2:$L$553)+SUMIF(Mercado_Receita!$S$2:$S$553,"44621B1Convencional pré-pagamentoResidencialResidencial baixa renda – faixa 03Não se aplicaNão se aplicaIntermediário",Mercado_Receita!$L$2:$L$553)+SUMIF(Mercado_Receita!$S$2:$S$553,"44621B1Convencional pré-pagamentoResidencialResidencial baixa renda – faixa 03Não se aplicaNão se aplicaNão se aplica",Mercado_Receita!$L$2:$L$553)</f>
        <v>0</v>
      </c>
      <c r="P25" s="13">
        <f>SUMIF(Mercado_Receita!$S$2:$S$553,"44652B1Convencional pré-pagamentoResidencialResidencial baixa renda – faixa 03Não se aplicaNão se aplicaPonta",Mercado_Receita!$L$2:$L$553)+SUMIF(Mercado_Receita!$S$2:$S$553,"44652B1Convencional pré-pagamentoResidencialResidencial baixa renda – faixa 03Não se aplicaNão se aplicaFora ponta",Mercado_Receita!$L$2:$L$553)+SUMIF(Mercado_Receita!$S$2:$S$553,"44652B1Convencional pré-pagamentoResidencialResidencial baixa renda – faixa 03Não se aplicaNão se aplicaIntermediário",Mercado_Receita!$L$2:$L$553)+SUMIF(Mercado_Receita!$S$2:$S$553,"44652B1Convencional pré-pagamentoResidencialResidencial baixa renda – faixa 03Não se aplicaNão se aplicaNão se aplica",Mercado_Receita!$L$2:$L$553)</f>
        <v>0</v>
      </c>
      <c r="Q25" s="13">
        <f>SUMIF(Mercado_Receita!$S$2:$S$553,"44682B1Convencional pré-pagamentoResidencialResidencial baixa renda – faixa 03Não se aplicaNão se aplicaPonta",Mercado_Receita!$L$2:$L$553)+SUMIF(Mercado_Receita!$S$2:$S$553,"44682B1Convencional pré-pagamentoResidencialResidencial baixa renda – faixa 03Não se aplicaNão se aplicaFora ponta",Mercado_Receita!$L$2:$L$553)+SUMIF(Mercado_Receita!$S$2:$S$553,"44682B1Convencional pré-pagamentoResidencialResidencial baixa renda – faixa 03Não se aplicaNão se aplicaIntermediário",Mercado_Receita!$L$2:$L$553)+SUMIF(Mercado_Receita!$S$2:$S$553,"44682B1Convencional pré-pagamentoResidencialResidencial baixa renda – faixa 03Não se aplicaNão se aplicaNão se aplica",Mercado_Receita!$L$2:$L$553)</f>
        <v>0</v>
      </c>
      <c r="R25" s="13">
        <f>SUMIF(Mercado_Receita!$S$2:$S$553,"44713B1Convencional pré-pagamentoResidencialResidencial baixa renda – faixa 03Não se aplicaNão se aplicaPonta",Mercado_Receita!$L$2:$L$553)+SUMIF(Mercado_Receita!$S$2:$S$553,"44713B1Convencional pré-pagamentoResidencialResidencial baixa renda – faixa 03Não se aplicaNão se aplicaFora ponta",Mercado_Receita!$L$2:$L$553)+SUMIF(Mercado_Receita!$S$2:$S$553,"44713B1Convencional pré-pagamentoResidencialResidencial baixa renda – faixa 03Não se aplicaNão se aplicaIntermediário",Mercado_Receita!$L$2:$L$553)+SUMIF(Mercado_Receita!$S$2:$S$553,"44713B1Convencional pré-pagamentoResidencialResidencial baixa renda – faixa 03Não se aplicaNão se aplicaNão se aplica",Mercado_Receita!$L$2:$L$553)</f>
        <v>0</v>
      </c>
      <c r="S25" s="13">
        <f>SUMIF(Mercado_Receita!$S$2:$S$553,"44743B1Convencional pré-pagamentoResidencialResidencial baixa renda – faixa 03Não se aplicaNão se aplicaPonta",Mercado_Receita!$L$2:$L$553)+SUMIF(Mercado_Receita!$S$2:$S$553,"44743B1Convencional pré-pagamentoResidencialResidencial baixa renda – faixa 03Não se aplicaNão se aplicaFora ponta",Mercado_Receita!$L$2:$L$553)+SUMIF(Mercado_Receita!$S$2:$S$553,"44743B1Convencional pré-pagamentoResidencialResidencial baixa renda – faixa 03Não se aplicaNão se aplicaIntermediário",Mercado_Receita!$L$2:$L$553)+SUMIF(Mercado_Receita!$S$2:$S$553,"44743B1Convencional pré-pagamentoResidencialResidencial baixa renda – faixa 03Não se aplicaNão se aplicaNão se aplica",Mercado_Receita!$L$2:$L$553)</f>
        <v>0</v>
      </c>
      <c r="T25" s="13">
        <f>SUMIF(Mercado_Receita!$S$2:$S$553,"44774B1Convencional pré-pagamentoResidencialResidencial baixa renda – faixa 03Não se aplicaNão se aplicaPonta",Mercado_Receita!$L$2:$L$553)+SUMIF(Mercado_Receita!$S$2:$S$553,"44774B1Convencional pré-pagamentoResidencialResidencial baixa renda – faixa 03Não se aplicaNão se aplicaFora ponta",Mercado_Receita!$L$2:$L$553)+SUMIF(Mercado_Receita!$S$2:$S$553,"44774B1Convencional pré-pagamentoResidencialResidencial baixa renda – faixa 03Não se aplicaNão se aplicaIntermediário",Mercado_Receita!$L$2:$L$553)+SUMIF(Mercado_Receita!$S$2:$S$553,"44774B1Convencional pré-pagamentoResidencialResidencial baixa renda – faixa 03Não se aplicaNão se aplicaNão se aplica",Mercado_Receita!$L$2:$L$553)</f>
        <v>0</v>
      </c>
      <c r="U25" s="13">
        <f t="shared" si="0"/>
        <v>0</v>
      </c>
      <c r="V25" s="13"/>
      <c r="W25" s="13"/>
    </row>
    <row r="26" spans="1:23" ht="11.25" customHeight="1" x14ac:dyDescent="0.25">
      <c r="A26" s="80"/>
      <c r="B26" s="80"/>
      <c r="C26" s="80"/>
      <c r="D26" s="12" t="s">
        <v>32</v>
      </c>
      <c r="E26" s="12" t="s">
        <v>25</v>
      </c>
      <c r="F26" s="12" t="s">
        <v>25</v>
      </c>
      <c r="G26" s="13" t="s">
        <v>78</v>
      </c>
      <c r="H26" s="13" t="s">
        <v>72</v>
      </c>
      <c r="I26" s="13">
        <f>SUMIF(Mercado_Receita!$S$2:$S$553,"44440B1Convencional pré-pagamentoResidencialResidencial baixa renda – faixa 04Não se aplicaNão se aplicaPonta",Mercado_Receita!$L$2:$L$553)+SUMIF(Mercado_Receita!$S$2:$S$553,"44440B1Convencional pré-pagamentoResidencialResidencial baixa renda – faixa 04Não se aplicaNão se aplicaFora ponta",Mercado_Receita!$L$2:$L$553)+SUMIF(Mercado_Receita!$S$2:$S$553,"44440B1Convencional pré-pagamentoResidencialResidencial baixa renda – faixa 04Não se aplicaNão se aplicaIntermediário",Mercado_Receita!$L$2:$L$553)+SUMIF(Mercado_Receita!$S$2:$S$553,"44440B1Convencional pré-pagamentoResidencialResidencial baixa renda – faixa 04Não se aplicaNão se aplicaNão se aplica",Mercado_Receita!$L$2:$L$553)</f>
        <v>0</v>
      </c>
      <c r="J26" s="13">
        <f>SUMIF(Mercado_Receita!$S$2:$S$553,"44470B1Convencional pré-pagamentoResidencialResidencial baixa renda – faixa 04Não se aplicaNão se aplicaPonta",Mercado_Receita!$L$2:$L$553)+SUMIF(Mercado_Receita!$S$2:$S$553,"44470B1Convencional pré-pagamentoResidencialResidencial baixa renda – faixa 04Não se aplicaNão se aplicaFora ponta",Mercado_Receita!$L$2:$L$553)+SUMIF(Mercado_Receita!$S$2:$S$553,"44470B1Convencional pré-pagamentoResidencialResidencial baixa renda – faixa 04Não se aplicaNão se aplicaIntermediário",Mercado_Receita!$L$2:$L$553)+SUMIF(Mercado_Receita!$S$2:$S$553,"44470B1Convencional pré-pagamentoResidencialResidencial baixa renda – faixa 04Não se aplicaNão se aplicaNão se aplica",Mercado_Receita!$L$2:$L$553)</f>
        <v>0</v>
      </c>
      <c r="K26" s="13">
        <f>SUMIF(Mercado_Receita!$S$2:$S$553,"44501B1Convencional pré-pagamentoResidencialResidencial baixa renda – faixa 04Não se aplicaNão se aplicaPonta",Mercado_Receita!$L$2:$L$553)+SUMIF(Mercado_Receita!$S$2:$S$553,"44501B1Convencional pré-pagamentoResidencialResidencial baixa renda – faixa 04Não se aplicaNão se aplicaFora ponta",Mercado_Receita!$L$2:$L$553)+SUMIF(Mercado_Receita!$S$2:$S$553,"44501B1Convencional pré-pagamentoResidencialResidencial baixa renda – faixa 04Não se aplicaNão se aplicaIntermediário",Mercado_Receita!$L$2:$L$553)+SUMIF(Mercado_Receita!$S$2:$S$553,"44501B1Convencional pré-pagamentoResidencialResidencial baixa renda – faixa 04Não se aplicaNão se aplicaNão se aplica",Mercado_Receita!$L$2:$L$553)</f>
        <v>0</v>
      </c>
      <c r="L26" s="13">
        <f>SUMIF(Mercado_Receita!$S$2:$S$553,"44531B1Convencional pré-pagamentoResidencialResidencial baixa renda – faixa 04Não se aplicaNão se aplicaPonta",Mercado_Receita!$L$2:$L$553)+SUMIF(Mercado_Receita!$S$2:$S$553,"44531B1Convencional pré-pagamentoResidencialResidencial baixa renda – faixa 04Não se aplicaNão se aplicaFora ponta",Mercado_Receita!$L$2:$L$553)+SUMIF(Mercado_Receita!$S$2:$S$553,"44531B1Convencional pré-pagamentoResidencialResidencial baixa renda – faixa 04Não se aplicaNão se aplicaIntermediário",Mercado_Receita!$L$2:$L$553)+SUMIF(Mercado_Receita!$S$2:$S$553,"44531B1Convencional pré-pagamentoResidencialResidencial baixa renda – faixa 04Não se aplicaNão se aplicaNão se aplica",Mercado_Receita!$L$2:$L$553)</f>
        <v>0</v>
      </c>
      <c r="M26" s="13">
        <f>SUMIF(Mercado_Receita!$S$2:$S$553,"44562B1Convencional pré-pagamentoResidencialResidencial baixa renda – faixa 04Não se aplicaNão se aplicaPonta",Mercado_Receita!$L$2:$L$553)+SUMIF(Mercado_Receita!$S$2:$S$553,"44562B1Convencional pré-pagamentoResidencialResidencial baixa renda – faixa 04Não se aplicaNão se aplicaFora ponta",Mercado_Receita!$L$2:$L$553)+SUMIF(Mercado_Receita!$S$2:$S$553,"44562B1Convencional pré-pagamentoResidencialResidencial baixa renda – faixa 04Não se aplicaNão se aplicaIntermediário",Mercado_Receita!$L$2:$L$553)+SUMIF(Mercado_Receita!$S$2:$S$553,"44562B1Convencional pré-pagamentoResidencialResidencial baixa renda – faixa 04Não se aplicaNão se aplicaNão se aplica",Mercado_Receita!$L$2:$L$553)</f>
        <v>0</v>
      </c>
      <c r="N26" s="13">
        <f>SUMIF(Mercado_Receita!$S$2:$S$553,"44593B1Convencional pré-pagamentoResidencialResidencial baixa renda – faixa 04Não se aplicaNão se aplicaPonta",Mercado_Receita!$L$2:$L$553)+SUMIF(Mercado_Receita!$S$2:$S$553,"44593B1Convencional pré-pagamentoResidencialResidencial baixa renda – faixa 04Não se aplicaNão se aplicaFora ponta",Mercado_Receita!$L$2:$L$553)+SUMIF(Mercado_Receita!$S$2:$S$553,"44593B1Convencional pré-pagamentoResidencialResidencial baixa renda – faixa 04Não se aplicaNão se aplicaIntermediário",Mercado_Receita!$L$2:$L$553)+SUMIF(Mercado_Receita!$S$2:$S$553,"44593B1Convencional pré-pagamentoResidencialResidencial baixa renda – faixa 04Não se aplicaNão se aplicaNão se aplica",Mercado_Receita!$L$2:$L$553)</f>
        <v>0</v>
      </c>
      <c r="O26" s="13">
        <f>SUMIF(Mercado_Receita!$S$2:$S$553,"44621B1Convencional pré-pagamentoResidencialResidencial baixa renda – faixa 04Não se aplicaNão se aplicaPonta",Mercado_Receita!$L$2:$L$553)+SUMIF(Mercado_Receita!$S$2:$S$553,"44621B1Convencional pré-pagamentoResidencialResidencial baixa renda – faixa 04Não se aplicaNão se aplicaFora ponta",Mercado_Receita!$L$2:$L$553)+SUMIF(Mercado_Receita!$S$2:$S$553,"44621B1Convencional pré-pagamentoResidencialResidencial baixa renda – faixa 04Não se aplicaNão se aplicaIntermediário",Mercado_Receita!$L$2:$L$553)+SUMIF(Mercado_Receita!$S$2:$S$553,"44621B1Convencional pré-pagamentoResidencialResidencial baixa renda – faixa 04Não se aplicaNão se aplicaNão se aplica",Mercado_Receita!$L$2:$L$553)</f>
        <v>0</v>
      </c>
      <c r="P26" s="13">
        <f>SUMIF(Mercado_Receita!$S$2:$S$553,"44652B1Convencional pré-pagamentoResidencialResidencial baixa renda – faixa 04Não se aplicaNão se aplicaPonta",Mercado_Receita!$L$2:$L$553)+SUMIF(Mercado_Receita!$S$2:$S$553,"44652B1Convencional pré-pagamentoResidencialResidencial baixa renda – faixa 04Não se aplicaNão se aplicaFora ponta",Mercado_Receita!$L$2:$L$553)+SUMIF(Mercado_Receita!$S$2:$S$553,"44652B1Convencional pré-pagamentoResidencialResidencial baixa renda – faixa 04Não se aplicaNão se aplicaIntermediário",Mercado_Receita!$L$2:$L$553)+SUMIF(Mercado_Receita!$S$2:$S$553,"44652B1Convencional pré-pagamentoResidencialResidencial baixa renda – faixa 04Não se aplicaNão se aplicaNão se aplica",Mercado_Receita!$L$2:$L$553)</f>
        <v>0</v>
      </c>
      <c r="Q26" s="13">
        <f>SUMIF(Mercado_Receita!$S$2:$S$553,"44682B1Convencional pré-pagamentoResidencialResidencial baixa renda – faixa 04Não se aplicaNão se aplicaPonta",Mercado_Receita!$L$2:$L$553)+SUMIF(Mercado_Receita!$S$2:$S$553,"44682B1Convencional pré-pagamentoResidencialResidencial baixa renda – faixa 04Não se aplicaNão se aplicaFora ponta",Mercado_Receita!$L$2:$L$553)+SUMIF(Mercado_Receita!$S$2:$S$553,"44682B1Convencional pré-pagamentoResidencialResidencial baixa renda – faixa 04Não se aplicaNão se aplicaIntermediário",Mercado_Receita!$L$2:$L$553)+SUMIF(Mercado_Receita!$S$2:$S$553,"44682B1Convencional pré-pagamentoResidencialResidencial baixa renda – faixa 04Não se aplicaNão se aplicaNão se aplica",Mercado_Receita!$L$2:$L$553)</f>
        <v>0</v>
      </c>
      <c r="R26" s="13">
        <f>SUMIF(Mercado_Receita!$S$2:$S$553,"44713B1Convencional pré-pagamentoResidencialResidencial baixa renda – faixa 04Não se aplicaNão se aplicaPonta",Mercado_Receita!$L$2:$L$553)+SUMIF(Mercado_Receita!$S$2:$S$553,"44713B1Convencional pré-pagamentoResidencialResidencial baixa renda – faixa 04Não se aplicaNão se aplicaFora ponta",Mercado_Receita!$L$2:$L$553)+SUMIF(Mercado_Receita!$S$2:$S$553,"44713B1Convencional pré-pagamentoResidencialResidencial baixa renda – faixa 04Não se aplicaNão se aplicaIntermediário",Mercado_Receita!$L$2:$L$553)+SUMIF(Mercado_Receita!$S$2:$S$553,"44713B1Convencional pré-pagamentoResidencialResidencial baixa renda – faixa 04Não se aplicaNão se aplicaNão se aplica",Mercado_Receita!$L$2:$L$553)</f>
        <v>0</v>
      </c>
      <c r="S26" s="13">
        <f>SUMIF(Mercado_Receita!$S$2:$S$553,"44743B1Convencional pré-pagamentoResidencialResidencial baixa renda – faixa 04Não se aplicaNão se aplicaPonta",Mercado_Receita!$L$2:$L$553)+SUMIF(Mercado_Receita!$S$2:$S$553,"44743B1Convencional pré-pagamentoResidencialResidencial baixa renda – faixa 04Não se aplicaNão se aplicaFora ponta",Mercado_Receita!$L$2:$L$553)+SUMIF(Mercado_Receita!$S$2:$S$553,"44743B1Convencional pré-pagamentoResidencialResidencial baixa renda – faixa 04Não se aplicaNão se aplicaIntermediário",Mercado_Receita!$L$2:$L$553)+SUMIF(Mercado_Receita!$S$2:$S$553,"44743B1Convencional pré-pagamentoResidencialResidencial baixa renda – faixa 04Não se aplicaNão se aplicaNão se aplica",Mercado_Receita!$L$2:$L$553)</f>
        <v>0</v>
      </c>
      <c r="T26" s="13">
        <f>SUMIF(Mercado_Receita!$S$2:$S$553,"44774B1Convencional pré-pagamentoResidencialResidencial baixa renda – faixa 04Não se aplicaNão se aplicaPonta",Mercado_Receita!$L$2:$L$553)+SUMIF(Mercado_Receita!$S$2:$S$553,"44774B1Convencional pré-pagamentoResidencialResidencial baixa renda – faixa 04Não se aplicaNão se aplicaFora ponta",Mercado_Receita!$L$2:$L$553)+SUMIF(Mercado_Receita!$S$2:$S$553,"44774B1Convencional pré-pagamentoResidencialResidencial baixa renda – faixa 04Não se aplicaNão se aplicaIntermediário",Mercado_Receita!$L$2:$L$553)+SUMIF(Mercado_Receita!$S$2:$S$553,"44774B1Convencional pré-pagamentoResidencialResidencial baixa renda – faixa 04Não se aplicaNão se aplicaNão se aplica",Mercado_Receita!$L$2:$L$553)</f>
        <v>0</v>
      </c>
      <c r="U26" s="13">
        <f t="shared" si="0"/>
        <v>0</v>
      </c>
      <c r="V26" s="13"/>
      <c r="W26" s="13"/>
    </row>
    <row r="27" spans="1:23" ht="11.25" customHeight="1" x14ac:dyDescent="0.25">
      <c r="A27" s="79" t="s">
        <v>40</v>
      </c>
      <c r="B27" s="79" t="s">
        <v>85</v>
      </c>
      <c r="C27" s="79" t="s">
        <v>41</v>
      </c>
      <c r="D27" s="79" t="s">
        <v>25</v>
      </c>
      <c r="E27" s="79" t="s">
        <v>25</v>
      </c>
      <c r="F27" s="79" t="s">
        <v>25</v>
      </c>
      <c r="G27" s="13" t="s">
        <v>73</v>
      </c>
      <c r="H27" s="13" t="s">
        <v>72</v>
      </c>
      <c r="I27" s="13">
        <f>SUMIF(Mercado_Receita!$S$2:$S$553,"44440B2BrancaRuralNão se aplicaNão se aplicaNão se aplicaPonta",Mercado_Receita!$L$2:$L$553)</f>
        <v>0</v>
      </c>
      <c r="J27" s="13">
        <f>SUMIF(Mercado_Receita!$S$2:$S$553,"44470B2BrancaRuralNão se aplicaNão se aplicaNão se aplicaPonta",Mercado_Receita!$L$2:$L$553)</f>
        <v>0</v>
      </c>
      <c r="K27" s="13">
        <f>SUMIF(Mercado_Receita!$S$2:$S$553,"44501B2BrancaRuralNão se aplicaNão se aplicaNão se aplicaPonta",Mercado_Receita!$L$2:$L$553)</f>
        <v>0</v>
      </c>
      <c r="L27" s="13">
        <f>SUMIF(Mercado_Receita!$S$2:$S$553,"44531B2BrancaRuralNão se aplicaNão se aplicaNão se aplicaPonta",Mercado_Receita!$L$2:$L$553)</f>
        <v>0</v>
      </c>
      <c r="M27" s="13">
        <f>SUMIF(Mercado_Receita!$S$2:$S$553,"44562B2BrancaRuralNão se aplicaNão se aplicaNão se aplicaPonta",Mercado_Receita!$L$2:$L$553)</f>
        <v>0</v>
      </c>
      <c r="N27" s="13">
        <f>SUMIF(Mercado_Receita!$S$2:$S$553,"44593B2BrancaRuralNão se aplicaNão se aplicaNão se aplicaPonta",Mercado_Receita!$L$2:$L$553)</f>
        <v>0</v>
      </c>
      <c r="O27" s="13">
        <f>SUMIF(Mercado_Receita!$S$2:$S$553,"44621B2BrancaRuralNão se aplicaNão se aplicaNão se aplicaPonta",Mercado_Receita!$L$2:$L$553)</f>
        <v>0</v>
      </c>
      <c r="P27" s="13">
        <f>SUMIF(Mercado_Receita!$S$2:$S$553,"44652B2BrancaRuralNão se aplicaNão se aplicaNão se aplicaPonta",Mercado_Receita!$L$2:$L$553)</f>
        <v>0</v>
      </c>
      <c r="Q27" s="13">
        <f>SUMIF(Mercado_Receita!$S$2:$S$553,"44682B2BrancaRuralNão se aplicaNão se aplicaNão se aplicaPonta",Mercado_Receita!$L$2:$L$553)</f>
        <v>0</v>
      </c>
      <c r="R27" s="13">
        <f>SUMIF(Mercado_Receita!$S$2:$S$553,"44713B2BrancaRuralNão se aplicaNão se aplicaNão se aplicaPonta",Mercado_Receita!$L$2:$L$553)</f>
        <v>0</v>
      </c>
      <c r="S27" s="13">
        <f>SUMIF(Mercado_Receita!$S$2:$S$553,"44743B2BrancaRuralNão se aplicaNão se aplicaNão se aplicaPonta",Mercado_Receita!$L$2:$L$553)</f>
        <v>0</v>
      </c>
      <c r="T27" s="13">
        <f>SUMIF(Mercado_Receita!$S$2:$S$553,"44774B2BrancaRuralNão se aplicaNão se aplicaNão se aplicaPonta",Mercado_Receita!$L$2:$L$553)</f>
        <v>0</v>
      </c>
      <c r="U27" s="13">
        <f t="shared" si="0"/>
        <v>0</v>
      </c>
      <c r="V27" s="13"/>
      <c r="W27" s="13"/>
    </row>
    <row r="28" spans="1:23" ht="11.25" customHeight="1" x14ac:dyDescent="0.25">
      <c r="A28" s="80"/>
      <c r="B28" s="80"/>
      <c r="C28" s="80"/>
      <c r="D28" s="80"/>
      <c r="E28" s="80"/>
      <c r="F28" s="80"/>
      <c r="G28" s="13" t="s">
        <v>83</v>
      </c>
      <c r="H28" s="13" t="s">
        <v>72</v>
      </c>
      <c r="I28" s="13">
        <f>SUMIF(Mercado_Receita!$S$2:$S$553,"44440B2BrancaRuralNão se aplicaNão se aplicaNão se aplicaIntermediário",Mercado_Receita!$L$2:$L$553)</f>
        <v>0</v>
      </c>
      <c r="J28" s="13">
        <f>SUMIF(Mercado_Receita!$S$2:$S$553,"44470B2BrancaRuralNão se aplicaNão se aplicaNão se aplicaIntermediário",Mercado_Receita!$L$2:$L$553)</f>
        <v>0</v>
      </c>
      <c r="K28" s="13">
        <f>SUMIF(Mercado_Receita!$S$2:$S$553,"44501B2BrancaRuralNão se aplicaNão se aplicaNão se aplicaIntermediário",Mercado_Receita!$L$2:$L$553)</f>
        <v>0</v>
      </c>
      <c r="L28" s="13">
        <f>SUMIF(Mercado_Receita!$S$2:$S$553,"44531B2BrancaRuralNão se aplicaNão se aplicaNão se aplicaIntermediário",Mercado_Receita!$L$2:$L$553)</f>
        <v>0</v>
      </c>
      <c r="M28" s="13">
        <f>SUMIF(Mercado_Receita!$S$2:$S$553,"44562B2BrancaRuralNão se aplicaNão se aplicaNão se aplicaIntermediário",Mercado_Receita!$L$2:$L$553)</f>
        <v>0</v>
      </c>
      <c r="N28" s="13">
        <f>SUMIF(Mercado_Receita!$S$2:$S$553,"44593B2BrancaRuralNão se aplicaNão se aplicaNão se aplicaIntermediário",Mercado_Receita!$L$2:$L$553)</f>
        <v>0</v>
      </c>
      <c r="O28" s="13">
        <f>SUMIF(Mercado_Receita!$S$2:$S$553,"44621B2BrancaRuralNão se aplicaNão se aplicaNão se aplicaIntermediário",Mercado_Receita!$L$2:$L$553)</f>
        <v>0</v>
      </c>
      <c r="P28" s="13">
        <f>SUMIF(Mercado_Receita!$S$2:$S$553,"44652B2BrancaRuralNão se aplicaNão se aplicaNão se aplicaIntermediário",Mercado_Receita!$L$2:$L$553)</f>
        <v>0</v>
      </c>
      <c r="Q28" s="13">
        <f>SUMIF(Mercado_Receita!$S$2:$S$553,"44682B2BrancaRuralNão se aplicaNão se aplicaNão se aplicaIntermediário",Mercado_Receita!$L$2:$L$553)</f>
        <v>0</v>
      </c>
      <c r="R28" s="13">
        <f>SUMIF(Mercado_Receita!$S$2:$S$553,"44713B2BrancaRuralNão se aplicaNão se aplicaNão se aplicaIntermediário",Mercado_Receita!$L$2:$L$553)</f>
        <v>0</v>
      </c>
      <c r="S28" s="13">
        <f>SUMIF(Mercado_Receita!$S$2:$S$553,"44743B2BrancaRuralNão se aplicaNão se aplicaNão se aplicaIntermediário",Mercado_Receita!$L$2:$L$553)</f>
        <v>0</v>
      </c>
      <c r="T28" s="13">
        <f>SUMIF(Mercado_Receita!$S$2:$S$553,"44774B2BrancaRuralNão se aplicaNão se aplicaNão se aplicaIntermediário",Mercado_Receita!$L$2:$L$553)</f>
        <v>0</v>
      </c>
      <c r="U28" s="13">
        <f t="shared" si="0"/>
        <v>0</v>
      </c>
      <c r="V28" s="13"/>
      <c r="W28" s="13"/>
    </row>
    <row r="29" spans="1:23" ht="11.25" customHeight="1" x14ac:dyDescent="0.25">
      <c r="A29" s="80"/>
      <c r="B29" s="80"/>
      <c r="C29" s="80"/>
      <c r="D29" s="80"/>
      <c r="E29" s="80"/>
      <c r="F29" s="80"/>
      <c r="G29" s="13" t="s">
        <v>74</v>
      </c>
      <c r="H29" s="13" t="s">
        <v>72</v>
      </c>
      <c r="I29" s="13">
        <f>SUMIF(Mercado_Receita!$S$2:$S$553,"44440B2BrancaRuralNão se aplicaNão se aplicaNão se aplicaFora ponta",Mercado_Receita!$L$2:$L$553)</f>
        <v>0</v>
      </c>
      <c r="J29" s="13">
        <f>SUMIF(Mercado_Receita!$S$2:$S$553,"44470B2BrancaRuralNão se aplicaNão se aplicaNão se aplicaFora ponta",Mercado_Receita!$L$2:$L$553)</f>
        <v>0</v>
      </c>
      <c r="K29" s="13">
        <f>SUMIF(Mercado_Receita!$S$2:$S$553,"44501B2BrancaRuralNão se aplicaNão se aplicaNão se aplicaFora ponta",Mercado_Receita!$L$2:$L$553)</f>
        <v>0</v>
      </c>
      <c r="L29" s="13">
        <f>SUMIF(Mercado_Receita!$S$2:$S$553,"44531B2BrancaRuralNão se aplicaNão se aplicaNão se aplicaFora ponta",Mercado_Receita!$L$2:$L$553)</f>
        <v>0</v>
      </c>
      <c r="M29" s="13">
        <f>SUMIF(Mercado_Receita!$S$2:$S$553,"44562B2BrancaRuralNão se aplicaNão se aplicaNão se aplicaFora ponta",Mercado_Receita!$L$2:$L$553)</f>
        <v>0</v>
      </c>
      <c r="N29" s="13">
        <f>SUMIF(Mercado_Receita!$S$2:$S$553,"44593B2BrancaRuralNão se aplicaNão se aplicaNão se aplicaFora ponta",Mercado_Receita!$L$2:$L$553)</f>
        <v>0</v>
      </c>
      <c r="O29" s="13">
        <f>SUMIF(Mercado_Receita!$S$2:$S$553,"44621B2BrancaRuralNão se aplicaNão se aplicaNão se aplicaFora ponta",Mercado_Receita!$L$2:$L$553)</f>
        <v>0</v>
      </c>
      <c r="P29" s="13">
        <f>SUMIF(Mercado_Receita!$S$2:$S$553,"44652B2BrancaRuralNão se aplicaNão se aplicaNão se aplicaFora ponta",Mercado_Receita!$L$2:$L$553)</f>
        <v>0</v>
      </c>
      <c r="Q29" s="13">
        <f>SUMIF(Mercado_Receita!$S$2:$S$553,"44682B2BrancaRuralNão se aplicaNão se aplicaNão se aplicaFora ponta",Mercado_Receita!$L$2:$L$553)</f>
        <v>0</v>
      </c>
      <c r="R29" s="13">
        <f>SUMIF(Mercado_Receita!$S$2:$S$553,"44713B2BrancaRuralNão se aplicaNão se aplicaNão se aplicaFora ponta",Mercado_Receita!$L$2:$L$553)</f>
        <v>0</v>
      </c>
      <c r="S29" s="13">
        <f>SUMIF(Mercado_Receita!$S$2:$S$553,"44743B2BrancaRuralNão se aplicaNão se aplicaNão se aplicaFora ponta",Mercado_Receita!$L$2:$L$553)</f>
        <v>0</v>
      </c>
      <c r="T29" s="13">
        <f>SUMIF(Mercado_Receita!$S$2:$S$553,"44774B2BrancaRuralNão se aplicaNão se aplicaNão se aplicaFora ponta",Mercado_Receita!$L$2:$L$553)</f>
        <v>0</v>
      </c>
      <c r="U29" s="13">
        <f t="shared" si="0"/>
        <v>0</v>
      </c>
      <c r="V29" s="13"/>
      <c r="W29" s="13"/>
    </row>
    <row r="30" spans="1:23" ht="11.25" customHeight="1" x14ac:dyDescent="0.25">
      <c r="A30" s="80"/>
      <c r="B30" s="12" t="s">
        <v>23</v>
      </c>
      <c r="C30" s="12" t="s">
        <v>41</v>
      </c>
      <c r="D30" s="12" t="s">
        <v>25</v>
      </c>
      <c r="E30" s="12" t="s">
        <v>25</v>
      </c>
      <c r="F30" s="12" t="s">
        <v>25</v>
      </c>
      <c r="G30" s="13" t="s">
        <v>78</v>
      </c>
      <c r="H30" s="13" t="s">
        <v>72</v>
      </c>
      <c r="I30" s="13">
        <f>SUMIF(Mercado_Receita!$S$2:$S$553,"44440B2ConvencionalRuralNão se aplicaNão se aplicaNão se aplicaPonta",Mercado_Receita!$L$2:$L$553)+SUMIF(Mercado_Receita!$S$2:$S$553,"44440B2ConvencionalRuralNão se aplicaNão se aplicaNão se aplicaFora ponta",Mercado_Receita!$L$2:$L$553)+SUMIF(Mercado_Receita!$S$2:$S$553,"44440B2ConvencionalRuralNão se aplicaNão se aplicaNão se aplicaIntermediário",Mercado_Receita!$L$2:$L$553)+SUMIF(Mercado_Receita!$S$2:$S$553,"44440B2ConvencionalRuralNão se aplicaNão se aplicaNão se aplicaNão se aplica",Mercado_Receita!$L$2:$L$553)</f>
        <v>3568.9949999999999</v>
      </c>
      <c r="J30" s="13">
        <f>SUMIF(Mercado_Receita!$S$2:$S$553,"44470B2ConvencionalRuralNão se aplicaNão se aplicaNão se aplicaPonta",Mercado_Receita!$L$2:$L$553)+SUMIF(Mercado_Receita!$S$2:$S$553,"44470B2ConvencionalRuralNão se aplicaNão se aplicaNão se aplicaFora ponta",Mercado_Receita!$L$2:$L$553)+SUMIF(Mercado_Receita!$S$2:$S$553,"44470B2ConvencionalRuralNão se aplicaNão se aplicaNão se aplicaIntermediário",Mercado_Receita!$L$2:$L$553)+SUMIF(Mercado_Receita!$S$2:$S$553,"44470B2ConvencionalRuralNão se aplicaNão se aplicaNão se aplicaNão se aplica",Mercado_Receita!$L$2:$L$553)</f>
        <v>3455.7379999999998</v>
      </c>
      <c r="K30" s="13">
        <f>SUMIF(Mercado_Receita!$S$2:$S$553,"44501B2ConvencionalRuralNão se aplicaNão se aplicaNão se aplicaPonta",Mercado_Receita!$L$2:$L$553)+SUMIF(Mercado_Receita!$S$2:$S$553,"44501B2ConvencionalRuralNão se aplicaNão se aplicaNão se aplicaFora ponta",Mercado_Receita!$L$2:$L$553)+SUMIF(Mercado_Receita!$S$2:$S$553,"44501B2ConvencionalRuralNão se aplicaNão se aplicaNão se aplicaIntermediário",Mercado_Receita!$L$2:$L$553)+SUMIF(Mercado_Receita!$S$2:$S$553,"44501B2ConvencionalRuralNão se aplicaNão se aplicaNão se aplicaNão se aplica",Mercado_Receita!$L$2:$L$553)</f>
        <v>3495.123</v>
      </c>
      <c r="L30" s="13">
        <f>SUMIF(Mercado_Receita!$S$2:$S$553,"44531B2ConvencionalRuralNão se aplicaNão se aplicaNão se aplicaPonta",Mercado_Receita!$L$2:$L$553)+SUMIF(Mercado_Receita!$S$2:$S$553,"44531B2ConvencionalRuralNão se aplicaNão se aplicaNão se aplicaFora ponta",Mercado_Receita!$L$2:$L$553)+SUMIF(Mercado_Receita!$S$2:$S$553,"44531B2ConvencionalRuralNão se aplicaNão se aplicaNão se aplicaIntermediário",Mercado_Receita!$L$2:$L$553)+SUMIF(Mercado_Receita!$S$2:$S$553,"44531B2ConvencionalRuralNão se aplicaNão se aplicaNão se aplicaNão se aplica",Mercado_Receita!$L$2:$L$553)</f>
        <v>3377.4789999999998</v>
      </c>
      <c r="M30" s="13">
        <f>SUMIF(Mercado_Receita!$S$2:$S$553,"44562B2ConvencionalRuralNão se aplicaNão se aplicaNão se aplicaPonta",Mercado_Receita!$L$2:$L$553)+SUMIF(Mercado_Receita!$S$2:$S$553,"44562B2ConvencionalRuralNão se aplicaNão se aplicaNão se aplicaFora ponta",Mercado_Receita!$L$2:$L$553)+SUMIF(Mercado_Receita!$S$2:$S$553,"44562B2ConvencionalRuralNão se aplicaNão se aplicaNão se aplicaIntermediário",Mercado_Receita!$L$2:$L$553)+SUMIF(Mercado_Receita!$S$2:$S$553,"44562B2ConvencionalRuralNão se aplicaNão se aplicaNão se aplicaNão se aplica",Mercado_Receita!$L$2:$L$553)</f>
        <v>4126.8440000000001</v>
      </c>
      <c r="N30" s="13">
        <f>SUMIF(Mercado_Receita!$S$2:$S$553,"44593B2ConvencionalRuralNão se aplicaNão se aplicaNão se aplicaPonta",Mercado_Receita!$L$2:$L$553)+SUMIF(Mercado_Receita!$S$2:$S$553,"44593B2ConvencionalRuralNão se aplicaNão se aplicaNão se aplicaFora ponta",Mercado_Receita!$L$2:$L$553)+SUMIF(Mercado_Receita!$S$2:$S$553,"44593B2ConvencionalRuralNão se aplicaNão se aplicaNão se aplicaIntermediário",Mercado_Receita!$L$2:$L$553)+SUMIF(Mercado_Receita!$S$2:$S$553,"44593B2ConvencionalRuralNão se aplicaNão se aplicaNão se aplicaNão se aplica",Mercado_Receita!$L$2:$L$553)</f>
        <v>4025.5819999999999</v>
      </c>
      <c r="O30" s="13">
        <f>SUMIF(Mercado_Receita!$S$2:$S$553,"44621B2ConvencionalRuralNão se aplicaNão se aplicaNão se aplicaPonta",Mercado_Receita!$L$2:$L$553)+SUMIF(Mercado_Receita!$S$2:$S$553,"44621B2ConvencionalRuralNão se aplicaNão se aplicaNão se aplicaFora ponta",Mercado_Receita!$L$2:$L$553)+SUMIF(Mercado_Receita!$S$2:$S$553,"44621B2ConvencionalRuralNão se aplicaNão se aplicaNão se aplicaIntermediário",Mercado_Receita!$L$2:$L$553)+SUMIF(Mercado_Receita!$S$2:$S$553,"44621B2ConvencionalRuralNão se aplicaNão se aplicaNão se aplicaNão se aplica",Mercado_Receita!$L$2:$L$553)</f>
        <v>3545.4850000000001</v>
      </c>
      <c r="P30" s="13">
        <f>SUMIF(Mercado_Receita!$S$2:$S$553,"44652B2ConvencionalRuralNão se aplicaNão se aplicaNão se aplicaPonta",Mercado_Receita!$L$2:$L$553)+SUMIF(Mercado_Receita!$S$2:$S$553,"44652B2ConvencionalRuralNão se aplicaNão se aplicaNão se aplicaFora ponta",Mercado_Receita!$L$2:$L$553)+SUMIF(Mercado_Receita!$S$2:$S$553,"44652B2ConvencionalRuralNão se aplicaNão se aplicaNão se aplicaIntermediário",Mercado_Receita!$L$2:$L$553)+SUMIF(Mercado_Receita!$S$2:$S$553,"44652B2ConvencionalRuralNão se aplicaNão se aplicaNão se aplicaNão se aplica",Mercado_Receita!$L$2:$L$553)</f>
        <v>3155.49</v>
      </c>
      <c r="Q30" s="13">
        <f>SUMIF(Mercado_Receita!$S$2:$S$553,"44682B2ConvencionalRuralNão se aplicaNão se aplicaNão se aplicaPonta",Mercado_Receita!$L$2:$L$553)+SUMIF(Mercado_Receita!$S$2:$S$553,"44682B2ConvencionalRuralNão se aplicaNão se aplicaNão se aplicaFora ponta",Mercado_Receita!$L$2:$L$553)+SUMIF(Mercado_Receita!$S$2:$S$553,"44682B2ConvencionalRuralNão se aplicaNão se aplicaNão se aplicaIntermediário",Mercado_Receita!$L$2:$L$553)+SUMIF(Mercado_Receita!$S$2:$S$553,"44682B2ConvencionalRuralNão se aplicaNão se aplicaNão se aplicaNão se aplica",Mercado_Receita!$L$2:$L$553)</f>
        <v>2815.6629999999996</v>
      </c>
      <c r="R30" s="13">
        <f>SUMIF(Mercado_Receita!$S$2:$S$553,"44713B2ConvencionalRuralNão se aplicaNão se aplicaNão se aplicaPonta",Mercado_Receita!$L$2:$L$553)+SUMIF(Mercado_Receita!$S$2:$S$553,"44713B2ConvencionalRuralNão se aplicaNão se aplicaNão se aplicaFora ponta",Mercado_Receita!$L$2:$L$553)+SUMIF(Mercado_Receita!$S$2:$S$553,"44713B2ConvencionalRuralNão se aplicaNão se aplicaNão se aplicaIntermediário",Mercado_Receita!$L$2:$L$553)+SUMIF(Mercado_Receita!$S$2:$S$553,"44713B2ConvencionalRuralNão se aplicaNão se aplicaNão se aplicaNão se aplica",Mercado_Receita!$L$2:$L$553)</f>
        <v>2882.4470000000001</v>
      </c>
      <c r="S30" s="13">
        <f>SUMIF(Mercado_Receita!$S$2:$S$553,"44743B2ConvencionalRuralNão se aplicaNão se aplicaNão se aplicaPonta",Mercado_Receita!$L$2:$L$553)+SUMIF(Mercado_Receita!$S$2:$S$553,"44743B2ConvencionalRuralNão se aplicaNão se aplicaNão se aplicaFora ponta",Mercado_Receita!$L$2:$L$553)+SUMIF(Mercado_Receita!$S$2:$S$553,"44743B2ConvencionalRuralNão se aplicaNão se aplicaNão se aplicaIntermediário",Mercado_Receita!$L$2:$L$553)+SUMIF(Mercado_Receita!$S$2:$S$553,"44743B2ConvencionalRuralNão se aplicaNão se aplicaNão se aplicaNão se aplica",Mercado_Receita!$L$2:$L$553)</f>
        <v>2812.8679999999999</v>
      </c>
      <c r="T30" s="13">
        <f>SUMIF(Mercado_Receita!$S$2:$S$553,"44774B2ConvencionalRuralNão se aplicaNão se aplicaNão se aplicaPonta",Mercado_Receita!$L$2:$L$553)+SUMIF(Mercado_Receita!$S$2:$S$553,"44774B2ConvencionalRuralNão se aplicaNão se aplicaNão se aplicaFora ponta",Mercado_Receita!$L$2:$L$553)+SUMIF(Mercado_Receita!$S$2:$S$553,"44774B2ConvencionalRuralNão se aplicaNão se aplicaNão se aplicaIntermediário",Mercado_Receita!$L$2:$L$553)+SUMIF(Mercado_Receita!$S$2:$S$553,"44774B2ConvencionalRuralNão se aplicaNão se aplicaNão se aplicaNão se aplica",Mercado_Receita!$L$2:$L$553)</f>
        <v>2795.9539999999997</v>
      </c>
      <c r="U30" s="13">
        <f t="shared" si="0"/>
        <v>40057.667999999998</v>
      </c>
      <c r="V30" s="13"/>
      <c r="W30" s="13"/>
    </row>
    <row r="31" spans="1:23" ht="11.25" customHeight="1" x14ac:dyDescent="0.25">
      <c r="A31" s="80"/>
      <c r="B31" s="79" t="s">
        <v>85</v>
      </c>
      <c r="C31" s="79" t="s">
        <v>41</v>
      </c>
      <c r="D31" s="79" t="s">
        <v>88</v>
      </c>
      <c r="E31" s="79" t="s">
        <v>25</v>
      </c>
      <c r="F31" s="79" t="s">
        <v>25</v>
      </c>
      <c r="G31" s="13" t="s">
        <v>73</v>
      </c>
      <c r="H31" s="13" t="s">
        <v>72</v>
      </c>
      <c r="I31" s="13">
        <f>SUMIF(Mercado_Receita!$S$2:$S$553,"44440B2BrancaRuralCooperativa de eletrificação ruralNão se aplicaNão se aplicaPonta",Mercado_Receita!$L$2:$L$553)</f>
        <v>0</v>
      </c>
      <c r="J31" s="13">
        <f>SUMIF(Mercado_Receita!$S$2:$S$553,"44470B2BrancaRuralCooperativa de eletrificação ruralNão se aplicaNão se aplicaPonta",Mercado_Receita!$L$2:$L$553)</f>
        <v>0</v>
      </c>
      <c r="K31" s="13">
        <f>SUMIF(Mercado_Receita!$S$2:$S$553,"44501B2BrancaRuralCooperativa de eletrificação ruralNão se aplicaNão se aplicaPonta",Mercado_Receita!$L$2:$L$553)</f>
        <v>0</v>
      </c>
      <c r="L31" s="13">
        <f>SUMIF(Mercado_Receita!$S$2:$S$553,"44531B2BrancaRuralCooperativa de eletrificação ruralNão se aplicaNão se aplicaPonta",Mercado_Receita!$L$2:$L$553)</f>
        <v>0</v>
      </c>
      <c r="M31" s="13">
        <f>SUMIF(Mercado_Receita!$S$2:$S$553,"44562B2BrancaRuralCooperativa de eletrificação ruralNão se aplicaNão se aplicaPonta",Mercado_Receita!$L$2:$L$553)</f>
        <v>0</v>
      </c>
      <c r="N31" s="13">
        <f>SUMIF(Mercado_Receita!$S$2:$S$553,"44593B2BrancaRuralCooperativa de eletrificação ruralNão se aplicaNão se aplicaPonta",Mercado_Receita!$L$2:$L$553)</f>
        <v>0</v>
      </c>
      <c r="O31" s="13">
        <f>SUMIF(Mercado_Receita!$S$2:$S$553,"44621B2BrancaRuralCooperativa de eletrificação ruralNão se aplicaNão se aplicaPonta",Mercado_Receita!$L$2:$L$553)</f>
        <v>0</v>
      </c>
      <c r="P31" s="13">
        <f>SUMIF(Mercado_Receita!$S$2:$S$553,"44652B2BrancaRuralCooperativa de eletrificação ruralNão se aplicaNão se aplicaPonta",Mercado_Receita!$L$2:$L$553)</f>
        <v>0</v>
      </c>
      <c r="Q31" s="13">
        <f>SUMIF(Mercado_Receita!$S$2:$S$553,"44682B2BrancaRuralCooperativa de eletrificação ruralNão se aplicaNão se aplicaPonta",Mercado_Receita!$L$2:$L$553)</f>
        <v>0</v>
      </c>
      <c r="R31" s="13">
        <f>SUMIF(Mercado_Receita!$S$2:$S$553,"44713B2BrancaRuralCooperativa de eletrificação ruralNão se aplicaNão se aplicaPonta",Mercado_Receita!$L$2:$L$553)</f>
        <v>0</v>
      </c>
      <c r="S31" s="13">
        <f>SUMIF(Mercado_Receita!$S$2:$S$553,"44743B2BrancaRuralCooperativa de eletrificação ruralNão se aplicaNão se aplicaPonta",Mercado_Receita!$L$2:$L$553)</f>
        <v>0</v>
      </c>
      <c r="T31" s="13">
        <f>SUMIF(Mercado_Receita!$S$2:$S$553,"44774B2BrancaRuralCooperativa de eletrificação ruralNão se aplicaNão se aplicaPonta",Mercado_Receita!$L$2:$L$553)</f>
        <v>0</v>
      </c>
      <c r="U31" s="13">
        <f t="shared" si="0"/>
        <v>0</v>
      </c>
      <c r="V31" s="13"/>
      <c r="W31" s="13"/>
    </row>
    <row r="32" spans="1:23" ht="11.25" customHeight="1" x14ac:dyDescent="0.25">
      <c r="A32" s="80"/>
      <c r="B32" s="80"/>
      <c r="C32" s="80"/>
      <c r="D32" s="80"/>
      <c r="E32" s="80"/>
      <c r="F32" s="80"/>
      <c r="G32" s="13" t="s">
        <v>83</v>
      </c>
      <c r="H32" s="13" t="s">
        <v>72</v>
      </c>
      <c r="I32" s="13">
        <f>SUMIF(Mercado_Receita!$S$2:$S$553,"44440B2BrancaRuralCooperativa de eletrificação ruralNão se aplicaNão se aplicaIntermediário",Mercado_Receita!$L$2:$L$553)</f>
        <v>0</v>
      </c>
      <c r="J32" s="13">
        <f>SUMIF(Mercado_Receita!$S$2:$S$553,"44470B2BrancaRuralCooperativa de eletrificação ruralNão se aplicaNão se aplicaIntermediário",Mercado_Receita!$L$2:$L$553)</f>
        <v>0</v>
      </c>
      <c r="K32" s="13">
        <f>SUMIF(Mercado_Receita!$S$2:$S$553,"44501B2BrancaRuralCooperativa de eletrificação ruralNão se aplicaNão se aplicaIntermediário",Mercado_Receita!$L$2:$L$553)</f>
        <v>0</v>
      </c>
      <c r="L32" s="13">
        <f>SUMIF(Mercado_Receita!$S$2:$S$553,"44531B2BrancaRuralCooperativa de eletrificação ruralNão se aplicaNão se aplicaIntermediário",Mercado_Receita!$L$2:$L$553)</f>
        <v>0</v>
      </c>
      <c r="M32" s="13">
        <f>SUMIF(Mercado_Receita!$S$2:$S$553,"44562B2BrancaRuralCooperativa de eletrificação ruralNão se aplicaNão se aplicaIntermediário",Mercado_Receita!$L$2:$L$553)</f>
        <v>0</v>
      </c>
      <c r="N32" s="13">
        <f>SUMIF(Mercado_Receita!$S$2:$S$553,"44593B2BrancaRuralCooperativa de eletrificação ruralNão se aplicaNão se aplicaIntermediário",Mercado_Receita!$L$2:$L$553)</f>
        <v>0</v>
      </c>
      <c r="O32" s="13">
        <f>SUMIF(Mercado_Receita!$S$2:$S$553,"44621B2BrancaRuralCooperativa de eletrificação ruralNão se aplicaNão se aplicaIntermediário",Mercado_Receita!$L$2:$L$553)</f>
        <v>0</v>
      </c>
      <c r="P32" s="13">
        <f>SUMIF(Mercado_Receita!$S$2:$S$553,"44652B2BrancaRuralCooperativa de eletrificação ruralNão se aplicaNão se aplicaIntermediário",Mercado_Receita!$L$2:$L$553)</f>
        <v>0</v>
      </c>
      <c r="Q32" s="13">
        <f>SUMIF(Mercado_Receita!$S$2:$S$553,"44682B2BrancaRuralCooperativa de eletrificação ruralNão se aplicaNão se aplicaIntermediário",Mercado_Receita!$L$2:$L$553)</f>
        <v>0</v>
      </c>
      <c r="R32" s="13">
        <f>SUMIF(Mercado_Receita!$S$2:$S$553,"44713B2BrancaRuralCooperativa de eletrificação ruralNão se aplicaNão se aplicaIntermediário",Mercado_Receita!$L$2:$L$553)</f>
        <v>0</v>
      </c>
      <c r="S32" s="13">
        <f>SUMIF(Mercado_Receita!$S$2:$S$553,"44743B2BrancaRuralCooperativa de eletrificação ruralNão se aplicaNão se aplicaIntermediário",Mercado_Receita!$L$2:$L$553)</f>
        <v>0</v>
      </c>
      <c r="T32" s="13">
        <f>SUMIF(Mercado_Receita!$S$2:$S$553,"44774B2BrancaRuralCooperativa de eletrificação ruralNão se aplicaNão se aplicaIntermediário",Mercado_Receita!$L$2:$L$553)</f>
        <v>0</v>
      </c>
      <c r="U32" s="13">
        <f t="shared" si="0"/>
        <v>0</v>
      </c>
      <c r="V32" s="13"/>
      <c r="W32" s="13"/>
    </row>
    <row r="33" spans="1:23" ht="11.25" customHeight="1" x14ac:dyDescent="0.25">
      <c r="A33" s="80"/>
      <c r="B33" s="80"/>
      <c r="C33" s="80"/>
      <c r="D33" s="80"/>
      <c r="E33" s="80"/>
      <c r="F33" s="80"/>
      <c r="G33" s="13" t="s">
        <v>74</v>
      </c>
      <c r="H33" s="13" t="s">
        <v>72</v>
      </c>
      <c r="I33" s="13">
        <f>SUMIF(Mercado_Receita!$S$2:$S$553,"44440B2BrancaRuralCooperativa de eletrificação ruralNão se aplicaNão se aplicaFora ponta",Mercado_Receita!$L$2:$L$553)</f>
        <v>0</v>
      </c>
      <c r="J33" s="13">
        <f>SUMIF(Mercado_Receita!$S$2:$S$553,"44470B2BrancaRuralCooperativa de eletrificação ruralNão se aplicaNão se aplicaFora ponta",Mercado_Receita!$L$2:$L$553)</f>
        <v>0</v>
      </c>
      <c r="K33" s="13">
        <f>SUMIF(Mercado_Receita!$S$2:$S$553,"44501B2BrancaRuralCooperativa de eletrificação ruralNão se aplicaNão se aplicaFora ponta",Mercado_Receita!$L$2:$L$553)</f>
        <v>0</v>
      </c>
      <c r="L33" s="13">
        <f>SUMIF(Mercado_Receita!$S$2:$S$553,"44531B2BrancaRuralCooperativa de eletrificação ruralNão se aplicaNão se aplicaFora ponta",Mercado_Receita!$L$2:$L$553)</f>
        <v>0</v>
      </c>
      <c r="M33" s="13">
        <f>SUMIF(Mercado_Receita!$S$2:$S$553,"44562B2BrancaRuralCooperativa de eletrificação ruralNão se aplicaNão se aplicaFora ponta",Mercado_Receita!$L$2:$L$553)</f>
        <v>0</v>
      </c>
      <c r="N33" s="13">
        <f>SUMIF(Mercado_Receita!$S$2:$S$553,"44593B2BrancaRuralCooperativa de eletrificação ruralNão se aplicaNão se aplicaFora ponta",Mercado_Receita!$L$2:$L$553)</f>
        <v>0</v>
      </c>
      <c r="O33" s="13">
        <f>SUMIF(Mercado_Receita!$S$2:$S$553,"44621B2BrancaRuralCooperativa de eletrificação ruralNão se aplicaNão se aplicaFora ponta",Mercado_Receita!$L$2:$L$553)</f>
        <v>0</v>
      </c>
      <c r="P33" s="13">
        <f>SUMIF(Mercado_Receita!$S$2:$S$553,"44652B2BrancaRuralCooperativa de eletrificação ruralNão se aplicaNão se aplicaFora ponta",Mercado_Receita!$L$2:$L$553)</f>
        <v>0</v>
      </c>
      <c r="Q33" s="13">
        <f>SUMIF(Mercado_Receita!$S$2:$S$553,"44682B2BrancaRuralCooperativa de eletrificação ruralNão se aplicaNão se aplicaFora ponta",Mercado_Receita!$L$2:$L$553)</f>
        <v>0</v>
      </c>
      <c r="R33" s="13">
        <f>SUMIF(Mercado_Receita!$S$2:$S$553,"44713B2BrancaRuralCooperativa de eletrificação ruralNão se aplicaNão se aplicaFora ponta",Mercado_Receita!$L$2:$L$553)</f>
        <v>0</v>
      </c>
      <c r="S33" s="13">
        <f>SUMIF(Mercado_Receita!$S$2:$S$553,"44743B2BrancaRuralCooperativa de eletrificação ruralNão se aplicaNão se aplicaFora ponta",Mercado_Receita!$L$2:$L$553)</f>
        <v>0</v>
      </c>
      <c r="T33" s="13">
        <f>SUMIF(Mercado_Receita!$S$2:$S$553,"44774B2BrancaRuralCooperativa de eletrificação ruralNão se aplicaNão se aplicaFora ponta",Mercado_Receita!$L$2:$L$553)</f>
        <v>0</v>
      </c>
      <c r="U33" s="13">
        <f t="shared" si="0"/>
        <v>0</v>
      </c>
      <c r="V33" s="13"/>
      <c r="W33" s="13"/>
    </row>
    <row r="34" spans="1:23" ht="11.25" customHeight="1" x14ac:dyDescent="0.25">
      <c r="A34" s="80"/>
      <c r="B34" s="12" t="s">
        <v>23</v>
      </c>
      <c r="C34" s="12" t="s">
        <v>41</v>
      </c>
      <c r="D34" s="12" t="s">
        <v>88</v>
      </c>
      <c r="E34" s="12" t="s">
        <v>25</v>
      </c>
      <c r="F34" s="12" t="s">
        <v>25</v>
      </c>
      <c r="G34" s="13" t="s">
        <v>78</v>
      </c>
      <c r="H34" s="13" t="s">
        <v>72</v>
      </c>
      <c r="I34" s="13">
        <f>SUMIF(Mercado_Receita!$S$2:$S$553,"44440B2ConvencionalRuralCooperativa de eletrificação ruralNão se aplicaNão se aplicaPonta",Mercado_Receita!$L$2:$L$553)+SUMIF(Mercado_Receita!$S$2:$S$553,"44440B2ConvencionalRuralCooperativa de eletrificação ruralNão se aplicaNão se aplicaFora ponta",Mercado_Receita!$L$2:$L$553)+SUMIF(Mercado_Receita!$S$2:$S$553,"44440B2ConvencionalRuralCooperativa de eletrificação ruralNão se aplicaNão se aplicaIntermediário",Mercado_Receita!$L$2:$L$553)+SUMIF(Mercado_Receita!$S$2:$S$553,"44440B2ConvencionalRuralCooperativa de eletrificação ruralNão se aplicaNão se aplicaNão se aplica",Mercado_Receita!$L$2:$L$553)</f>
        <v>0</v>
      </c>
      <c r="J34" s="13">
        <f>SUMIF(Mercado_Receita!$S$2:$S$553,"44470B2ConvencionalRuralCooperativa de eletrificação ruralNão se aplicaNão se aplicaPonta",Mercado_Receita!$L$2:$L$553)+SUMIF(Mercado_Receita!$S$2:$S$553,"44470B2ConvencionalRuralCooperativa de eletrificação ruralNão se aplicaNão se aplicaFora ponta",Mercado_Receita!$L$2:$L$553)+SUMIF(Mercado_Receita!$S$2:$S$553,"44470B2ConvencionalRuralCooperativa de eletrificação ruralNão se aplicaNão se aplicaIntermediário",Mercado_Receita!$L$2:$L$553)+SUMIF(Mercado_Receita!$S$2:$S$553,"44470B2ConvencionalRuralCooperativa de eletrificação ruralNão se aplicaNão se aplicaNão se aplica",Mercado_Receita!$L$2:$L$553)</f>
        <v>0</v>
      </c>
      <c r="K34" s="13">
        <f>SUMIF(Mercado_Receita!$S$2:$S$553,"44501B2ConvencionalRuralCooperativa de eletrificação ruralNão se aplicaNão se aplicaPonta",Mercado_Receita!$L$2:$L$553)+SUMIF(Mercado_Receita!$S$2:$S$553,"44501B2ConvencionalRuralCooperativa de eletrificação ruralNão se aplicaNão se aplicaFora ponta",Mercado_Receita!$L$2:$L$553)+SUMIF(Mercado_Receita!$S$2:$S$553,"44501B2ConvencionalRuralCooperativa de eletrificação ruralNão se aplicaNão se aplicaIntermediário",Mercado_Receita!$L$2:$L$553)+SUMIF(Mercado_Receita!$S$2:$S$553,"44501B2ConvencionalRuralCooperativa de eletrificação ruralNão se aplicaNão se aplicaNão se aplica",Mercado_Receita!$L$2:$L$553)</f>
        <v>0</v>
      </c>
      <c r="L34" s="13">
        <f>SUMIF(Mercado_Receita!$S$2:$S$553,"44531B2ConvencionalRuralCooperativa de eletrificação ruralNão se aplicaNão se aplicaPonta",Mercado_Receita!$L$2:$L$553)+SUMIF(Mercado_Receita!$S$2:$S$553,"44531B2ConvencionalRuralCooperativa de eletrificação ruralNão se aplicaNão se aplicaFora ponta",Mercado_Receita!$L$2:$L$553)+SUMIF(Mercado_Receita!$S$2:$S$553,"44531B2ConvencionalRuralCooperativa de eletrificação ruralNão se aplicaNão se aplicaIntermediário",Mercado_Receita!$L$2:$L$553)+SUMIF(Mercado_Receita!$S$2:$S$553,"44531B2ConvencionalRuralCooperativa de eletrificação ruralNão se aplicaNão se aplicaNão se aplica",Mercado_Receita!$L$2:$L$553)</f>
        <v>0</v>
      </c>
      <c r="M34" s="13">
        <f>SUMIF(Mercado_Receita!$S$2:$S$553,"44562B2ConvencionalRuralCooperativa de eletrificação ruralNão se aplicaNão se aplicaPonta",Mercado_Receita!$L$2:$L$553)+SUMIF(Mercado_Receita!$S$2:$S$553,"44562B2ConvencionalRuralCooperativa de eletrificação ruralNão se aplicaNão se aplicaFora ponta",Mercado_Receita!$L$2:$L$553)+SUMIF(Mercado_Receita!$S$2:$S$553,"44562B2ConvencionalRuralCooperativa de eletrificação ruralNão se aplicaNão se aplicaIntermediário",Mercado_Receita!$L$2:$L$553)+SUMIF(Mercado_Receita!$S$2:$S$553,"44562B2ConvencionalRuralCooperativa de eletrificação ruralNão se aplicaNão se aplicaNão se aplica",Mercado_Receita!$L$2:$L$553)</f>
        <v>0</v>
      </c>
      <c r="N34" s="13">
        <f>SUMIF(Mercado_Receita!$S$2:$S$553,"44593B2ConvencionalRuralCooperativa de eletrificação ruralNão se aplicaNão se aplicaPonta",Mercado_Receita!$L$2:$L$553)+SUMIF(Mercado_Receita!$S$2:$S$553,"44593B2ConvencionalRuralCooperativa de eletrificação ruralNão se aplicaNão se aplicaFora ponta",Mercado_Receita!$L$2:$L$553)+SUMIF(Mercado_Receita!$S$2:$S$553,"44593B2ConvencionalRuralCooperativa de eletrificação ruralNão se aplicaNão se aplicaIntermediário",Mercado_Receita!$L$2:$L$553)+SUMIF(Mercado_Receita!$S$2:$S$553,"44593B2ConvencionalRuralCooperativa de eletrificação ruralNão se aplicaNão se aplicaNão se aplica",Mercado_Receita!$L$2:$L$553)</f>
        <v>0</v>
      </c>
      <c r="O34" s="13">
        <f>SUMIF(Mercado_Receita!$S$2:$S$553,"44621B2ConvencionalRuralCooperativa de eletrificação ruralNão se aplicaNão se aplicaPonta",Mercado_Receita!$L$2:$L$553)+SUMIF(Mercado_Receita!$S$2:$S$553,"44621B2ConvencionalRuralCooperativa de eletrificação ruralNão se aplicaNão se aplicaFora ponta",Mercado_Receita!$L$2:$L$553)+SUMIF(Mercado_Receita!$S$2:$S$553,"44621B2ConvencionalRuralCooperativa de eletrificação ruralNão se aplicaNão se aplicaIntermediário",Mercado_Receita!$L$2:$L$553)+SUMIF(Mercado_Receita!$S$2:$S$553,"44621B2ConvencionalRuralCooperativa de eletrificação ruralNão se aplicaNão se aplicaNão se aplica",Mercado_Receita!$L$2:$L$553)</f>
        <v>0</v>
      </c>
      <c r="P34" s="13">
        <f>SUMIF(Mercado_Receita!$S$2:$S$553,"44652B2ConvencionalRuralCooperativa de eletrificação ruralNão se aplicaNão se aplicaPonta",Mercado_Receita!$L$2:$L$553)+SUMIF(Mercado_Receita!$S$2:$S$553,"44652B2ConvencionalRuralCooperativa de eletrificação ruralNão se aplicaNão se aplicaFora ponta",Mercado_Receita!$L$2:$L$553)+SUMIF(Mercado_Receita!$S$2:$S$553,"44652B2ConvencionalRuralCooperativa de eletrificação ruralNão se aplicaNão se aplicaIntermediário",Mercado_Receita!$L$2:$L$553)+SUMIF(Mercado_Receita!$S$2:$S$553,"44652B2ConvencionalRuralCooperativa de eletrificação ruralNão se aplicaNão se aplicaNão se aplica",Mercado_Receita!$L$2:$L$553)</f>
        <v>0</v>
      </c>
      <c r="Q34" s="13">
        <f>SUMIF(Mercado_Receita!$S$2:$S$553,"44682B2ConvencionalRuralCooperativa de eletrificação ruralNão se aplicaNão se aplicaPonta",Mercado_Receita!$L$2:$L$553)+SUMIF(Mercado_Receita!$S$2:$S$553,"44682B2ConvencionalRuralCooperativa de eletrificação ruralNão se aplicaNão se aplicaFora ponta",Mercado_Receita!$L$2:$L$553)+SUMIF(Mercado_Receita!$S$2:$S$553,"44682B2ConvencionalRuralCooperativa de eletrificação ruralNão se aplicaNão se aplicaIntermediário",Mercado_Receita!$L$2:$L$553)+SUMIF(Mercado_Receita!$S$2:$S$553,"44682B2ConvencionalRuralCooperativa de eletrificação ruralNão se aplicaNão se aplicaNão se aplica",Mercado_Receita!$L$2:$L$553)</f>
        <v>0</v>
      </c>
      <c r="R34" s="13">
        <f>SUMIF(Mercado_Receita!$S$2:$S$553,"44713B2ConvencionalRuralCooperativa de eletrificação ruralNão se aplicaNão se aplicaPonta",Mercado_Receita!$L$2:$L$553)+SUMIF(Mercado_Receita!$S$2:$S$553,"44713B2ConvencionalRuralCooperativa de eletrificação ruralNão se aplicaNão se aplicaFora ponta",Mercado_Receita!$L$2:$L$553)+SUMIF(Mercado_Receita!$S$2:$S$553,"44713B2ConvencionalRuralCooperativa de eletrificação ruralNão se aplicaNão se aplicaIntermediário",Mercado_Receita!$L$2:$L$553)+SUMIF(Mercado_Receita!$S$2:$S$553,"44713B2ConvencionalRuralCooperativa de eletrificação ruralNão se aplicaNão se aplicaNão se aplica",Mercado_Receita!$L$2:$L$553)</f>
        <v>0</v>
      </c>
      <c r="S34" s="13">
        <f>SUMIF(Mercado_Receita!$S$2:$S$553,"44743B2ConvencionalRuralCooperativa de eletrificação ruralNão se aplicaNão se aplicaPonta",Mercado_Receita!$L$2:$L$553)+SUMIF(Mercado_Receita!$S$2:$S$553,"44743B2ConvencionalRuralCooperativa de eletrificação ruralNão se aplicaNão se aplicaFora ponta",Mercado_Receita!$L$2:$L$553)+SUMIF(Mercado_Receita!$S$2:$S$553,"44743B2ConvencionalRuralCooperativa de eletrificação ruralNão se aplicaNão se aplicaIntermediário",Mercado_Receita!$L$2:$L$553)+SUMIF(Mercado_Receita!$S$2:$S$553,"44743B2ConvencionalRuralCooperativa de eletrificação ruralNão se aplicaNão se aplicaNão se aplica",Mercado_Receita!$L$2:$L$553)</f>
        <v>0</v>
      </c>
      <c r="T34" s="13">
        <f>SUMIF(Mercado_Receita!$S$2:$S$553,"44774B2ConvencionalRuralCooperativa de eletrificação ruralNão se aplicaNão se aplicaPonta",Mercado_Receita!$L$2:$L$553)+SUMIF(Mercado_Receita!$S$2:$S$553,"44774B2ConvencionalRuralCooperativa de eletrificação ruralNão se aplicaNão se aplicaFora ponta",Mercado_Receita!$L$2:$L$553)+SUMIF(Mercado_Receita!$S$2:$S$553,"44774B2ConvencionalRuralCooperativa de eletrificação ruralNão se aplicaNão se aplicaIntermediário",Mercado_Receita!$L$2:$L$553)+SUMIF(Mercado_Receita!$S$2:$S$553,"44774B2ConvencionalRuralCooperativa de eletrificação ruralNão se aplicaNão se aplicaNão se aplica",Mercado_Receita!$L$2:$L$553)</f>
        <v>0</v>
      </c>
      <c r="U34" s="13">
        <f t="shared" si="0"/>
        <v>0</v>
      </c>
      <c r="V34" s="13"/>
      <c r="W34" s="13"/>
    </row>
    <row r="35" spans="1:23" ht="11.25" customHeight="1" x14ac:dyDescent="0.25">
      <c r="A35" s="80"/>
      <c r="B35" s="79" t="s">
        <v>85</v>
      </c>
      <c r="C35" s="79" t="s">
        <v>41</v>
      </c>
      <c r="D35" s="79" t="s">
        <v>89</v>
      </c>
      <c r="E35" s="79" t="s">
        <v>25</v>
      </c>
      <c r="F35" s="79" t="s">
        <v>25</v>
      </c>
      <c r="G35" s="13" t="s">
        <v>73</v>
      </c>
      <c r="H35" s="13" t="s">
        <v>72</v>
      </c>
      <c r="I35" s="13">
        <f>SUMIF(Mercado_Receita!$S$2:$S$553,"44440B2BrancaRuralServiço público de irrigação ruralNão se aplicaNão se aplicaPonta",Mercado_Receita!$L$2:$L$553)</f>
        <v>0</v>
      </c>
      <c r="J35" s="13">
        <f>SUMIF(Mercado_Receita!$S$2:$S$553,"44470B2BrancaRuralServiço público de irrigação ruralNão se aplicaNão se aplicaPonta",Mercado_Receita!$L$2:$L$553)</f>
        <v>0</v>
      </c>
      <c r="K35" s="13">
        <f>SUMIF(Mercado_Receita!$S$2:$S$553,"44501B2BrancaRuralServiço público de irrigação ruralNão se aplicaNão se aplicaPonta",Mercado_Receita!$L$2:$L$553)</f>
        <v>0</v>
      </c>
      <c r="L35" s="13">
        <f>SUMIF(Mercado_Receita!$S$2:$S$553,"44531B2BrancaRuralServiço público de irrigação ruralNão se aplicaNão se aplicaPonta",Mercado_Receita!$L$2:$L$553)</f>
        <v>0</v>
      </c>
      <c r="M35" s="13">
        <f>SUMIF(Mercado_Receita!$S$2:$S$553,"44562B2BrancaRuralServiço público de irrigação ruralNão se aplicaNão se aplicaPonta",Mercado_Receita!$L$2:$L$553)</f>
        <v>0</v>
      </c>
      <c r="N35" s="13">
        <f>SUMIF(Mercado_Receita!$S$2:$S$553,"44593B2BrancaRuralServiço público de irrigação ruralNão se aplicaNão se aplicaPonta",Mercado_Receita!$L$2:$L$553)</f>
        <v>0</v>
      </c>
      <c r="O35" s="13">
        <f>SUMIF(Mercado_Receita!$S$2:$S$553,"44621B2BrancaRuralServiço público de irrigação ruralNão se aplicaNão se aplicaPonta",Mercado_Receita!$L$2:$L$553)</f>
        <v>0</v>
      </c>
      <c r="P35" s="13">
        <f>SUMIF(Mercado_Receita!$S$2:$S$553,"44652B2BrancaRuralServiço público de irrigação ruralNão se aplicaNão se aplicaPonta",Mercado_Receita!$L$2:$L$553)</f>
        <v>0</v>
      </c>
      <c r="Q35" s="13">
        <f>SUMIF(Mercado_Receita!$S$2:$S$553,"44682B2BrancaRuralServiço público de irrigação ruralNão se aplicaNão se aplicaPonta",Mercado_Receita!$L$2:$L$553)</f>
        <v>0</v>
      </c>
      <c r="R35" s="13">
        <f>SUMIF(Mercado_Receita!$S$2:$S$553,"44713B2BrancaRuralServiço público de irrigação ruralNão se aplicaNão se aplicaPonta",Mercado_Receita!$L$2:$L$553)</f>
        <v>0</v>
      </c>
      <c r="S35" s="13">
        <f>SUMIF(Mercado_Receita!$S$2:$S$553,"44743B2BrancaRuralServiço público de irrigação ruralNão se aplicaNão se aplicaPonta",Mercado_Receita!$L$2:$L$553)</f>
        <v>0</v>
      </c>
      <c r="T35" s="13">
        <f>SUMIF(Mercado_Receita!$S$2:$S$553,"44774B2BrancaRuralServiço público de irrigação ruralNão se aplicaNão se aplicaPonta",Mercado_Receita!$L$2:$L$553)</f>
        <v>0</v>
      </c>
      <c r="U35" s="13">
        <f t="shared" si="0"/>
        <v>0</v>
      </c>
      <c r="V35" s="13"/>
      <c r="W35" s="13"/>
    </row>
    <row r="36" spans="1:23" ht="11.25" customHeight="1" x14ac:dyDescent="0.25">
      <c r="A36" s="80"/>
      <c r="B36" s="80"/>
      <c r="C36" s="80"/>
      <c r="D36" s="80"/>
      <c r="E36" s="80"/>
      <c r="F36" s="80"/>
      <c r="G36" s="13" t="s">
        <v>83</v>
      </c>
      <c r="H36" s="13" t="s">
        <v>72</v>
      </c>
      <c r="I36" s="13">
        <f>SUMIF(Mercado_Receita!$S$2:$S$553,"44440B2BrancaRuralServiço público de irrigação ruralNão se aplicaNão se aplicaIntermediário",Mercado_Receita!$L$2:$L$553)</f>
        <v>0</v>
      </c>
      <c r="J36" s="13">
        <f>SUMIF(Mercado_Receita!$S$2:$S$553,"44470B2BrancaRuralServiço público de irrigação ruralNão se aplicaNão se aplicaIntermediário",Mercado_Receita!$L$2:$L$553)</f>
        <v>0</v>
      </c>
      <c r="K36" s="13">
        <f>SUMIF(Mercado_Receita!$S$2:$S$553,"44501B2BrancaRuralServiço público de irrigação ruralNão se aplicaNão se aplicaIntermediário",Mercado_Receita!$L$2:$L$553)</f>
        <v>0</v>
      </c>
      <c r="L36" s="13">
        <f>SUMIF(Mercado_Receita!$S$2:$S$553,"44531B2BrancaRuralServiço público de irrigação ruralNão se aplicaNão se aplicaIntermediário",Mercado_Receita!$L$2:$L$553)</f>
        <v>0</v>
      </c>
      <c r="M36" s="13">
        <f>SUMIF(Mercado_Receita!$S$2:$S$553,"44562B2BrancaRuralServiço público de irrigação ruralNão se aplicaNão se aplicaIntermediário",Mercado_Receita!$L$2:$L$553)</f>
        <v>0</v>
      </c>
      <c r="N36" s="13">
        <f>SUMIF(Mercado_Receita!$S$2:$S$553,"44593B2BrancaRuralServiço público de irrigação ruralNão se aplicaNão se aplicaIntermediário",Mercado_Receita!$L$2:$L$553)</f>
        <v>0</v>
      </c>
      <c r="O36" s="13">
        <f>SUMIF(Mercado_Receita!$S$2:$S$553,"44621B2BrancaRuralServiço público de irrigação ruralNão se aplicaNão se aplicaIntermediário",Mercado_Receita!$L$2:$L$553)</f>
        <v>0</v>
      </c>
      <c r="P36" s="13">
        <f>SUMIF(Mercado_Receita!$S$2:$S$553,"44652B2BrancaRuralServiço público de irrigação ruralNão se aplicaNão se aplicaIntermediário",Mercado_Receita!$L$2:$L$553)</f>
        <v>0</v>
      </c>
      <c r="Q36" s="13">
        <f>SUMIF(Mercado_Receita!$S$2:$S$553,"44682B2BrancaRuralServiço público de irrigação ruralNão se aplicaNão se aplicaIntermediário",Mercado_Receita!$L$2:$L$553)</f>
        <v>0</v>
      </c>
      <c r="R36" s="13">
        <f>SUMIF(Mercado_Receita!$S$2:$S$553,"44713B2BrancaRuralServiço público de irrigação ruralNão se aplicaNão se aplicaIntermediário",Mercado_Receita!$L$2:$L$553)</f>
        <v>0</v>
      </c>
      <c r="S36" s="13">
        <f>SUMIF(Mercado_Receita!$S$2:$S$553,"44743B2BrancaRuralServiço público de irrigação ruralNão se aplicaNão se aplicaIntermediário",Mercado_Receita!$L$2:$L$553)</f>
        <v>0</v>
      </c>
      <c r="T36" s="13">
        <f>SUMIF(Mercado_Receita!$S$2:$S$553,"44774B2BrancaRuralServiço público de irrigação ruralNão se aplicaNão se aplicaIntermediário",Mercado_Receita!$L$2:$L$553)</f>
        <v>0</v>
      </c>
      <c r="U36" s="13">
        <f t="shared" si="0"/>
        <v>0</v>
      </c>
      <c r="V36" s="13"/>
      <c r="W36" s="13"/>
    </row>
    <row r="37" spans="1:23" ht="11.25" customHeight="1" x14ac:dyDescent="0.25">
      <c r="A37" s="80"/>
      <c r="B37" s="80"/>
      <c r="C37" s="80"/>
      <c r="D37" s="80"/>
      <c r="E37" s="80"/>
      <c r="F37" s="80"/>
      <c r="G37" s="13" t="s">
        <v>74</v>
      </c>
      <c r="H37" s="13" t="s">
        <v>72</v>
      </c>
      <c r="I37" s="13">
        <f>SUMIF(Mercado_Receita!$S$2:$S$553,"44440B2BrancaRuralServiço público de irrigação ruralNão se aplicaNão se aplicaFora ponta",Mercado_Receita!$L$2:$L$553)</f>
        <v>0</v>
      </c>
      <c r="J37" s="13">
        <f>SUMIF(Mercado_Receita!$S$2:$S$553,"44470B2BrancaRuralServiço público de irrigação ruralNão se aplicaNão se aplicaFora ponta",Mercado_Receita!$L$2:$L$553)</f>
        <v>0</v>
      </c>
      <c r="K37" s="13">
        <f>SUMIF(Mercado_Receita!$S$2:$S$553,"44501B2BrancaRuralServiço público de irrigação ruralNão se aplicaNão se aplicaFora ponta",Mercado_Receita!$L$2:$L$553)</f>
        <v>0</v>
      </c>
      <c r="L37" s="13">
        <f>SUMIF(Mercado_Receita!$S$2:$S$553,"44531B2BrancaRuralServiço público de irrigação ruralNão se aplicaNão se aplicaFora ponta",Mercado_Receita!$L$2:$L$553)</f>
        <v>0</v>
      </c>
      <c r="M37" s="13">
        <f>SUMIF(Mercado_Receita!$S$2:$S$553,"44562B2BrancaRuralServiço público de irrigação ruralNão se aplicaNão se aplicaFora ponta",Mercado_Receita!$L$2:$L$553)</f>
        <v>0</v>
      </c>
      <c r="N37" s="13">
        <f>SUMIF(Mercado_Receita!$S$2:$S$553,"44593B2BrancaRuralServiço público de irrigação ruralNão se aplicaNão se aplicaFora ponta",Mercado_Receita!$L$2:$L$553)</f>
        <v>0</v>
      </c>
      <c r="O37" s="13">
        <f>SUMIF(Mercado_Receita!$S$2:$S$553,"44621B2BrancaRuralServiço público de irrigação ruralNão se aplicaNão se aplicaFora ponta",Mercado_Receita!$L$2:$L$553)</f>
        <v>0</v>
      </c>
      <c r="P37" s="13">
        <f>SUMIF(Mercado_Receita!$S$2:$S$553,"44652B2BrancaRuralServiço público de irrigação ruralNão se aplicaNão se aplicaFora ponta",Mercado_Receita!$L$2:$L$553)</f>
        <v>0</v>
      </c>
      <c r="Q37" s="13">
        <f>SUMIF(Mercado_Receita!$S$2:$S$553,"44682B2BrancaRuralServiço público de irrigação ruralNão se aplicaNão se aplicaFora ponta",Mercado_Receita!$L$2:$L$553)</f>
        <v>0</v>
      </c>
      <c r="R37" s="13">
        <f>SUMIF(Mercado_Receita!$S$2:$S$553,"44713B2BrancaRuralServiço público de irrigação ruralNão se aplicaNão se aplicaFora ponta",Mercado_Receita!$L$2:$L$553)</f>
        <v>0</v>
      </c>
      <c r="S37" s="13">
        <f>SUMIF(Mercado_Receita!$S$2:$S$553,"44743B2BrancaRuralServiço público de irrigação ruralNão se aplicaNão se aplicaFora ponta",Mercado_Receita!$L$2:$L$553)</f>
        <v>0</v>
      </c>
      <c r="T37" s="13">
        <f>SUMIF(Mercado_Receita!$S$2:$S$553,"44774B2BrancaRuralServiço público de irrigação ruralNão se aplicaNão se aplicaFora ponta",Mercado_Receita!$L$2:$L$553)</f>
        <v>0</v>
      </c>
      <c r="U37" s="13">
        <f t="shared" si="0"/>
        <v>0</v>
      </c>
      <c r="V37" s="13"/>
      <c r="W37" s="13"/>
    </row>
    <row r="38" spans="1:23" ht="11.25" customHeight="1" x14ac:dyDescent="0.25">
      <c r="A38" s="80"/>
      <c r="B38" s="12" t="s">
        <v>23</v>
      </c>
      <c r="C38" s="12" t="s">
        <v>41</v>
      </c>
      <c r="D38" s="12" t="s">
        <v>89</v>
      </c>
      <c r="E38" s="12" t="s">
        <v>25</v>
      </c>
      <c r="F38" s="12" t="s">
        <v>25</v>
      </c>
      <c r="G38" s="13" t="s">
        <v>78</v>
      </c>
      <c r="H38" s="13" t="s">
        <v>72</v>
      </c>
      <c r="I38" s="13">
        <f>SUMIF(Mercado_Receita!$S$2:$S$553,"44440B2ConvencionalRuralServiço público de irrigação ruralNão se aplicaNão se aplicaPonta",Mercado_Receita!$L$2:$L$553)+SUMIF(Mercado_Receita!$S$2:$S$553,"44440B2ConvencionalRuralServiço público de irrigação ruralNão se aplicaNão se aplicaFora ponta",Mercado_Receita!$L$2:$L$553)+SUMIF(Mercado_Receita!$S$2:$S$553,"44440B2ConvencionalRuralServiço público de irrigação ruralNão se aplicaNão se aplicaIntermediário",Mercado_Receita!$L$2:$L$553)+SUMIF(Mercado_Receita!$S$2:$S$553,"44440B2ConvencionalRuralServiço público de irrigação ruralNão se aplicaNão se aplicaNão se aplica",Mercado_Receita!$L$2:$L$553)</f>
        <v>0</v>
      </c>
      <c r="J38" s="13">
        <f>SUMIF(Mercado_Receita!$S$2:$S$553,"44470B2ConvencionalRuralServiço público de irrigação ruralNão se aplicaNão se aplicaPonta",Mercado_Receita!$L$2:$L$553)+SUMIF(Mercado_Receita!$S$2:$S$553,"44470B2ConvencionalRuralServiço público de irrigação ruralNão se aplicaNão se aplicaFora ponta",Mercado_Receita!$L$2:$L$553)+SUMIF(Mercado_Receita!$S$2:$S$553,"44470B2ConvencionalRuralServiço público de irrigação ruralNão se aplicaNão se aplicaIntermediário",Mercado_Receita!$L$2:$L$553)+SUMIF(Mercado_Receita!$S$2:$S$553,"44470B2ConvencionalRuralServiço público de irrigação ruralNão se aplicaNão se aplicaNão se aplica",Mercado_Receita!$L$2:$L$553)</f>
        <v>0</v>
      </c>
      <c r="K38" s="13">
        <f>SUMIF(Mercado_Receita!$S$2:$S$553,"44501B2ConvencionalRuralServiço público de irrigação ruralNão se aplicaNão se aplicaPonta",Mercado_Receita!$L$2:$L$553)+SUMIF(Mercado_Receita!$S$2:$S$553,"44501B2ConvencionalRuralServiço público de irrigação ruralNão se aplicaNão se aplicaFora ponta",Mercado_Receita!$L$2:$L$553)+SUMIF(Mercado_Receita!$S$2:$S$553,"44501B2ConvencionalRuralServiço público de irrigação ruralNão se aplicaNão se aplicaIntermediário",Mercado_Receita!$L$2:$L$553)+SUMIF(Mercado_Receita!$S$2:$S$553,"44501B2ConvencionalRuralServiço público de irrigação ruralNão se aplicaNão se aplicaNão se aplica",Mercado_Receita!$L$2:$L$553)</f>
        <v>0</v>
      </c>
      <c r="L38" s="13">
        <f>SUMIF(Mercado_Receita!$S$2:$S$553,"44531B2ConvencionalRuralServiço público de irrigação ruralNão se aplicaNão se aplicaPonta",Mercado_Receita!$L$2:$L$553)+SUMIF(Mercado_Receita!$S$2:$S$553,"44531B2ConvencionalRuralServiço público de irrigação ruralNão se aplicaNão se aplicaFora ponta",Mercado_Receita!$L$2:$L$553)+SUMIF(Mercado_Receita!$S$2:$S$553,"44531B2ConvencionalRuralServiço público de irrigação ruralNão se aplicaNão se aplicaIntermediário",Mercado_Receita!$L$2:$L$553)+SUMIF(Mercado_Receita!$S$2:$S$553,"44531B2ConvencionalRuralServiço público de irrigação ruralNão se aplicaNão se aplicaNão se aplica",Mercado_Receita!$L$2:$L$553)</f>
        <v>0</v>
      </c>
      <c r="M38" s="13">
        <f>SUMIF(Mercado_Receita!$S$2:$S$553,"44562B2ConvencionalRuralServiço público de irrigação ruralNão se aplicaNão se aplicaPonta",Mercado_Receita!$L$2:$L$553)+SUMIF(Mercado_Receita!$S$2:$S$553,"44562B2ConvencionalRuralServiço público de irrigação ruralNão se aplicaNão se aplicaFora ponta",Mercado_Receita!$L$2:$L$553)+SUMIF(Mercado_Receita!$S$2:$S$553,"44562B2ConvencionalRuralServiço público de irrigação ruralNão se aplicaNão se aplicaIntermediário",Mercado_Receita!$L$2:$L$553)+SUMIF(Mercado_Receita!$S$2:$S$553,"44562B2ConvencionalRuralServiço público de irrigação ruralNão se aplicaNão se aplicaNão se aplica",Mercado_Receita!$L$2:$L$553)</f>
        <v>0</v>
      </c>
      <c r="N38" s="13">
        <f>SUMIF(Mercado_Receita!$S$2:$S$553,"44593B2ConvencionalRuralServiço público de irrigação ruralNão se aplicaNão se aplicaPonta",Mercado_Receita!$L$2:$L$553)+SUMIF(Mercado_Receita!$S$2:$S$553,"44593B2ConvencionalRuralServiço público de irrigação ruralNão se aplicaNão se aplicaFora ponta",Mercado_Receita!$L$2:$L$553)+SUMIF(Mercado_Receita!$S$2:$S$553,"44593B2ConvencionalRuralServiço público de irrigação ruralNão se aplicaNão se aplicaIntermediário",Mercado_Receita!$L$2:$L$553)+SUMIF(Mercado_Receita!$S$2:$S$553,"44593B2ConvencionalRuralServiço público de irrigação ruralNão se aplicaNão se aplicaNão se aplica",Mercado_Receita!$L$2:$L$553)</f>
        <v>0</v>
      </c>
      <c r="O38" s="13">
        <f>SUMIF(Mercado_Receita!$S$2:$S$553,"44621B2ConvencionalRuralServiço público de irrigação ruralNão se aplicaNão se aplicaPonta",Mercado_Receita!$L$2:$L$553)+SUMIF(Mercado_Receita!$S$2:$S$553,"44621B2ConvencionalRuralServiço público de irrigação ruralNão se aplicaNão se aplicaFora ponta",Mercado_Receita!$L$2:$L$553)+SUMIF(Mercado_Receita!$S$2:$S$553,"44621B2ConvencionalRuralServiço público de irrigação ruralNão se aplicaNão se aplicaIntermediário",Mercado_Receita!$L$2:$L$553)+SUMIF(Mercado_Receita!$S$2:$S$553,"44621B2ConvencionalRuralServiço público de irrigação ruralNão se aplicaNão se aplicaNão se aplica",Mercado_Receita!$L$2:$L$553)</f>
        <v>0</v>
      </c>
      <c r="P38" s="13">
        <f>SUMIF(Mercado_Receita!$S$2:$S$553,"44652B2ConvencionalRuralServiço público de irrigação ruralNão se aplicaNão se aplicaPonta",Mercado_Receita!$L$2:$L$553)+SUMIF(Mercado_Receita!$S$2:$S$553,"44652B2ConvencionalRuralServiço público de irrigação ruralNão se aplicaNão se aplicaFora ponta",Mercado_Receita!$L$2:$L$553)+SUMIF(Mercado_Receita!$S$2:$S$553,"44652B2ConvencionalRuralServiço público de irrigação ruralNão se aplicaNão se aplicaIntermediário",Mercado_Receita!$L$2:$L$553)+SUMIF(Mercado_Receita!$S$2:$S$553,"44652B2ConvencionalRuralServiço público de irrigação ruralNão se aplicaNão se aplicaNão se aplica",Mercado_Receita!$L$2:$L$553)</f>
        <v>0</v>
      </c>
      <c r="Q38" s="13">
        <f>SUMIF(Mercado_Receita!$S$2:$S$553,"44682B2ConvencionalRuralServiço público de irrigação ruralNão se aplicaNão se aplicaPonta",Mercado_Receita!$L$2:$L$553)+SUMIF(Mercado_Receita!$S$2:$S$553,"44682B2ConvencionalRuralServiço público de irrigação ruralNão se aplicaNão se aplicaFora ponta",Mercado_Receita!$L$2:$L$553)+SUMIF(Mercado_Receita!$S$2:$S$553,"44682B2ConvencionalRuralServiço público de irrigação ruralNão se aplicaNão se aplicaIntermediário",Mercado_Receita!$L$2:$L$553)+SUMIF(Mercado_Receita!$S$2:$S$553,"44682B2ConvencionalRuralServiço público de irrigação ruralNão se aplicaNão se aplicaNão se aplica",Mercado_Receita!$L$2:$L$553)</f>
        <v>0</v>
      </c>
      <c r="R38" s="13">
        <f>SUMIF(Mercado_Receita!$S$2:$S$553,"44713B2ConvencionalRuralServiço público de irrigação ruralNão se aplicaNão se aplicaPonta",Mercado_Receita!$L$2:$L$553)+SUMIF(Mercado_Receita!$S$2:$S$553,"44713B2ConvencionalRuralServiço público de irrigação ruralNão se aplicaNão se aplicaFora ponta",Mercado_Receita!$L$2:$L$553)+SUMIF(Mercado_Receita!$S$2:$S$553,"44713B2ConvencionalRuralServiço público de irrigação ruralNão se aplicaNão se aplicaIntermediário",Mercado_Receita!$L$2:$L$553)+SUMIF(Mercado_Receita!$S$2:$S$553,"44713B2ConvencionalRuralServiço público de irrigação ruralNão se aplicaNão se aplicaNão se aplica",Mercado_Receita!$L$2:$L$553)</f>
        <v>0</v>
      </c>
      <c r="S38" s="13">
        <f>SUMIF(Mercado_Receita!$S$2:$S$553,"44743B2ConvencionalRuralServiço público de irrigação ruralNão se aplicaNão se aplicaPonta",Mercado_Receita!$L$2:$L$553)+SUMIF(Mercado_Receita!$S$2:$S$553,"44743B2ConvencionalRuralServiço público de irrigação ruralNão se aplicaNão se aplicaFora ponta",Mercado_Receita!$L$2:$L$553)+SUMIF(Mercado_Receita!$S$2:$S$553,"44743B2ConvencionalRuralServiço público de irrigação ruralNão se aplicaNão se aplicaIntermediário",Mercado_Receita!$L$2:$L$553)+SUMIF(Mercado_Receita!$S$2:$S$553,"44743B2ConvencionalRuralServiço público de irrigação ruralNão se aplicaNão se aplicaNão se aplica",Mercado_Receita!$L$2:$L$553)</f>
        <v>0</v>
      </c>
      <c r="T38" s="13">
        <f>SUMIF(Mercado_Receita!$S$2:$S$553,"44774B2ConvencionalRuralServiço público de irrigação ruralNão se aplicaNão se aplicaPonta",Mercado_Receita!$L$2:$L$553)+SUMIF(Mercado_Receita!$S$2:$S$553,"44774B2ConvencionalRuralServiço público de irrigação ruralNão se aplicaNão se aplicaFora ponta",Mercado_Receita!$L$2:$L$553)+SUMIF(Mercado_Receita!$S$2:$S$553,"44774B2ConvencionalRuralServiço público de irrigação ruralNão se aplicaNão se aplicaIntermediário",Mercado_Receita!$L$2:$L$553)+SUMIF(Mercado_Receita!$S$2:$S$553,"44774B2ConvencionalRuralServiço público de irrigação ruralNão se aplicaNão se aplicaNão se aplica",Mercado_Receita!$L$2:$L$553)</f>
        <v>0</v>
      </c>
      <c r="U38" s="13">
        <f t="shared" si="0"/>
        <v>0</v>
      </c>
      <c r="V38" s="13"/>
      <c r="W38" s="13"/>
    </row>
    <row r="39" spans="1:23" ht="11.25" customHeight="1" x14ac:dyDescent="0.25">
      <c r="A39" s="80"/>
      <c r="B39" s="79" t="s">
        <v>87</v>
      </c>
      <c r="C39" s="79" t="s">
        <v>41</v>
      </c>
      <c r="D39" s="12" t="s">
        <v>25</v>
      </c>
      <c r="E39" s="12" t="s">
        <v>25</v>
      </c>
      <c r="F39" s="12" t="s">
        <v>25</v>
      </c>
      <c r="G39" s="13" t="s">
        <v>78</v>
      </c>
      <c r="H39" s="13" t="s">
        <v>72</v>
      </c>
      <c r="I39" s="13">
        <f>SUMIF(Mercado_Receita!$S$2:$S$553,"44440B2Convencional pré-pagamentoRuralNão se aplicaNão se aplicaNão se aplicaPonta",Mercado_Receita!$L$2:$L$553)+SUMIF(Mercado_Receita!$S$2:$S$553,"44440B2Convencional pré-pagamentoRuralNão se aplicaNão se aplicaNão se aplicaFora ponta",Mercado_Receita!$L$2:$L$553)+SUMIF(Mercado_Receita!$S$2:$S$553,"44440B2Convencional pré-pagamentoRuralNão se aplicaNão se aplicaNão se aplicaIntermediário",Mercado_Receita!$L$2:$L$553)+SUMIF(Mercado_Receita!$S$2:$S$553,"44440B2Convencional pré-pagamentoRuralNão se aplicaNão se aplicaNão se aplicaNão se aplica",Mercado_Receita!$L$2:$L$553)</f>
        <v>0</v>
      </c>
      <c r="J39" s="13">
        <f>SUMIF(Mercado_Receita!$S$2:$S$553,"44470B2Convencional pré-pagamentoRuralNão se aplicaNão se aplicaNão se aplicaPonta",Mercado_Receita!$L$2:$L$553)+SUMIF(Mercado_Receita!$S$2:$S$553,"44470B2Convencional pré-pagamentoRuralNão se aplicaNão se aplicaNão se aplicaFora ponta",Mercado_Receita!$L$2:$L$553)+SUMIF(Mercado_Receita!$S$2:$S$553,"44470B2Convencional pré-pagamentoRuralNão se aplicaNão se aplicaNão se aplicaIntermediário",Mercado_Receita!$L$2:$L$553)+SUMIF(Mercado_Receita!$S$2:$S$553,"44470B2Convencional pré-pagamentoRuralNão se aplicaNão se aplicaNão se aplicaNão se aplica",Mercado_Receita!$L$2:$L$553)</f>
        <v>0</v>
      </c>
      <c r="K39" s="13">
        <f>SUMIF(Mercado_Receita!$S$2:$S$553,"44501B2Convencional pré-pagamentoRuralNão se aplicaNão se aplicaNão se aplicaPonta",Mercado_Receita!$L$2:$L$553)+SUMIF(Mercado_Receita!$S$2:$S$553,"44501B2Convencional pré-pagamentoRuralNão se aplicaNão se aplicaNão se aplicaFora ponta",Mercado_Receita!$L$2:$L$553)+SUMIF(Mercado_Receita!$S$2:$S$553,"44501B2Convencional pré-pagamentoRuralNão se aplicaNão se aplicaNão se aplicaIntermediário",Mercado_Receita!$L$2:$L$553)+SUMIF(Mercado_Receita!$S$2:$S$553,"44501B2Convencional pré-pagamentoRuralNão se aplicaNão se aplicaNão se aplicaNão se aplica",Mercado_Receita!$L$2:$L$553)</f>
        <v>0</v>
      </c>
      <c r="L39" s="13">
        <f>SUMIF(Mercado_Receita!$S$2:$S$553,"44531B2Convencional pré-pagamentoRuralNão se aplicaNão se aplicaNão se aplicaPonta",Mercado_Receita!$L$2:$L$553)+SUMIF(Mercado_Receita!$S$2:$S$553,"44531B2Convencional pré-pagamentoRuralNão se aplicaNão se aplicaNão se aplicaFora ponta",Mercado_Receita!$L$2:$L$553)+SUMIF(Mercado_Receita!$S$2:$S$553,"44531B2Convencional pré-pagamentoRuralNão se aplicaNão se aplicaNão se aplicaIntermediário",Mercado_Receita!$L$2:$L$553)+SUMIF(Mercado_Receita!$S$2:$S$553,"44531B2Convencional pré-pagamentoRuralNão se aplicaNão se aplicaNão se aplicaNão se aplica",Mercado_Receita!$L$2:$L$553)</f>
        <v>0</v>
      </c>
      <c r="M39" s="13">
        <f>SUMIF(Mercado_Receita!$S$2:$S$553,"44562B2Convencional pré-pagamentoRuralNão se aplicaNão se aplicaNão se aplicaPonta",Mercado_Receita!$L$2:$L$553)+SUMIF(Mercado_Receita!$S$2:$S$553,"44562B2Convencional pré-pagamentoRuralNão se aplicaNão se aplicaNão se aplicaFora ponta",Mercado_Receita!$L$2:$L$553)+SUMIF(Mercado_Receita!$S$2:$S$553,"44562B2Convencional pré-pagamentoRuralNão se aplicaNão se aplicaNão se aplicaIntermediário",Mercado_Receita!$L$2:$L$553)+SUMIF(Mercado_Receita!$S$2:$S$553,"44562B2Convencional pré-pagamentoRuralNão se aplicaNão se aplicaNão se aplicaNão se aplica",Mercado_Receita!$L$2:$L$553)</f>
        <v>0</v>
      </c>
      <c r="N39" s="13">
        <f>SUMIF(Mercado_Receita!$S$2:$S$553,"44593B2Convencional pré-pagamentoRuralNão se aplicaNão se aplicaNão se aplicaPonta",Mercado_Receita!$L$2:$L$553)+SUMIF(Mercado_Receita!$S$2:$S$553,"44593B2Convencional pré-pagamentoRuralNão se aplicaNão se aplicaNão se aplicaFora ponta",Mercado_Receita!$L$2:$L$553)+SUMIF(Mercado_Receita!$S$2:$S$553,"44593B2Convencional pré-pagamentoRuralNão se aplicaNão se aplicaNão se aplicaIntermediário",Mercado_Receita!$L$2:$L$553)+SUMIF(Mercado_Receita!$S$2:$S$553,"44593B2Convencional pré-pagamentoRuralNão se aplicaNão se aplicaNão se aplicaNão se aplica",Mercado_Receita!$L$2:$L$553)</f>
        <v>0</v>
      </c>
      <c r="O39" s="13">
        <f>SUMIF(Mercado_Receita!$S$2:$S$553,"44621B2Convencional pré-pagamentoRuralNão se aplicaNão se aplicaNão se aplicaPonta",Mercado_Receita!$L$2:$L$553)+SUMIF(Mercado_Receita!$S$2:$S$553,"44621B2Convencional pré-pagamentoRuralNão se aplicaNão se aplicaNão se aplicaFora ponta",Mercado_Receita!$L$2:$L$553)+SUMIF(Mercado_Receita!$S$2:$S$553,"44621B2Convencional pré-pagamentoRuralNão se aplicaNão se aplicaNão se aplicaIntermediário",Mercado_Receita!$L$2:$L$553)+SUMIF(Mercado_Receita!$S$2:$S$553,"44621B2Convencional pré-pagamentoRuralNão se aplicaNão se aplicaNão se aplicaNão se aplica",Mercado_Receita!$L$2:$L$553)</f>
        <v>0</v>
      </c>
      <c r="P39" s="13">
        <f>SUMIF(Mercado_Receita!$S$2:$S$553,"44652B2Convencional pré-pagamentoRuralNão se aplicaNão se aplicaNão se aplicaPonta",Mercado_Receita!$L$2:$L$553)+SUMIF(Mercado_Receita!$S$2:$S$553,"44652B2Convencional pré-pagamentoRuralNão se aplicaNão se aplicaNão se aplicaFora ponta",Mercado_Receita!$L$2:$L$553)+SUMIF(Mercado_Receita!$S$2:$S$553,"44652B2Convencional pré-pagamentoRuralNão se aplicaNão se aplicaNão se aplicaIntermediário",Mercado_Receita!$L$2:$L$553)+SUMIF(Mercado_Receita!$S$2:$S$553,"44652B2Convencional pré-pagamentoRuralNão se aplicaNão se aplicaNão se aplicaNão se aplica",Mercado_Receita!$L$2:$L$553)</f>
        <v>0</v>
      </c>
      <c r="Q39" s="13">
        <f>SUMIF(Mercado_Receita!$S$2:$S$553,"44682B2Convencional pré-pagamentoRuralNão se aplicaNão se aplicaNão se aplicaPonta",Mercado_Receita!$L$2:$L$553)+SUMIF(Mercado_Receita!$S$2:$S$553,"44682B2Convencional pré-pagamentoRuralNão se aplicaNão se aplicaNão se aplicaFora ponta",Mercado_Receita!$L$2:$L$553)+SUMIF(Mercado_Receita!$S$2:$S$553,"44682B2Convencional pré-pagamentoRuralNão se aplicaNão se aplicaNão se aplicaIntermediário",Mercado_Receita!$L$2:$L$553)+SUMIF(Mercado_Receita!$S$2:$S$553,"44682B2Convencional pré-pagamentoRuralNão se aplicaNão se aplicaNão se aplicaNão se aplica",Mercado_Receita!$L$2:$L$553)</f>
        <v>0</v>
      </c>
      <c r="R39" s="13">
        <f>SUMIF(Mercado_Receita!$S$2:$S$553,"44713B2Convencional pré-pagamentoRuralNão se aplicaNão se aplicaNão se aplicaPonta",Mercado_Receita!$L$2:$L$553)+SUMIF(Mercado_Receita!$S$2:$S$553,"44713B2Convencional pré-pagamentoRuralNão se aplicaNão se aplicaNão se aplicaFora ponta",Mercado_Receita!$L$2:$L$553)+SUMIF(Mercado_Receita!$S$2:$S$553,"44713B2Convencional pré-pagamentoRuralNão se aplicaNão se aplicaNão se aplicaIntermediário",Mercado_Receita!$L$2:$L$553)+SUMIF(Mercado_Receita!$S$2:$S$553,"44713B2Convencional pré-pagamentoRuralNão se aplicaNão se aplicaNão se aplicaNão se aplica",Mercado_Receita!$L$2:$L$553)</f>
        <v>0</v>
      </c>
      <c r="S39" s="13">
        <f>SUMIF(Mercado_Receita!$S$2:$S$553,"44743B2Convencional pré-pagamentoRuralNão se aplicaNão se aplicaNão se aplicaPonta",Mercado_Receita!$L$2:$L$553)+SUMIF(Mercado_Receita!$S$2:$S$553,"44743B2Convencional pré-pagamentoRuralNão se aplicaNão se aplicaNão se aplicaFora ponta",Mercado_Receita!$L$2:$L$553)+SUMIF(Mercado_Receita!$S$2:$S$553,"44743B2Convencional pré-pagamentoRuralNão se aplicaNão se aplicaNão se aplicaIntermediário",Mercado_Receita!$L$2:$L$553)+SUMIF(Mercado_Receita!$S$2:$S$553,"44743B2Convencional pré-pagamentoRuralNão se aplicaNão se aplicaNão se aplicaNão se aplica",Mercado_Receita!$L$2:$L$553)</f>
        <v>0</v>
      </c>
      <c r="T39" s="13">
        <f>SUMIF(Mercado_Receita!$S$2:$S$553,"44774B2Convencional pré-pagamentoRuralNão se aplicaNão se aplicaNão se aplicaPonta",Mercado_Receita!$L$2:$L$553)+SUMIF(Mercado_Receita!$S$2:$S$553,"44774B2Convencional pré-pagamentoRuralNão se aplicaNão se aplicaNão se aplicaFora ponta",Mercado_Receita!$L$2:$L$553)+SUMIF(Mercado_Receita!$S$2:$S$553,"44774B2Convencional pré-pagamentoRuralNão se aplicaNão se aplicaNão se aplicaIntermediário",Mercado_Receita!$L$2:$L$553)+SUMIF(Mercado_Receita!$S$2:$S$553,"44774B2Convencional pré-pagamentoRuralNão se aplicaNão se aplicaNão se aplicaNão se aplica",Mercado_Receita!$L$2:$L$553)</f>
        <v>0</v>
      </c>
      <c r="U39" s="13">
        <f t="shared" si="0"/>
        <v>0</v>
      </c>
      <c r="V39" s="13"/>
      <c r="W39" s="13"/>
    </row>
    <row r="40" spans="1:23" ht="11.25" customHeight="1" x14ac:dyDescent="0.25">
      <c r="A40" s="80"/>
      <c r="B40" s="80"/>
      <c r="C40" s="80"/>
      <c r="D40" s="12" t="s">
        <v>88</v>
      </c>
      <c r="E40" s="12" t="s">
        <v>25</v>
      </c>
      <c r="F40" s="12" t="s">
        <v>25</v>
      </c>
      <c r="G40" s="13" t="s">
        <v>78</v>
      </c>
      <c r="H40" s="13" t="s">
        <v>72</v>
      </c>
      <c r="I40" s="13">
        <f>SUMIF(Mercado_Receita!$S$2:$S$553,"44440B2Convencional pré-pagamentoRuralCooperativa de eletrificação ruralNão se aplicaNão se aplicaPonta",Mercado_Receita!$L$2:$L$553)+SUMIF(Mercado_Receita!$S$2:$S$553,"44440B2Convencional pré-pagamentoRuralCooperativa de eletrificação ruralNão se aplicaNão se aplicaFora ponta",Mercado_Receita!$L$2:$L$553)+SUMIF(Mercado_Receita!$S$2:$S$553,"44440B2Convencional pré-pagamentoRuralCooperativa de eletrificação ruralNão se aplicaNão se aplicaIntermediário",Mercado_Receita!$L$2:$L$553)+SUMIF(Mercado_Receita!$S$2:$S$553,"44440B2Convencional pré-pagamentoRuralCooperativa de eletrificação ruralNão se aplicaNão se aplicaNão se aplica",Mercado_Receita!$L$2:$L$553)</f>
        <v>0</v>
      </c>
      <c r="J40" s="13">
        <f>SUMIF(Mercado_Receita!$S$2:$S$553,"44470B2Convencional pré-pagamentoRuralCooperativa de eletrificação ruralNão se aplicaNão se aplicaPonta",Mercado_Receita!$L$2:$L$553)+SUMIF(Mercado_Receita!$S$2:$S$553,"44470B2Convencional pré-pagamentoRuralCooperativa de eletrificação ruralNão se aplicaNão se aplicaFora ponta",Mercado_Receita!$L$2:$L$553)+SUMIF(Mercado_Receita!$S$2:$S$553,"44470B2Convencional pré-pagamentoRuralCooperativa de eletrificação ruralNão se aplicaNão se aplicaIntermediário",Mercado_Receita!$L$2:$L$553)+SUMIF(Mercado_Receita!$S$2:$S$553,"44470B2Convencional pré-pagamentoRuralCooperativa de eletrificação ruralNão se aplicaNão se aplicaNão se aplica",Mercado_Receita!$L$2:$L$553)</f>
        <v>0</v>
      </c>
      <c r="K40" s="13">
        <f>SUMIF(Mercado_Receita!$S$2:$S$553,"44501B2Convencional pré-pagamentoRuralCooperativa de eletrificação ruralNão se aplicaNão se aplicaPonta",Mercado_Receita!$L$2:$L$553)+SUMIF(Mercado_Receita!$S$2:$S$553,"44501B2Convencional pré-pagamentoRuralCooperativa de eletrificação ruralNão se aplicaNão se aplicaFora ponta",Mercado_Receita!$L$2:$L$553)+SUMIF(Mercado_Receita!$S$2:$S$553,"44501B2Convencional pré-pagamentoRuralCooperativa de eletrificação ruralNão se aplicaNão se aplicaIntermediário",Mercado_Receita!$L$2:$L$553)+SUMIF(Mercado_Receita!$S$2:$S$553,"44501B2Convencional pré-pagamentoRuralCooperativa de eletrificação ruralNão se aplicaNão se aplicaNão se aplica",Mercado_Receita!$L$2:$L$553)</f>
        <v>0</v>
      </c>
      <c r="L40" s="13">
        <f>SUMIF(Mercado_Receita!$S$2:$S$553,"44531B2Convencional pré-pagamentoRuralCooperativa de eletrificação ruralNão se aplicaNão se aplicaPonta",Mercado_Receita!$L$2:$L$553)+SUMIF(Mercado_Receita!$S$2:$S$553,"44531B2Convencional pré-pagamentoRuralCooperativa de eletrificação ruralNão se aplicaNão se aplicaFora ponta",Mercado_Receita!$L$2:$L$553)+SUMIF(Mercado_Receita!$S$2:$S$553,"44531B2Convencional pré-pagamentoRuralCooperativa de eletrificação ruralNão se aplicaNão se aplicaIntermediário",Mercado_Receita!$L$2:$L$553)+SUMIF(Mercado_Receita!$S$2:$S$553,"44531B2Convencional pré-pagamentoRuralCooperativa de eletrificação ruralNão se aplicaNão se aplicaNão se aplica",Mercado_Receita!$L$2:$L$553)</f>
        <v>0</v>
      </c>
      <c r="M40" s="13">
        <f>SUMIF(Mercado_Receita!$S$2:$S$553,"44562B2Convencional pré-pagamentoRuralCooperativa de eletrificação ruralNão se aplicaNão se aplicaPonta",Mercado_Receita!$L$2:$L$553)+SUMIF(Mercado_Receita!$S$2:$S$553,"44562B2Convencional pré-pagamentoRuralCooperativa de eletrificação ruralNão se aplicaNão se aplicaFora ponta",Mercado_Receita!$L$2:$L$553)+SUMIF(Mercado_Receita!$S$2:$S$553,"44562B2Convencional pré-pagamentoRuralCooperativa de eletrificação ruralNão se aplicaNão se aplicaIntermediário",Mercado_Receita!$L$2:$L$553)+SUMIF(Mercado_Receita!$S$2:$S$553,"44562B2Convencional pré-pagamentoRuralCooperativa de eletrificação ruralNão se aplicaNão se aplicaNão se aplica",Mercado_Receita!$L$2:$L$553)</f>
        <v>0</v>
      </c>
      <c r="N40" s="13">
        <f>SUMIF(Mercado_Receita!$S$2:$S$553,"44593B2Convencional pré-pagamentoRuralCooperativa de eletrificação ruralNão se aplicaNão se aplicaPonta",Mercado_Receita!$L$2:$L$553)+SUMIF(Mercado_Receita!$S$2:$S$553,"44593B2Convencional pré-pagamentoRuralCooperativa de eletrificação ruralNão se aplicaNão se aplicaFora ponta",Mercado_Receita!$L$2:$L$553)+SUMIF(Mercado_Receita!$S$2:$S$553,"44593B2Convencional pré-pagamentoRuralCooperativa de eletrificação ruralNão se aplicaNão se aplicaIntermediário",Mercado_Receita!$L$2:$L$553)+SUMIF(Mercado_Receita!$S$2:$S$553,"44593B2Convencional pré-pagamentoRuralCooperativa de eletrificação ruralNão se aplicaNão se aplicaNão se aplica",Mercado_Receita!$L$2:$L$553)</f>
        <v>0</v>
      </c>
      <c r="O40" s="13">
        <f>SUMIF(Mercado_Receita!$S$2:$S$553,"44621B2Convencional pré-pagamentoRuralCooperativa de eletrificação ruralNão se aplicaNão se aplicaPonta",Mercado_Receita!$L$2:$L$553)+SUMIF(Mercado_Receita!$S$2:$S$553,"44621B2Convencional pré-pagamentoRuralCooperativa de eletrificação ruralNão se aplicaNão se aplicaFora ponta",Mercado_Receita!$L$2:$L$553)+SUMIF(Mercado_Receita!$S$2:$S$553,"44621B2Convencional pré-pagamentoRuralCooperativa de eletrificação ruralNão se aplicaNão se aplicaIntermediário",Mercado_Receita!$L$2:$L$553)+SUMIF(Mercado_Receita!$S$2:$S$553,"44621B2Convencional pré-pagamentoRuralCooperativa de eletrificação ruralNão se aplicaNão se aplicaNão se aplica",Mercado_Receita!$L$2:$L$553)</f>
        <v>0</v>
      </c>
      <c r="P40" s="13">
        <f>SUMIF(Mercado_Receita!$S$2:$S$553,"44652B2Convencional pré-pagamentoRuralCooperativa de eletrificação ruralNão se aplicaNão se aplicaPonta",Mercado_Receita!$L$2:$L$553)+SUMIF(Mercado_Receita!$S$2:$S$553,"44652B2Convencional pré-pagamentoRuralCooperativa de eletrificação ruralNão se aplicaNão se aplicaFora ponta",Mercado_Receita!$L$2:$L$553)+SUMIF(Mercado_Receita!$S$2:$S$553,"44652B2Convencional pré-pagamentoRuralCooperativa de eletrificação ruralNão se aplicaNão se aplicaIntermediário",Mercado_Receita!$L$2:$L$553)+SUMIF(Mercado_Receita!$S$2:$S$553,"44652B2Convencional pré-pagamentoRuralCooperativa de eletrificação ruralNão se aplicaNão se aplicaNão se aplica",Mercado_Receita!$L$2:$L$553)</f>
        <v>0</v>
      </c>
      <c r="Q40" s="13">
        <f>SUMIF(Mercado_Receita!$S$2:$S$553,"44682B2Convencional pré-pagamentoRuralCooperativa de eletrificação ruralNão se aplicaNão se aplicaPonta",Mercado_Receita!$L$2:$L$553)+SUMIF(Mercado_Receita!$S$2:$S$553,"44682B2Convencional pré-pagamentoRuralCooperativa de eletrificação ruralNão se aplicaNão se aplicaFora ponta",Mercado_Receita!$L$2:$L$553)+SUMIF(Mercado_Receita!$S$2:$S$553,"44682B2Convencional pré-pagamentoRuralCooperativa de eletrificação ruralNão se aplicaNão se aplicaIntermediário",Mercado_Receita!$L$2:$L$553)+SUMIF(Mercado_Receita!$S$2:$S$553,"44682B2Convencional pré-pagamentoRuralCooperativa de eletrificação ruralNão se aplicaNão se aplicaNão se aplica",Mercado_Receita!$L$2:$L$553)</f>
        <v>0</v>
      </c>
      <c r="R40" s="13">
        <f>SUMIF(Mercado_Receita!$S$2:$S$553,"44713B2Convencional pré-pagamentoRuralCooperativa de eletrificação ruralNão se aplicaNão se aplicaPonta",Mercado_Receita!$L$2:$L$553)+SUMIF(Mercado_Receita!$S$2:$S$553,"44713B2Convencional pré-pagamentoRuralCooperativa de eletrificação ruralNão se aplicaNão se aplicaFora ponta",Mercado_Receita!$L$2:$L$553)+SUMIF(Mercado_Receita!$S$2:$S$553,"44713B2Convencional pré-pagamentoRuralCooperativa de eletrificação ruralNão se aplicaNão se aplicaIntermediário",Mercado_Receita!$L$2:$L$553)+SUMIF(Mercado_Receita!$S$2:$S$553,"44713B2Convencional pré-pagamentoRuralCooperativa de eletrificação ruralNão se aplicaNão se aplicaNão se aplica",Mercado_Receita!$L$2:$L$553)</f>
        <v>0</v>
      </c>
      <c r="S40" s="13">
        <f>SUMIF(Mercado_Receita!$S$2:$S$553,"44743B2Convencional pré-pagamentoRuralCooperativa de eletrificação ruralNão se aplicaNão se aplicaPonta",Mercado_Receita!$L$2:$L$553)+SUMIF(Mercado_Receita!$S$2:$S$553,"44743B2Convencional pré-pagamentoRuralCooperativa de eletrificação ruralNão se aplicaNão se aplicaFora ponta",Mercado_Receita!$L$2:$L$553)+SUMIF(Mercado_Receita!$S$2:$S$553,"44743B2Convencional pré-pagamentoRuralCooperativa de eletrificação ruralNão se aplicaNão se aplicaIntermediário",Mercado_Receita!$L$2:$L$553)+SUMIF(Mercado_Receita!$S$2:$S$553,"44743B2Convencional pré-pagamentoRuralCooperativa de eletrificação ruralNão se aplicaNão se aplicaNão se aplica",Mercado_Receita!$L$2:$L$553)</f>
        <v>0</v>
      </c>
      <c r="T40" s="13">
        <f>SUMIF(Mercado_Receita!$S$2:$S$553,"44774B2Convencional pré-pagamentoRuralCooperativa de eletrificação ruralNão se aplicaNão se aplicaPonta",Mercado_Receita!$L$2:$L$553)+SUMIF(Mercado_Receita!$S$2:$S$553,"44774B2Convencional pré-pagamentoRuralCooperativa de eletrificação ruralNão se aplicaNão se aplicaFora ponta",Mercado_Receita!$L$2:$L$553)+SUMIF(Mercado_Receita!$S$2:$S$553,"44774B2Convencional pré-pagamentoRuralCooperativa de eletrificação ruralNão se aplicaNão se aplicaIntermediário",Mercado_Receita!$L$2:$L$553)+SUMIF(Mercado_Receita!$S$2:$S$553,"44774B2Convencional pré-pagamentoRuralCooperativa de eletrificação ruralNão se aplicaNão se aplicaNão se aplica",Mercado_Receita!$L$2:$L$553)</f>
        <v>0</v>
      </c>
      <c r="U40" s="13">
        <f t="shared" si="0"/>
        <v>0</v>
      </c>
      <c r="V40" s="13"/>
      <c r="W40" s="13"/>
    </row>
    <row r="41" spans="1:23" ht="11.25" customHeight="1" x14ac:dyDescent="0.25">
      <c r="A41" s="80"/>
      <c r="B41" s="80"/>
      <c r="C41" s="80"/>
      <c r="D41" s="12" t="s">
        <v>89</v>
      </c>
      <c r="E41" s="12" t="s">
        <v>25</v>
      </c>
      <c r="F41" s="12" t="s">
        <v>25</v>
      </c>
      <c r="G41" s="13" t="s">
        <v>78</v>
      </c>
      <c r="H41" s="13" t="s">
        <v>72</v>
      </c>
      <c r="I41" s="13">
        <f>SUMIF(Mercado_Receita!$S$2:$S$553,"44440B2Convencional pré-pagamentoRuralServiço público de irrigação ruralNão se aplicaNão se aplicaPonta",Mercado_Receita!$L$2:$L$553)+SUMIF(Mercado_Receita!$S$2:$S$553,"44440B2Convencional pré-pagamentoRuralServiço público de irrigação ruralNão se aplicaNão se aplicaFora ponta",Mercado_Receita!$L$2:$L$553)+SUMIF(Mercado_Receita!$S$2:$S$553,"44440B2Convencional pré-pagamentoRuralServiço público de irrigação ruralNão se aplicaNão se aplicaIntermediário",Mercado_Receita!$L$2:$L$553)+SUMIF(Mercado_Receita!$S$2:$S$553,"44440B2Convencional pré-pagamentoRuralServiço público de irrigação ruralNão se aplicaNão se aplicaNão se aplica",Mercado_Receita!$L$2:$L$553)</f>
        <v>0</v>
      </c>
      <c r="J41" s="13">
        <f>SUMIF(Mercado_Receita!$S$2:$S$553,"44470B2Convencional pré-pagamentoRuralServiço público de irrigação ruralNão se aplicaNão se aplicaPonta",Mercado_Receita!$L$2:$L$553)+SUMIF(Mercado_Receita!$S$2:$S$553,"44470B2Convencional pré-pagamentoRuralServiço público de irrigação ruralNão se aplicaNão se aplicaFora ponta",Mercado_Receita!$L$2:$L$553)+SUMIF(Mercado_Receita!$S$2:$S$553,"44470B2Convencional pré-pagamentoRuralServiço público de irrigação ruralNão se aplicaNão se aplicaIntermediário",Mercado_Receita!$L$2:$L$553)+SUMIF(Mercado_Receita!$S$2:$S$553,"44470B2Convencional pré-pagamentoRuralServiço público de irrigação ruralNão se aplicaNão se aplicaNão se aplica",Mercado_Receita!$L$2:$L$553)</f>
        <v>0</v>
      </c>
      <c r="K41" s="13">
        <f>SUMIF(Mercado_Receita!$S$2:$S$553,"44501B2Convencional pré-pagamentoRuralServiço público de irrigação ruralNão se aplicaNão se aplicaPonta",Mercado_Receita!$L$2:$L$553)+SUMIF(Mercado_Receita!$S$2:$S$553,"44501B2Convencional pré-pagamentoRuralServiço público de irrigação ruralNão se aplicaNão se aplicaFora ponta",Mercado_Receita!$L$2:$L$553)+SUMIF(Mercado_Receita!$S$2:$S$553,"44501B2Convencional pré-pagamentoRuralServiço público de irrigação ruralNão se aplicaNão se aplicaIntermediário",Mercado_Receita!$L$2:$L$553)+SUMIF(Mercado_Receita!$S$2:$S$553,"44501B2Convencional pré-pagamentoRuralServiço público de irrigação ruralNão se aplicaNão se aplicaNão se aplica",Mercado_Receita!$L$2:$L$553)</f>
        <v>0</v>
      </c>
      <c r="L41" s="13">
        <f>SUMIF(Mercado_Receita!$S$2:$S$553,"44531B2Convencional pré-pagamentoRuralServiço público de irrigação ruralNão se aplicaNão se aplicaPonta",Mercado_Receita!$L$2:$L$553)+SUMIF(Mercado_Receita!$S$2:$S$553,"44531B2Convencional pré-pagamentoRuralServiço público de irrigação ruralNão se aplicaNão se aplicaFora ponta",Mercado_Receita!$L$2:$L$553)+SUMIF(Mercado_Receita!$S$2:$S$553,"44531B2Convencional pré-pagamentoRuralServiço público de irrigação ruralNão se aplicaNão se aplicaIntermediário",Mercado_Receita!$L$2:$L$553)+SUMIF(Mercado_Receita!$S$2:$S$553,"44531B2Convencional pré-pagamentoRuralServiço público de irrigação ruralNão se aplicaNão se aplicaNão se aplica",Mercado_Receita!$L$2:$L$553)</f>
        <v>0</v>
      </c>
      <c r="M41" s="13">
        <f>SUMIF(Mercado_Receita!$S$2:$S$553,"44562B2Convencional pré-pagamentoRuralServiço público de irrigação ruralNão se aplicaNão se aplicaPonta",Mercado_Receita!$L$2:$L$553)+SUMIF(Mercado_Receita!$S$2:$S$553,"44562B2Convencional pré-pagamentoRuralServiço público de irrigação ruralNão se aplicaNão se aplicaFora ponta",Mercado_Receita!$L$2:$L$553)+SUMIF(Mercado_Receita!$S$2:$S$553,"44562B2Convencional pré-pagamentoRuralServiço público de irrigação ruralNão se aplicaNão se aplicaIntermediário",Mercado_Receita!$L$2:$L$553)+SUMIF(Mercado_Receita!$S$2:$S$553,"44562B2Convencional pré-pagamentoRuralServiço público de irrigação ruralNão se aplicaNão se aplicaNão se aplica",Mercado_Receita!$L$2:$L$553)</f>
        <v>0</v>
      </c>
      <c r="N41" s="13">
        <f>SUMIF(Mercado_Receita!$S$2:$S$553,"44593B2Convencional pré-pagamentoRuralServiço público de irrigação ruralNão se aplicaNão se aplicaPonta",Mercado_Receita!$L$2:$L$553)+SUMIF(Mercado_Receita!$S$2:$S$553,"44593B2Convencional pré-pagamentoRuralServiço público de irrigação ruralNão se aplicaNão se aplicaFora ponta",Mercado_Receita!$L$2:$L$553)+SUMIF(Mercado_Receita!$S$2:$S$553,"44593B2Convencional pré-pagamentoRuralServiço público de irrigação ruralNão se aplicaNão se aplicaIntermediário",Mercado_Receita!$L$2:$L$553)+SUMIF(Mercado_Receita!$S$2:$S$553,"44593B2Convencional pré-pagamentoRuralServiço público de irrigação ruralNão se aplicaNão se aplicaNão se aplica",Mercado_Receita!$L$2:$L$553)</f>
        <v>0</v>
      </c>
      <c r="O41" s="13">
        <f>SUMIF(Mercado_Receita!$S$2:$S$553,"44621B2Convencional pré-pagamentoRuralServiço público de irrigação ruralNão se aplicaNão se aplicaPonta",Mercado_Receita!$L$2:$L$553)+SUMIF(Mercado_Receita!$S$2:$S$553,"44621B2Convencional pré-pagamentoRuralServiço público de irrigação ruralNão se aplicaNão se aplicaFora ponta",Mercado_Receita!$L$2:$L$553)+SUMIF(Mercado_Receita!$S$2:$S$553,"44621B2Convencional pré-pagamentoRuralServiço público de irrigação ruralNão se aplicaNão se aplicaIntermediário",Mercado_Receita!$L$2:$L$553)+SUMIF(Mercado_Receita!$S$2:$S$553,"44621B2Convencional pré-pagamentoRuralServiço público de irrigação ruralNão se aplicaNão se aplicaNão se aplica",Mercado_Receita!$L$2:$L$553)</f>
        <v>0</v>
      </c>
      <c r="P41" s="13">
        <f>SUMIF(Mercado_Receita!$S$2:$S$553,"44652B2Convencional pré-pagamentoRuralServiço público de irrigação ruralNão se aplicaNão se aplicaPonta",Mercado_Receita!$L$2:$L$553)+SUMIF(Mercado_Receita!$S$2:$S$553,"44652B2Convencional pré-pagamentoRuralServiço público de irrigação ruralNão se aplicaNão se aplicaFora ponta",Mercado_Receita!$L$2:$L$553)+SUMIF(Mercado_Receita!$S$2:$S$553,"44652B2Convencional pré-pagamentoRuralServiço público de irrigação ruralNão se aplicaNão se aplicaIntermediário",Mercado_Receita!$L$2:$L$553)+SUMIF(Mercado_Receita!$S$2:$S$553,"44652B2Convencional pré-pagamentoRuralServiço público de irrigação ruralNão se aplicaNão se aplicaNão se aplica",Mercado_Receita!$L$2:$L$553)</f>
        <v>0</v>
      </c>
      <c r="Q41" s="13">
        <f>SUMIF(Mercado_Receita!$S$2:$S$553,"44682B2Convencional pré-pagamentoRuralServiço público de irrigação ruralNão se aplicaNão se aplicaPonta",Mercado_Receita!$L$2:$L$553)+SUMIF(Mercado_Receita!$S$2:$S$553,"44682B2Convencional pré-pagamentoRuralServiço público de irrigação ruralNão se aplicaNão se aplicaFora ponta",Mercado_Receita!$L$2:$L$553)+SUMIF(Mercado_Receita!$S$2:$S$553,"44682B2Convencional pré-pagamentoRuralServiço público de irrigação ruralNão se aplicaNão se aplicaIntermediário",Mercado_Receita!$L$2:$L$553)+SUMIF(Mercado_Receita!$S$2:$S$553,"44682B2Convencional pré-pagamentoRuralServiço público de irrigação ruralNão se aplicaNão se aplicaNão se aplica",Mercado_Receita!$L$2:$L$553)</f>
        <v>0</v>
      </c>
      <c r="R41" s="13">
        <f>SUMIF(Mercado_Receita!$S$2:$S$553,"44713B2Convencional pré-pagamentoRuralServiço público de irrigação ruralNão se aplicaNão se aplicaPonta",Mercado_Receita!$L$2:$L$553)+SUMIF(Mercado_Receita!$S$2:$S$553,"44713B2Convencional pré-pagamentoRuralServiço público de irrigação ruralNão se aplicaNão se aplicaFora ponta",Mercado_Receita!$L$2:$L$553)+SUMIF(Mercado_Receita!$S$2:$S$553,"44713B2Convencional pré-pagamentoRuralServiço público de irrigação ruralNão se aplicaNão se aplicaIntermediário",Mercado_Receita!$L$2:$L$553)+SUMIF(Mercado_Receita!$S$2:$S$553,"44713B2Convencional pré-pagamentoRuralServiço público de irrigação ruralNão se aplicaNão se aplicaNão se aplica",Mercado_Receita!$L$2:$L$553)</f>
        <v>0</v>
      </c>
      <c r="S41" s="13">
        <f>SUMIF(Mercado_Receita!$S$2:$S$553,"44743B2Convencional pré-pagamentoRuralServiço público de irrigação ruralNão se aplicaNão se aplicaPonta",Mercado_Receita!$L$2:$L$553)+SUMIF(Mercado_Receita!$S$2:$S$553,"44743B2Convencional pré-pagamentoRuralServiço público de irrigação ruralNão se aplicaNão se aplicaFora ponta",Mercado_Receita!$L$2:$L$553)+SUMIF(Mercado_Receita!$S$2:$S$553,"44743B2Convencional pré-pagamentoRuralServiço público de irrigação ruralNão se aplicaNão se aplicaIntermediário",Mercado_Receita!$L$2:$L$553)+SUMIF(Mercado_Receita!$S$2:$S$553,"44743B2Convencional pré-pagamentoRuralServiço público de irrigação ruralNão se aplicaNão se aplicaNão se aplica",Mercado_Receita!$L$2:$L$553)</f>
        <v>0</v>
      </c>
      <c r="T41" s="13">
        <f>SUMIF(Mercado_Receita!$S$2:$S$553,"44774B2Convencional pré-pagamentoRuralServiço público de irrigação ruralNão se aplicaNão se aplicaPonta",Mercado_Receita!$L$2:$L$553)+SUMIF(Mercado_Receita!$S$2:$S$553,"44774B2Convencional pré-pagamentoRuralServiço público de irrigação ruralNão se aplicaNão se aplicaFora ponta",Mercado_Receita!$L$2:$L$553)+SUMIF(Mercado_Receita!$S$2:$S$553,"44774B2Convencional pré-pagamentoRuralServiço público de irrigação ruralNão se aplicaNão se aplicaIntermediário",Mercado_Receita!$L$2:$L$553)+SUMIF(Mercado_Receita!$S$2:$S$553,"44774B2Convencional pré-pagamentoRuralServiço público de irrigação ruralNão se aplicaNão se aplicaNão se aplica",Mercado_Receita!$L$2:$L$553)</f>
        <v>0</v>
      </c>
      <c r="U41" s="13">
        <f t="shared" si="0"/>
        <v>0</v>
      </c>
      <c r="V41" s="13"/>
      <c r="W41" s="13"/>
    </row>
    <row r="42" spans="1:23" ht="11.25" customHeight="1" x14ac:dyDescent="0.25">
      <c r="A42" s="79" t="s">
        <v>33</v>
      </c>
      <c r="B42" s="79" t="s">
        <v>85</v>
      </c>
      <c r="C42" s="79" t="s">
        <v>25</v>
      </c>
      <c r="D42" s="79" t="s">
        <v>25</v>
      </c>
      <c r="E42" s="79" t="s">
        <v>25</v>
      </c>
      <c r="F42" s="79" t="s">
        <v>25</v>
      </c>
      <c r="G42" s="13" t="s">
        <v>73</v>
      </c>
      <c r="H42" s="13" t="s">
        <v>72</v>
      </c>
      <c r="I42" s="13">
        <f>SUMIF(Mercado_Receita!$S$2:$S$553,"44440B3BrancaNão se aplicaNão se aplicaNão se aplicaNão se aplicaPonta",Mercado_Receita!$L$2:$L$553)</f>
        <v>0</v>
      </c>
      <c r="J42" s="13">
        <f>SUMIF(Mercado_Receita!$S$2:$S$553,"44470B3BrancaNão se aplicaNão se aplicaNão se aplicaNão se aplicaPonta",Mercado_Receita!$L$2:$L$553)</f>
        <v>0</v>
      </c>
      <c r="K42" s="13">
        <f>SUMIF(Mercado_Receita!$S$2:$S$553,"44501B3BrancaNão se aplicaNão se aplicaNão se aplicaNão se aplicaPonta",Mercado_Receita!$L$2:$L$553)</f>
        <v>0</v>
      </c>
      <c r="L42" s="13">
        <f>SUMIF(Mercado_Receita!$S$2:$S$553,"44531B3BrancaNão se aplicaNão se aplicaNão se aplicaNão se aplicaPonta",Mercado_Receita!$L$2:$L$553)</f>
        <v>0</v>
      </c>
      <c r="M42" s="13">
        <f>SUMIF(Mercado_Receita!$S$2:$S$553,"44562B3BrancaNão se aplicaNão se aplicaNão se aplicaNão se aplicaPonta",Mercado_Receita!$L$2:$L$553)</f>
        <v>0</v>
      </c>
      <c r="N42" s="13">
        <f>SUMIF(Mercado_Receita!$S$2:$S$553,"44593B3BrancaNão se aplicaNão se aplicaNão se aplicaNão se aplicaPonta",Mercado_Receita!$L$2:$L$553)</f>
        <v>0</v>
      </c>
      <c r="O42" s="13">
        <f>SUMIF(Mercado_Receita!$S$2:$S$553,"44621B3BrancaNão se aplicaNão se aplicaNão se aplicaNão se aplicaPonta",Mercado_Receita!$L$2:$L$553)</f>
        <v>0</v>
      </c>
      <c r="P42" s="13">
        <f>SUMIF(Mercado_Receita!$S$2:$S$553,"44652B3BrancaNão se aplicaNão se aplicaNão se aplicaNão se aplicaPonta",Mercado_Receita!$L$2:$L$553)</f>
        <v>0</v>
      </c>
      <c r="Q42" s="13">
        <f>SUMIF(Mercado_Receita!$S$2:$S$553,"44682B3BrancaNão se aplicaNão se aplicaNão se aplicaNão se aplicaPonta",Mercado_Receita!$L$2:$L$553)</f>
        <v>0</v>
      </c>
      <c r="R42" s="13">
        <f>SUMIF(Mercado_Receita!$S$2:$S$553,"44713B3BrancaNão se aplicaNão se aplicaNão se aplicaNão se aplicaPonta",Mercado_Receita!$L$2:$L$553)</f>
        <v>0</v>
      </c>
      <c r="S42" s="13">
        <f>SUMIF(Mercado_Receita!$S$2:$S$553,"44743B3BrancaNão se aplicaNão se aplicaNão se aplicaNão se aplicaPonta",Mercado_Receita!$L$2:$L$553)</f>
        <v>0</v>
      </c>
      <c r="T42" s="13">
        <f>SUMIF(Mercado_Receita!$S$2:$S$553,"44774B3BrancaNão se aplicaNão se aplicaNão se aplicaNão se aplicaPonta",Mercado_Receita!$L$2:$L$553)</f>
        <v>0</v>
      </c>
      <c r="U42" s="13">
        <f t="shared" si="0"/>
        <v>0</v>
      </c>
      <c r="V42" s="13"/>
      <c r="W42" s="13"/>
    </row>
    <row r="43" spans="1:23" ht="11.25" customHeight="1" x14ac:dyDescent="0.25">
      <c r="A43" s="80"/>
      <c r="B43" s="80"/>
      <c r="C43" s="80"/>
      <c r="D43" s="80"/>
      <c r="E43" s="80"/>
      <c r="F43" s="80"/>
      <c r="G43" s="13" t="s">
        <v>83</v>
      </c>
      <c r="H43" s="13" t="s">
        <v>72</v>
      </c>
      <c r="I43" s="13">
        <f>SUMIF(Mercado_Receita!$S$2:$S$553,"44440B3BrancaNão se aplicaNão se aplicaNão se aplicaNão se aplicaIntermediário",Mercado_Receita!$L$2:$L$553)</f>
        <v>0</v>
      </c>
      <c r="J43" s="13">
        <f>SUMIF(Mercado_Receita!$S$2:$S$553,"44470B3BrancaNão se aplicaNão se aplicaNão se aplicaNão se aplicaIntermediário",Mercado_Receita!$L$2:$L$553)</f>
        <v>0</v>
      </c>
      <c r="K43" s="13">
        <f>SUMIF(Mercado_Receita!$S$2:$S$553,"44501B3BrancaNão se aplicaNão se aplicaNão se aplicaNão se aplicaIntermediário",Mercado_Receita!$L$2:$L$553)</f>
        <v>0</v>
      </c>
      <c r="L43" s="13">
        <f>SUMIF(Mercado_Receita!$S$2:$S$553,"44531B3BrancaNão se aplicaNão se aplicaNão se aplicaNão se aplicaIntermediário",Mercado_Receita!$L$2:$L$553)</f>
        <v>0</v>
      </c>
      <c r="M43" s="13">
        <f>SUMIF(Mercado_Receita!$S$2:$S$553,"44562B3BrancaNão se aplicaNão se aplicaNão se aplicaNão se aplicaIntermediário",Mercado_Receita!$L$2:$L$553)</f>
        <v>0</v>
      </c>
      <c r="N43" s="13">
        <f>SUMIF(Mercado_Receita!$S$2:$S$553,"44593B3BrancaNão se aplicaNão se aplicaNão se aplicaNão se aplicaIntermediário",Mercado_Receita!$L$2:$L$553)</f>
        <v>0</v>
      </c>
      <c r="O43" s="13">
        <f>SUMIF(Mercado_Receita!$S$2:$S$553,"44621B3BrancaNão se aplicaNão se aplicaNão se aplicaNão se aplicaIntermediário",Mercado_Receita!$L$2:$L$553)</f>
        <v>0</v>
      </c>
      <c r="P43" s="13">
        <f>SUMIF(Mercado_Receita!$S$2:$S$553,"44652B3BrancaNão se aplicaNão se aplicaNão se aplicaNão se aplicaIntermediário",Mercado_Receita!$L$2:$L$553)</f>
        <v>0</v>
      </c>
      <c r="Q43" s="13">
        <f>SUMIF(Mercado_Receita!$S$2:$S$553,"44682B3BrancaNão se aplicaNão se aplicaNão se aplicaNão se aplicaIntermediário",Mercado_Receita!$L$2:$L$553)</f>
        <v>0</v>
      </c>
      <c r="R43" s="13">
        <f>SUMIF(Mercado_Receita!$S$2:$S$553,"44713B3BrancaNão se aplicaNão se aplicaNão se aplicaNão se aplicaIntermediário",Mercado_Receita!$L$2:$L$553)</f>
        <v>0</v>
      </c>
      <c r="S43" s="13">
        <f>SUMIF(Mercado_Receita!$S$2:$S$553,"44743B3BrancaNão se aplicaNão se aplicaNão se aplicaNão se aplicaIntermediário",Mercado_Receita!$L$2:$L$553)</f>
        <v>0</v>
      </c>
      <c r="T43" s="13">
        <f>SUMIF(Mercado_Receita!$S$2:$S$553,"44774B3BrancaNão se aplicaNão se aplicaNão se aplicaNão se aplicaIntermediário",Mercado_Receita!$L$2:$L$553)</f>
        <v>0</v>
      </c>
      <c r="U43" s="13">
        <f t="shared" si="0"/>
        <v>0</v>
      </c>
      <c r="V43" s="13"/>
      <c r="W43" s="13"/>
    </row>
    <row r="44" spans="1:23" ht="11.25" customHeight="1" x14ac:dyDescent="0.25">
      <c r="A44" s="80"/>
      <c r="B44" s="80"/>
      <c r="C44" s="80"/>
      <c r="D44" s="80"/>
      <c r="E44" s="80"/>
      <c r="F44" s="80"/>
      <c r="G44" s="13" t="s">
        <v>74</v>
      </c>
      <c r="H44" s="13" t="s">
        <v>72</v>
      </c>
      <c r="I44" s="13">
        <f>SUMIF(Mercado_Receita!$S$2:$S$553,"44440B3BrancaNão se aplicaNão se aplicaNão se aplicaNão se aplicaFora ponta",Mercado_Receita!$L$2:$L$553)</f>
        <v>0</v>
      </c>
      <c r="J44" s="13">
        <f>SUMIF(Mercado_Receita!$S$2:$S$553,"44470B3BrancaNão se aplicaNão se aplicaNão se aplicaNão se aplicaFora ponta",Mercado_Receita!$L$2:$L$553)</f>
        <v>0</v>
      </c>
      <c r="K44" s="13">
        <f>SUMIF(Mercado_Receita!$S$2:$S$553,"44501B3BrancaNão se aplicaNão se aplicaNão se aplicaNão se aplicaFora ponta",Mercado_Receita!$L$2:$L$553)</f>
        <v>0</v>
      </c>
      <c r="L44" s="13">
        <f>SUMIF(Mercado_Receita!$S$2:$S$553,"44531B3BrancaNão se aplicaNão se aplicaNão se aplicaNão se aplicaFora ponta",Mercado_Receita!$L$2:$L$553)</f>
        <v>0</v>
      </c>
      <c r="M44" s="13">
        <f>SUMIF(Mercado_Receita!$S$2:$S$553,"44562B3BrancaNão se aplicaNão se aplicaNão se aplicaNão se aplicaFora ponta",Mercado_Receita!$L$2:$L$553)</f>
        <v>0</v>
      </c>
      <c r="N44" s="13">
        <f>SUMIF(Mercado_Receita!$S$2:$S$553,"44593B3BrancaNão se aplicaNão se aplicaNão se aplicaNão se aplicaFora ponta",Mercado_Receita!$L$2:$L$553)</f>
        <v>0</v>
      </c>
      <c r="O44" s="13">
        <f>SUMIF(Mercado_Receita!$S$2:$S$553,"44621B3BrancaNão se aplicaNão se aplicaNão se aplicaNão se aplicaFora ponta",Mercado_Receita!$L$2:$L$553)</f>
        <v>0</v>
      </c>
      <c r="P44" s="13">
        <f>SUMIF(Mercado_Receita!$S$2:$S$553,"44652B3BrancaNão se aplicaNão se aplicaNão se aplicaNão se aplicaFora ponta",Mercado_Receita!$L$2:$L$553)</f>
        <v>0</v>
      </c>
      <c r="Q44" s="13">
        <f>SUMIF(Mercado_Receita!$S$2:$S$553,"44682B3BrancaNão se aplicaNão se aplicaNão se aplicaNão se aplicaFora ponta",Mercado_Receita!$L$2:$L$553)</f>
        <v>0</v>
      </c>
      <c r="R44" s="13">
        <f>SUMIF(Mercado_Receita!$S$2:$S$553,"44713B3BrancaNão se aplicaNão se aplicaNão se aplicaNão se aplicaFora ponta",Mercado_Receita!$L$2:$L$553)</f>
        <v>0</v>
      </c>
      <c r="S44" s="13">
        <f>SUMIF(Mercado_Receita!$S$2:$S$553,"44743B3BrancaNão se aplicaNão se aplicaNão se aplicaNão se aplicaFora ponta",Mercado_Receita!$L$2:$L$553)</f>
        <v>0</v>
      </c>
      <c r="T44" s="13">
        <f>SUMIF(Mercado_Receita!$S$2:$S$553,"44774B3BrancaNão se aplicaNão se aplicaNão se aplicaNão se aplicaFora ponta",Mercado_Receita!$L$2:$L$553)</f>
        <v>0</v>
      </c>
      <c r="U44" s="13">
        <f t="shared" si="0"/>
        <v>0</v>
      </c>
      <c r="V44" s="13"/>
      <c r="W44" s="13"/>
    </row>
    <row r="45" spans="1:23" ht="11.25" customHeight="1" x14ac:dyDescent="0.25">
      <c r="A45" s="80"/>
      <c r="B45" s="12" t="s">
        <v>23</v>
      </c>
      <c r="C45" s="12" t="s">
        <v>25</v>
      </c>
      <c r="D45" s="12" t="s">
        <v>25</v>
      </c>
      <c r="E45" s="12" t="s">
        <v>25</v>
      </c>
      <c r="F45" s="12" t="s">
        <v>25</v>
      </c>
      <c r="G45" s="13" t="s">
        <v>78</v>
      </c>
      <c r="H45" s="13" t="s">
        <v>72</v>
      </c>
      <c r="I45" s="13">
        <f>SUMIF(Mercado_Receita!$S$2:$S$553,"44440B3ConvencionalNão se aplicaNão se aplicaNão se aplicaNão se aplicaPonta",Mercado_Receita!$L$2:$L$553)+SUMIF(Mercado_Receita!$S$2:$S$553,"44440B3ConvencionalNão se aplicaNão se aplicaNão se aplicaNão se aplicaFora ponta",Mercado_Receita!$L$2:$L$553)+SUMIF(Mercado_Receita!$S$2:$S$553,"44440B3ConvencionalNão se aplicaNão se aplicaNão se aplicaNão se aplicaIntermediário",Mercado_Receita!$L$2:$L$553)+SUMIF(Mercado_Receita!$S$2:$S$553,"44440B3ConvencionalNão se aplicaNão se aplicaNão se aplicaNão se aplicaNão se aplica",Mercado_Receita!$L$2:$L$553)</f>
        <v>558.46</v>
      </c>
      <c r="J45" s="13">
        <f>SUMIF(Mercado_Receita!$S$2:$S$553,"44470B3ConvencionalNão se aplicaNão se aplicaNão se aplicaNão se aplicaPonta",Mercado_Receita!$L$2:$L$553)+SUMIF(Mercado_Receita!$S$2:$S$553,"44470B3ConvencionalNão se aplicaNão se aplicaNão se aplicaNão se aplicaFora ponta",Mercado_Receita!$L$2:$L$553)+SUMIF(Mercado_Receita!$S$2:$S$553,"44470B3ConvencionalNão se aplicaNão se aplicaNão se aplicaNão se aplicaIntermediário",Mercado_Receita!$L$2:$L$553)+SUMIF(Mercado_Receita!$S$2:$S$553,"44470B3ConvencionalNão se aplicaNão se aplicaNão se aplicaNão se aplicaNão se aplica",Mercado_Receita!$L$2:$L$553)</f>
        <v>509.774</v>
      </c>
      <c r="K45" s="13">
        <f>SUMIF(Mercado_Receita!$S$2:$S$553,"44501B3ConvencionalNão se aplicaNão se aplicaNão se aplicaNão se aplicaPonta",Mercado_Receita!$L$2:$L$553)+SUMIF(Mercado_Receita!$S$2:$S$553,"44501B3ConvencionalNão se aplicaNão se aplicaNão se aplicaNão se aplicaFora ponta",Mercado_Receita!$L$2:$L$553)+SUMIF(Mercado_Receita!$S$2:$S$553,"44501B3ConvencionalNão se aplicaNão se aplicaNão se aplicaNão se aplicaIntermediário",Mercado_Receita!$L$2:$L$553)+SUMIF(Mercado_Receita!$S$2:$S$553,"44501B3ConvencionalNão se aplicaNão se aplicaNão se aplicaNão se aplicaNão se aplica",Mercado_Receita!$L$2:$L$553)</f>
        <v>511.88599999999997</v>
      </c>
      <c r="L45" s="13">
        <f>SUMIF(Mercado_Receita!$S$2:$S$553,"44531B3ConvencionalNão se aplicaNão se aplicaNão se aplicaNão se aplicaPonta",Mercado_Receita!$L$2:$L$553)+SUMIF(Mercado_Receita!$S$2:$S$553,"44531B3ConvencionalNão se aplicaNão se aplicaNão se aplicaNão se aplicaFora ponta",Mercado_Receita!$L$2:$L$553)+SUMIF(Mercado_Receita!$S$2:$S$553,"44531B3ConvencionalNão se aplicaNão se aplicaNão se aplicaNão se aplicaIntermediário",Mercado_Receita!$L$2:$L$553)+SUMIF(Mercado_Receita!$S$2:$S$553,"44531B3ConvencionalNão se aplicaNão se aplicaNão se aplicaNão se aplicaNão se aplica",Mercado_Receita!$L$2:$L$553)</f>
        <v>582.41</v>
      </c>
      <c r="M45" s="13">
        <f>SUMIF(Mercado_Receita!$S$2:$S$553,"44562B3ConvencionalNão se aplicaNão se aplicaNão se aplicaNão se aplicaPonta",Mercado_Receita!$L$2:$L$553)+SUMIF(Mercado_Receita!$S$2:$S$553,"44562B3ConvencionalNão se aplicaNão se aplicaNão se aplicaNão se aplicaFora ponta",Mercado_Receita!$L$2:$L$553)+SUMIF(Mercado_Receita!$S$2:$S$553,"44562B3ConvencionalNão se aplicaNão se aplicaNão se aplicaNão se aplicaIntermediário",Mercado_Receita!$L$2:$L$553)+SUMIF(Mercado_Receita!$S$2:$S$553,"44562B3ConvencionalNão se aplicaNão se aplicaNão se aplicaNão se aplicaNão se aplica",Mercado_Receita!$L$2:$L$553)</f>
        <v>530.51200000000006</v>
      </c>
      <c r="N45" s="13">
        <f>SUMIF(Mercado_Receita!$S$2:$S$553,"44593B3ConvencionalNão se aplicaNão se aplicaNão se aplicaNão se aplicaPonta",Mercado_Receita!$L$2:$L$553)+SUMIF(Mercado_Receita!$S$2:$S$553,"44593B3ConvencionalNão se aplicaNão se aplicaNão se aplicaNão se aplicaFora ponta",Mercado_Receita!$L$2:$L$553)+SUMIF(Mercado_Receita!$S$2:$S$553,"44593B3ConvencionalNão se aplicaNão se aplicaNão se aplicaNão se aplicaIntermediário",Mercado_Receita!$L$2:$L$553)+SUMIF(Mercado_Receita!$S$2:$S$553,"44593B3ConvencionalNão se aplicaNão se aplicaNão se aplicaNão se aplicaNão se aplica",Mercado_Receita!$L$2:$L$553)</f>
        <v>609.82099999999991</v>
      </c>
      <c r="O45" s="13">
        <f>SUMIF(Mercado_Receita!$S$2:$S$553,"44621B3ConvencionalNão se aplicaNão se aplicaNão se aplicaNão se aplicaPonta",Mercado_Receita!$L$2:$L$553)+SUMIF(Mercado_Receita!$S$2:$S$553,"44621B3ConvencionalNão se aplicaNão se aplicaNão se aplicaNão se aplicaFora ponta",Mercado_Receita!$L$2:$L$553)+SUMIF(Mercado_Receita!$S$2:$S$553,"44621B3ConvencionalNão se aplicaNão se aplicaNão se aplicaNão se aplicaIntermediário",Mercado_Receita!$L$2:$L$553)+SUMIF(Mercado_Receita!$S$2:$S$553,"44621B3ConvencionalNão se aplicaNão se aplicaNão se aplicaNão se aplicaNão se aplica",Mercado_Receita!$L$2:$L$553)</f>
        <v>593.21799999999996</v>
      </c>
      <c r="P45" s="13">
        <f>SUMIF(Mercado_Receita!$S$2:$S$553,"44652B3ConvencionalNão se aplicaNão se aplicaNão se aplicaNão se aplicaPonta",Mercado_Receita!$L$2:$L$553)+SUMIF(Mercado_Receita!$S$2:$S$553,"44652B3ConvencionalNão se aplicaNão se aplicaNão se aplicaNão se aplicaFora ponta",Mercado_Receita!$L$2:$L$553)+SUMIF(Mercado_Receita!$S$2:$S$553,"44652B3ConvencionalNão se aplicaNão se aplicaNão se aplicaNão se aplicaIntermediário",Mercado_Receita!$L$2:$L$553)+SUMIF(Mercado_Receita!$S$2:$S$553,"44652B3ConvencionalNão se aplicaNão se aplicaNão se aplicaNão se aplicaNão se aplica",Mercado_Receita!$L$2:$L$553)</f>
        <v>565.82600000000002</v>
      </c>
      <c r="Q45" s="13">
        <f>SUMIF(Mercado_Receita!$S$2:$S$553,"44682B3ConvencionalNão se aplicaNão se aplicaNão se aplicaNão se aplicaPonta",Mercado_Receita!$L$2:$L$553)+SUMIF(Mercado_Receita!$S$2:$S$553,"44682B3ConvencionalNão se aplicaNão se aplicaNão se aplicaNão se aplicaFora ponta",Mercado_Receita!$L$2:$L$553)+SUMIF(Mercado_Receita!$S$2:$S$553,"44682B3ConvencionalNão se aplicaNão se aplicaNão se aplicaNão se aplicaIntermediário",Mercado_Receita!$L$2:$L$553)+SUMIF(Mercado_Receita!$S$2:$S$553,"44682B3ConvencionalNão se aplicaNão se aplicaNão se aplicaNão se aplicaNão se aplica",Mercado_Receita!$L$2:$L$553)</f>
        <v>545.553</v>
      </c>
      <c r="R45" s="13">
        <f>SUMIF(Mercado_Receita!$S$2:$S$553,"44713B3ConvencionalNão se aplicaNão se aplicaNão se aplicaNão se aplicaPonta",Mercado_Receita!$L$2:$L$553)+SUMIF(Mercado_Receita!$S$2:$S$553,"44713B3ConvencionalNão se aplicaNão se aplicaNão se aplicaNão se aplicaFora ponta",Mercado_Receita!$L$2:$L$553)+SUMIF(Mercado_Receita!$S$2:$S$553,"44713B3ConvencionalNão se aplicaNão se aplicaNão se aplicaNão se aplicaIntermediário",Mercado_Receita!$L$2:$L$553)+SUMIF(Mercado_Receita!$S$2:$S$553,"44713B3ConvencionalNão se aplicaNão se aplicaNão se aplicaNão se aplicaNão se aplica",Mercado_Receita!$L$2:$L$553)</f>
        <v>559.12400000000002</v>
      </c>
      <c r="S45" s="13">
        <f>SUMIF(Mercado_Receita!$S$2:$S$553,"44743B3ConvencionalNão se aplicaNão se aplicaNão se aplicaNão se aplicaPonta",Mercado_Receita!$L$2:$L$553)+SUMIF(Mercado_Receita!$S$2:$S$553,"44743B3ConvencionalNão se aplicaNão se aplicaNão se aplicaNão se aplicaFora ponta",Mercado_Receita!$L$2:$L$553)+SUMIF(Mercado_Receita!$S$2:$S$553,"44743B3ConvencionalNão se aplicaNão se aplicaNão se aplicaNão se aplicaIntermediário",Mercado_Receita!$L$2:$L$553)+SUMIF(Mercado_Receita!$S$2:$S$553,"44743B3ConvencionalNão se aplicaNão se aplicaNão se aplicaNão se aplicaNão se aplica",Mercado_Receita!$L$2:$L$553)</f>
        <v>525.37699999999995</v>
      </c>
      <c r="T45" s="13">
        <f>SUMIF(Mercado_Receita!$S$2:$S$553,"44774B3ConvencionalNão se aplicaNão se aplicaNão se aplicaNão se aplicaPonta",Mercado_Receita!$L$2:$L$553)+SUMIF(Mercado_Receita!$S$2:$S$553,"44774B3ConvencionalNão se aplicaNão se aplicaNão se aplicaNão se aplicaFora ponta",Mercado_Receita!$L$2:$L$553)+SUMIF(Mercado_Receita!$S$2:$S$553,"44774B3ConvencionalNão se aplicaNão se aplicaNão se aplicaNão se aplicaIntermediário",Mercado_Receita!$L$2:$L$553)+SUMIF(Mercado_Receita!$S$2:$S$553,"44774B3ConvencionalNão se aplicaNão se aplicaNão se aplicaNão se aplicaNão se aplica",Mercado_Receita!$L$2:$L$553)</f>
        <v>529.28899999999987</v>
      </c>
      <c r="U45" s="13">
        <f t="shared" si="0"/>
        <v>6621.2499999999991</v>
      </c>
      <c r="V45" s="13"/>
      <c r="W45" s="13"/>
    </row>
    <row r="46" spans="1:23" ht="11.25" customHeight="1" x14ac:dyDescent="0.25">
      <c r="A46" s="80"/>
      <c r="B46" s="12" t="s">
        <v>87</v>
      </c>
      <c r="C46" s="12" t="s">
        <v>25</v>
      </c>
      <c r="D46" s="12" t="s">
        <v>25</v>
      </c>
      <c r="E46" s="12" t="s">
        <v>25</v>
      </c>
      <c r="F46" s="12" t="s">
        <v>25</v>
      </c>
      <c r="G46" s="13" t="s">
        <v>78</v>
      </c>
      <c r="H46" s="13" t="s">
        <v>72</v>
      </c>
      <c r="I46" s="13">
        <f>SUMIF(Mercado_Receita!$S$2:$S$553,"44440B3Convencional pré-pagamentoNão se aplicaNão se aplicaNão se aplicaNão se aplicaPonta",Mercado_Receita!$L$2:$L$553)+SUMIF(Mercado_Receita!$S$2:$S$553,"44440B3Convencional pré-pagamentoNão se aplicaNão se aplicaNão se aplicaNão se aplicaFora ponta",Mercado_Receita!$L$2:$L$553)+SUMIF(Mercado_Receita!$S$2:$S$553,"44440B3Convencional pré-pagamentoNão se aplicaNão se aplicaNão se aplicaNão se aplicaIntermediário",Mercado_Receita!$L$2:$L$553)+SUMIF(Mercado_Receita!$S$2:$S$553,"44440B3Convencional pré-pagamentoNão se aplicaNão se aplicaNão se aplicaNão se aplicaNão se aplica",Mercado_Receita!$L$2:$L$553)</f>
        <v>0</v>
      </c>
      <c r="J46" s="13">
        <f>SUMIF(Mercado_Receita!$S$2:$S$553,"44470B3Convencional pré-pagamentoNão se aplicaNão se aplicaNão se aplicaNão se aplicaPonta",Mercado_Receita!$L$2:$L$553)+SUMIF(Mercado_Receita!$S$2:$S$553,"44470B3Convencional pré-pagamentoNão se aplicaNão se aplicaNão se aplicaNão se aplicaFora ponta",Mercado_Receita!$L$2:$L$553)+SUMIF(Mercado_Receita!$S$2:$S$553,"44470B3Convencional pré-pagamentoNão se aplicaNão se aplicaNão se aplicaNão se aplicaIntermediário",Mercado_Receita!$L$2:$L$553)+SUMIF(Mercado_Receita!$S$2:$S$553,"44470B3Convencional pré-pagamentoNão se aplicaNão se aplicaNão se aplicaNão se aplicaNão se aplica",Mercado_Receita!$L$2:$L$553)</f>
        <v>0</v>
      </c>
      <c r="K46" s="13">
        <f>SUMIF(Mercado_Receita!$S$2:$S$553,"44501B3Convencional pré-pagamentoNão se aplicaNão se aplicaNão se aplicaNão se aplicaPonta",Mercado_Receita!$L$2:$L$553)+SUMIF(Mercado_Receita!$S$2:$S$553,"44501B3Convencional pré-pagamentoNão se aplicaNão se aplicaNão se aplicaNão se aplicaFora ponta",Mercado_Receita!$L$2:$L$553)+SUMIF(Mercado_Receita!$S$2:$S$553,"44501B3Convencional pré-pagamentoNão se aplicaNão se aplicaNão se aplicaNão se aplicaIntermediário",Mercado_Receita!$L$2:$L$553)+SUMIF(Mercado_Receita!$S$2:$S$553,"44501B3Convencional pré-pagamentoNão se aplicaNão se aplicaNão se aplicaNão se aplicaNão se aplica",Mercado_Receita!$L$2:$L$553)</f>
        <v>0</v>
      </c>
      <c r="L46" s="13">
        <f>SUMIF(Mercado_Receita!$S$2:$S$553,"44531B3Convencional pré-pagamentoNão se aplicaNão se aplicaNão se aplicaNão se aplicaPonta",Mercado_Receita!$L$2:$L$553)+SUMIF(Mercado_Receita!$S$2:$S$553,"44531B3Convencional pré-pagamentoNão se aplicaNão se aplicaNão se aplicaNão se aplicaFora ponta",Mercado_Receita!$L$2:$L$553)+SUMIF(Mercado_Receita!$S$2:$S$553,"44531B3Convencional pré-pagamentoNão se aplicaNão se aplicaNão se aplicaNão se aplicaIntermediário",Mercado_Receita!$L$2:$L$553)+SUMIF(Mercado_Receita!$S$2:$S$553,"44531B3Convencional pré-pagamentoNão se aplicaNão se aplicaNão se aplicaNão se aplicaNão se aplica",Mercado_Receita!$L$2:$L$553)</f>
        <v>0</v>
      </c>
      <c r="M46" s="13">
        <f>SUMIF(Mercado_Receita!$S$2:$S$553,"44562B3Convencional pré-pagamentoNão se aplicaNão se aplicaNão se aplicaNão se aplicaPonta",Mercado_Receita!$L$2:$L$553)+SUMIF(Mercado_Receita!$S$2:$S$553,"44562B3Convencional pré-pagamentoNão se aplicaNão se aplicaNão se aplicaNão se aplicaFora ponta",Mercado_Receita!$L$2:$L$553)+SUMIF(Mercado_Receita!$S$2:$S$553,"44562B3Convencional pré-pagamentoNão se aplicaNão se aplicaNão se aplicaNão se aplicaIntermediário",Mercado_Receita!$L$2:$L$553)+SUMIF(Mercado_Receita!$S$2:$S$553,"44562B3Convencional pré-pagamentoNão se aplicaNão se aplicaNão se aplicaNão se aplicaNão se aplica",Mercado_Receita!$L$2:$L$553)</f>
        <v>0</v>
      </c>
      <c r="N46" s="13">
        <f>SUMIF(Mercado_Receita!$S$2:$S$553,"44593B3Convencional pré-pagamentoNão se aplicaNão se aplicaNão se aplicaNão se aplicaPonta",Mercado_Receita!$L$2:$L$553)+SUMIF(Mercado_Receita!$S$2:$S$553,"44593B3Convencional pré-pagamentoNão se aplicaNão se aplicaNão se aplicaNão se aplicaFora ponta",Mercado_Receita!$L$2:$L$553)+SUMIF(Mercado_Receita!$S$2:$S$553,"44593B3Convencional pré-pagamentoNão se aplicaNão se aplicaNão se aplicaNão se aplicaIntermediário",Mercado_Receita!$L$2:$L$553)+SUMIF(Mercado_Receita!$S$2:$S$553,"44593B3Convencional pré-pagamentoNão se aplicaNão se aplicaNão se aplicaNão se aplicaNão se aplica",Mercado_Receita!$L$2:$L$553)</f>
        <v>0</v>
      </c>
      <c r="O46" s="13">
        <f>SUMIF(Mercado_Receita!$S$2:$S$553,"44621B3Convencional pré-pagamentoNão se aplicaNão se aplicaNão se aplicaNão se aplicaPonta",Mercado_Receita!$L$2:$L$553)+SUMIF(Mercado_Receita!$S$2:$S$553,"44621B3Convencional pré-pagamentoNão se aplicaNão se aplicaNão se aplicaNão se aplicaFora ponta",Mercado_Receita!$L$2:$L$553)+SUMIF(Mercado_Receita!$S$2:$S$553,"44621B3Convencional pré-pagamentoNão se aplicaNão se aplicaNão se aplicaNão se aplicaIntermediário",Mercado_Receita!$L$2:$L$553)+SUMIF(Mercado_Receita!$S$2:$S$553,"44621B3Convencional pré-pagamentoNão se aplicaNão se aplicaNão se aplicaNão se aplicaNão se aplica",Mercado_Receita!$L$2:$L$553)</f>
        <v>0</v>
      </c>
      <c r="P46" s="13">
        <f>SUMIF(Mercado_Receita!$S$2:$S$553,"44652B3Convencional pré-pagamentoNão se aplicaNão se aplicaNão se aplicaNão se aplicaPonta",Mercado_Receita!$L$2:$L$553)+SUMIF(Mercado_Receita!$S$2:$S$553,"44652B3Convencional pré-pagamentoNão se aplicaNão se aplicaNão se aplicaNão se aplicaFora ponta",Mercado_Receita!$L$2:$L$553)+SUMIF(Mercado_Receita!$S$2:$S$553,"44652B3Convencional pré-pagamentoNão se aplicaNão se aplicaNão se aplicaNão se aplicaIntermediário",Mercado_Receita!$L$2:$L$553)+SUMIF(Mercado_Receita!$S$2:$S$553,"44652B3Convencional pré-pagamentoNão se aplicaNão se aplicaNão se aplicaNão se aplicaNão se aplica",Mercado_Receita!$L$2:$L$553)</f>
        <v>0</v>
      </c>
      <c r="Q46" s="13">
        <f>SUMIF(Mercado_Receita!$S$2:$S$553,"44682B3Convencional pré-pagamentoNão se aplicaNão se aplicaNão se aplicaNão se aplicaPonta",Mercado_Receita!$L$2:$L$553)+SUMIF(Mercado_Receita!$S$2:$S$553,"44682B3Convencional pré-pagamentoNão se aplicaNão se aplicaNão se aplicaNão se aplicaFora ponta",Mercado_Receita!$L$2:$L$553)+SUMIF(Mercado_Receita!$S$2:$S$553,"44682B3Convencional pré-pagamentoNão se aplicaNão se aplicaNão se aplicaNão se aplicaIntermediário",Mercado_Receita!$L$2:$L$553)+SUMIF(Mercado_Receita!$S$2:$S$553,"44682B3Convencional pré-pagamentoNão se aplicaNão se aplicaNão se aplicaNão se aplicaNão se aplica",Mercado_Receita!$L$2:$L$553)</f>
        <v>0</v>
      </c>
      <c r="R46" s="13">
        <f>SUMIF(Mercado_Receita!$S$2:$S$553,"44713B3Convencional pré-pagamentoNão se aplicaNão se aplicaNão se aplicaNão se aplicaPonta",Mercado_Receita!$L$2:$L$553)+SUMIF(Mercado_Receita!$S$2:$S$553,"44713B3Convencional pré-pagamentoNão se aplicaNão se aplicaNão se aplicaNão se aplicaFora ponta",Mercado_Receita!$L$2:$L$553)+SUMIF(Mercado_Receita!$S$2:$S$553,"44713B3Convencional pré-pagamentoNão se aplicaNão se aplicaNão se aplicaNão se aplicaIntermediário",Mercado_Receita!$L$2:$L$553)+SUMIF(Mercado_Receita!$S$2:$S$553,"44713B3Convencional pré-pagamentoNão se aplicaNão se aplicaNão se aplicaNão se aplicaNão se aplica",Mercado_Receita!$L$2:$L$553)</f>
        <v>0</v>
      </c>
      <c r="S46" s="13">
        <f>SUMIF(Mercado_Receita!$S$2:$S$553,"44743B3Convencional pré-pagamentoNão se aplicaNão se aplicaNão se aplicaNão se aplicaPonta",Mercado_Receita!$L$2:$L$553)+SUMIF(Mercado_Receita!$S$2:$S$553,"44743B3Convencional pré-pagamentoNão se aplicaNão se aplicaNão se aplicaNão se aplicaFora ponta",Mercado_Receita!$L$2:$L$553)+SUMIF(Mercado_Receita!$S$2:$S$553,"44743B3Convencional pré-pagamentoNão se aplicaNão se aplicaNão se aplicaNão se aplicaIntermediário",Mercado_Receita!$L$2:$L$553)+SUMIF(Mercado_Receita!$S$2:$S$553,"44743B3Convencional pré-pagamentoNão se aplicaNão se aplicaNão se aplicaNão se aplicaNão se aplica",Mercado_Receita!$L$2:$L$553)</f>
        <v>0</v>
      </c>
      <c r="T46" s="13">
        <f>SUMIF(Mercado_Receita!$S$2:$S$553,"44774B3Convencional pré-pagamentoNão se aplicaNão se aplicaNão se aplicaNão se aplicaPonta",Mercado_Receita!$L$2:$L$553)+SUMIF(Mercado_Receita!$S$2:$S$553,"44774B3Convencional pré-pagamentoNão se aplicaNão se aplicaNão se aplicaNão se aplicaFora ponta",Mercado_Receita!$L$2:$L$553)+SUMIF(Mercado_Receita!$S$2:$S$553,"44774B3Convencional pré-pagamentoNão se aplicaNão se aplicaNão se aplicaNão se aplicaIntermediário",Mercado_Receita!$L$2:$L$553)+SUMIF(Mercado_Receita!$S$2:$S$553,"44774B3Convencional pré-pagamentoNão se aplicaNão se aplicaNão se aplicaNão se aplicaNão se aplica",Mercado_Receita!$L$2:$L$553)</f>
        <v>0</v>
      </c>
      <c r="U46" s="13">
        <f t="shared" si="0"/>
        <v>0</v>
      </c>
      <c r="V46" s="13"/>
      <c r="W46" s="13"/>
    </row>
    <row r="47" spans="1:23" ht="11.25" customHeight="1" x14ac:dyDescent="0.25">
      <c r="A47" s="79" t="s">
        <v>43</v>
      </c>
      <c r="B47" s="79" t="s">
        <v>23</v>
      </c>
      <c r="C47" s="79" t="s">
        <v>44</v>
      </c>
      <c r="D47" s="12" t="s">
        <v>45</v>
      </c>
      <c r="E47" s="12" t="s">
        <v>25</v>
      </c>
      <c r="F47" s="12" t="s">
        <v>25</v>
      </c>
      <c r="G47" s="13" t="s">
        <v>78</v>
      </c>
      <c r="H47" s="13" t="s">
        <v>72</v>
      </c>
      <c r="I47" s="13">
        <f>SUMIF(Mercado_Receita!$S$2:$S$553,"44440B4ConvencionalIluminação públicaIluminação pública – B4aNão se aplicaNão se aplicaPonta",Mercado_Receita!$L$2:$L$553)+SUMIF(Mercado_Receita!$S$2:$S$553,"44440B4ConvencionalIluminação públicaIluminação pública – B4aNão se aplicaNão se aplicaFora ponta",Mercado_Receita!$L$2:$L$553)+SUMIF(Mercado_Receita!$S$2:$S$553,"44440B4ConvencionalIluminação públicaIluminação pública – B4aNão se aplicaNão se aplicaIntermediário",Mercado_Receita!$L$2:$L$553)+SUMIF(Mercado_Receita!$S$2:$S$553,"44440B4ConvencionalIluminação públicaIluminação pública – B4aNão se aplicaNão se aplicaNão se aplica",Mercado_Receita!$L$2:$L$553)</f>
        <v>76.06</v>
      </c>
      <c r="J47" s="13">
        <f>SUMIF(Mercado_Receita!$S$2:$S$553,"44470B4ConvencionalIluminação públicaIluminação pública – B4aNão se aplicaNão se aplicaPonta",Mercado_Receita!$L$2:$L$553)+SUMIF(Mercado_Receita!$S$2:$S$553,"44470B4ConvencionalIluminação públicaIluminação pública – B4aNão se aplicaNão se aplicaFora ponta",Mercado_Receita!$L$2:$L$553)+SUMIF(Mercado_Receita!$S$2:$S$553,"44470B4ConvencionalIluminação públicaIluminação pública – B4aNão se aplicaNão se aplicaIntermediário",Mercado_Receita!$L$2:$L$553)+SUMIF(Mercado_Receita!$S$2:$S$553,"44470B4ConvencionalIluminação públicaIluminação pública – B4aNão se aplicaNão se aplicaNão se aplica",Mercado_Receita!$L$2:$L$553)</f>
        <v>78.504999999999995</v>
      </c>
      <c r="K47" s="13">
        <f>SUMIF(Mercado_Receita!$S$2:$S$553,"44501B4ConvencionalIluminação públicaIluminação pública – B4aNão se aplicaNão se aplicaPonta",Mercado_Receita!$L$2:$L$553)+SUMIF(Mercado_Receita!$S$2:$S$553,"44501B4ConvencionalIluminação públicaIluminação pública – B4aNão se aplicaNão se aplicaFora ponta",Mercado_Receita!$L$2:$L$553)+SUMIF(Mercado_Receita!$S$2:$S$553,"44501B4ConvencionalIluminação públicaIluminação pública – B4aNão se aplicaNão se aplicaIntermediário",Mercado_Receita!$L$2:$L$553)+SUMIF(Mercado_Receita!$S$2:$S$553,"44501B4ConvencionalIluminação públicaIluminação pública – B4aNão se aplicaNão se aplicaNão se aplica",Mercado_Receita!$L$2:$L$553)</f>
        <v>76.010999999999996</v>
      </c>
      <c r="L47" s="13">
        <f>SUMIF(Mercado_Receita!$S$2:$S$553,"44531B4ConvencionalIluminação públicaIluminação pública – B4aNão se aplicaNão se aplicaPonta",Mercado_Receita!$L$2:$L$553)+SUMIF(Mercado_Receita!$S$2:$S$553,"44531B4ConvencionalIluminação públicaIluminação pública – B4aNão se aplicaNão se aplicaFora ponta",Mercado_Receita!$L$2:$L$553)+SUMIF(Mercado_Receita!$S$2:$S$553,"44531B4ConvencionalIluminação públicaIluminação pública – B4aNão se aplicaNão se aplicaIntermediário",Mercado_Receita!$L$2:$L$553)+SUMIF(Mercado_Receita!$S$2:$S$553,"44531B4ConvencionalIluminação públicaIluminação pública – B4aNão se aplicaNão se aplicaNão se aplica",Mercado_Receita!$L$2:$L$553)</f>
        <v>78.085999999999999</v>
      </c>
      <c r="M47" s="13">
        <f>SUMIF(Mercado_Receita!$S$2:$S$553,"44562B4ConvencionalIluminação públicaIluminação pública – B4aNão se aplicaNão se aplicaPonta",Mercado_Receita!$L$2:$L$553)+SUMIF(Mercado_Receita!$S$2:$S$553,"44562B4ConvencionalIluminação públicaIluminação pública – B4aNão se aplicaNão se aplicaFora ponta",Mercado_Receita!$L$2:$L$553)+SUMIF(Mercado_Receita!$S$2:$S$553,"44562B4ConvencionalIluminação públicaIluminação pública – B4aNão se aplicaNão se aplicaIntermediário",Mercado_Receita!$L$2:$L$553)+SUMIF(Mercado_Receita!$S$2:$S$553,"44562B4ConvencionalIluminação públicaIluminação pública – B4aNão se aplicaNão se aplicaNão se aplica",Mercado_Receita!$L$2:$L$553)</f>
        <v>77.98</v>
      </c>
      <c r="N47" s="13">
        <f>SUMIF(Mercado_Receita!$S$2:$S$553,"44593B4ConvencionalIluminação públicaIluminação pública – B4aNão se aplicaNão se aplicaPonta",Mercado_Receita!$L$2:$L$553)+SUMIF(Mercado_Receita!$S$2:$S$553,"44593B4ConvencionalIluminação públicaIluminação pública – B4aNão se aplicaNão se aplicaFora ponta",Mercado_Receita!$L$2:$L$553)+SUMIF(Mercado_Receita!$S$2:$S$553,"44593B4ConvencionalIluminação públicaIluminação pública – B4aNão se aplicaNão se aplicaIntermediário",Mercado_Receita!$L$2:$L$553)+SUMIF(Mercado_Receita!$S$2:$S$553,"44593B4ConvencionalIluminação públicaIluminação pública – B4aNão se aplicaNão se aplicaNão se aplica",Mercado_Receita!$L$2:$L$553)</f>
        <v>71.025000000000006</v>
      </c>
      <c r="O47" s="13">
        <f>SUMIF(Mercado_Receita!$S$2:$S$553,"44621B4ConvencionalIluminação públicaIluminação pública – B4aNão se aplicaNão se aplicaPonta",Mercado_Receita!$L$2:$L$553)+SUMIF(Mercado_Receita!$S$2:$S$553,"44621B4ConvencionalIluminação públicaIluminação pública – B4aNão se aplicaNão se aplicaFora ponta",Mercado_Receita!$L$2:$L$553)+SUMIF(Mercado_Receita!$S$2:$S$553,"44621B4ConvencionalIluminação públicaIluminação pública – B4aNão se aplicaNão se aplicaIntermediário",Mercado_Receita!$L$2:$L$553)+SUMIF(Mercado_Receita!$S$2:$S$553,"44621B4ConvencionalIluminação públicaIluminação pública – B4aNão se aplicaNão se aplicaNão se aplica",Mercado_Receita!$L$2:$L$553)</f>
        <v>78.382000000000005</v>
      </c>
      <c r="P47" s="13">
        <f>SUMIF(Mercado_Receita!$S$2:$S$553,"44652B4ConvencionalIluminação públicaIluminação pública – B4aNão se aplicaNão se aplicaPonta",Mercado_Receita!$L$2:$L$553)+SUMIF(Mercado_Receita!$S$2:$S$553,"44652B4ConvencionalIluminação públicaIluminação pública – B4aNão se aplicaNão se aplicaFora ponta",Mercado_Receita!$L$2:$L$553)+SUMIF(Mercado_Receita!$S$2:$S$553,"44652B4ConvencionalIluminação públicaIluminação pública – B4aNão se aplicaNão se aplicaIntermediário",Mercado_Receita!$L$2:$L$553)+SUMIF(Mercado_Receita!$S$2:$S$553,"44652B4ConvencionalIluminação públicaIluminação pública – B4aNão se aplicaNão se aplicaNão se aplica",Mercado_Receita!$L$2:$L$553)</f>
        <v>75.691000000000003</v>
      </c>
      <c r="Q47" s="13">
        <f>SUMIF(Mercado_Receita!$S$2:$S$553,"44682B4ConvencionalIluminação públicaIluminação pública – B4aNão se aplicaNão se aplicaPonta",Mercado_Receita!$L$2:$L$553)+SUMIF(Mercado_Receita!$S$2:$S$553,"44682B4ConvencionalIluminação públicaIluminação pública – B4aNão se aplicaNão se aplicaFora ponta",Mercado_Receita!$L$2:$L$553)+SUMIF(Mercado_Receita!$S$2:$S$553,"44682B4ConvencionalIluminação públicaIluminação pública – B4aNão se aplicaNão se aplicaIntermediário",Mercado_Receita!$L$2:$L$553)+SUMIF(Mercado_Receita!$S$2:$S$553,"44682B4ConvencionalIluminação públicaIluminação pública – B4aNão se aplicaNão se aplicaNão se aplica",Mercado_Receita!$L$2:$L$553)</f>
        <v>78.97</v>
      </c>
      <c r="R47" s="13">
        <f>SUMIF(Mercado_Receita!$S$2:$S$553,"44713B4ConvencionalIluminação públicaIluminação pública – B4aNão se aplicaNão se aplicaPonta",Mercado_Receita!$L$2:$L$553)+SUMIF(Mercado_Receita!$S$2:$S$553,"44713B4ConvencionalIluminação públicaIluminação pública – B4aNão se aplicaNão se aplicaFora ponta",Mercado_Receita!$L$2:$L$553)+SUMIF(Mercado_Receita!$S$2:$S$553,"44713B4ConvencionalIluminação públicaIluminação pública – B4aNão se aplicaNão se aplicaIntermediário",Mercado_Receita!$L$2:$L$553)+SUMIF(Mercado_Receita!$S$2:$S$553,"44713B4ConvencionalIluminação públicaIluminação pública – B4aNão se aplicaNão se aplicaNão se aplica",Mercado_Receita!$L$2:$L$553)</f>
        <v>78.191999999999993</v>
      </c>
      <c r="S47" s="13">
        <f>SUMIF(Mercado_Receita!$S$2:$S$553,"44743B4ConvencionalIluminação públicaIluminação pública – B4aNão se aplicaNão se aplicaPonta",Mercado_Receita!$L$2:$L$553)+SUMIF(Mercado_Receita!$S$2:$S$553,"44743B4ConvencionalIluminação públicaIluminação pública – B4aNão se aplicaNão se aplicaFora ponta",Mercado_Receita!$L$2:$L$553)+SUMIF(Mercado_Receita!$S$2:$S$553,"44743B4ConvencionalIluminação públicaIluminação pública – B4aNão se aplicaNão se aplicaIntermediário",Mercado_Receita!$L$2:$L$553)+SUMIF(Mercado_Receita!$S$2:$S$553,"44743B4ConvencionalIluminação públicaIluminação pública – B4aNão se aplicaNão se aplicaNão se aplica",Mercado_Receita!$L$2:$L$553)</f>
        <v>80.864000000000004</v>
      </c>
      <c r="T47" s="13">
        <f>SUMIF(Mercado_Receita!$S$2:$S$553,"44774B4ConvencionalIluminação públicaIluminação pública – B4aNão se aplicaNão se aplicaPonta",Mercado_Receita!$L$2:$L$553)+SUMIF(Mercado_Receita!$S$2:$S$553,"44774B4ConvencionalIluminação públicaIluminação pública – B4aNão se aplicaNão se aplicaFora ponta",Mercado_Receita!$L$2:$L$553)+SUMIF(Mercado_Receita!$S$2:$S$553,"44774B4ConvencionalIluminação públicaIluminação pública – B4aNão se aplicaNão se aplicaIntermediário",Mercado_Receita!$L$2:$L$553)+SUMIF(Mercado_Receita!$S$2:$S$553,"44774B4ConvencionalIluminação públicaIluminação pública – B4aNão se aplicaNão se aplicaNão se aplica",Mercado_Receita!$L$2:$L$553)</f>
        <v>80.777000000000001</v>
      </c>
      <c r="U47" s="13">
        <f t="shared" si="0"/>
        <v>930.54300000000012</v>
      </c>
      <c r="V47" s="13"/>
      <c r="W47" s="13"/>
    </row>
    <row r="48" spans="1:23" ht="11.25" customHeight="1" x14ac:dyDescent="0.25">
      <c r="A48" s="80"/>
      <c r="B48" s="80"/>
      <c r="C48" s="80"/>
      <c r="D48" s="13" t="s">
        <v>90</v>
      </c>
      <c r="E48" s="13" t="s">
        <v>25</v>
      </c>
      <c r="F48" s="13" t="s">
        <v>25</v>
      </c>
      <c r="G48" s="13" t="s">
        <v>78</v>
      </c>
      <c r="H48" s="13" t="s">
        <v>72</v>
      </c>
      <c r="I48" s="13">
        <f>SUMIF(Mercado_Receita!$S$2:$S$553,"44440B4ConvencionalIluminação públicaIluminação pública – B4bNão se aplicaNão se aplicaPonta",Mercado_Receita!$L$2:$L$553)+SUMIF(Mercado_Receita!$S$2:$S$553,"44440B4ConvencionalIluminação públicaIluminação pública – B4bNão se aplicaNão se aplicaFora ponta",Mercado_Receita!$L$2:$L$553)+SUMIF(Mercado_Receita!$S$2:$S$553,"44440B4ConvencionalIluminação públicaIluminação pública – B4bNão se aplicaNão se aplicaIntermediário",Mercado_Receita!$L$2:$L$553)+SUMIF(Mercado_Receita!$S$2:$S$553,"44440B4ConvencionalIluminação públicaIluminação pública – B4bNão se aplicaNão se aplicaNão se aplica",Mercado_Receita!$L$2:$L$553)</f>
        <v>0</v>
      </c>
      <c r="J48" s="13">
        <f>SUMIF(Mercado_Receita!$S$2:$S$553,"44470B4ConvencionalIluminação públicaIluminação pública – B4bNão se aplicaNão se aplicaPonta",Mercado_Receita!$L$2:$L$553)+SUMIF(Mercado_Receita!$S$2:$S$553,"44470B4ConvencionalIluminação públicaIluminação pública – B4bNão se aplicaNão se aplicaFora ponta",Mercado_Receita!$L$2:$L$553)+SUMIF(Mercado_Receita!$S$2:$S$553,"44470B4ConvencionalIluminação públicaIluminação pública – B4bNão se aplicaNão se aplicaIntermediário",Mercado_Receita!$L$2:$L$553)+SUMIF(Mercado_Receita!$S$2:$S$553,"44470B4ConvencionalIluminação públicaIluminação pública – B4bNão se aplicaNão se aplicaNão se aplica",Mercado_Receita!$L$2:$L$553)</f>
        <v>0</v>
      </c>
      <c r="K48" s="13">
        <f>SUMIF(Mercado_Receita!$S$2:$S$553,"44501B4ConvencionalIluminação públicaIluminação pública – B4bNão se aplicaNão se aplicaPonta",Mercado_Receita!$L$2:$L$553)+SUMIF(Mercado_Receita!$S$2:$S$553,"44501B4ConvencionalIluminação públicaIluminação pública – B4bNão se aplicaNão se aplicaFora ponta",Mercado_Receita!$L$2:$L$553)+SUMIF(Mercado_Receita!$S$2:$S$553,"44501B4ConvencionalIluminação públicaIluminação pública – B4bNão se aplicaNão se aplicaIntermediário",Mercado_Receita!$L$2:$L$553)+SUMIF(Mercado_Receita!$S$2:$S$553,"44501B4ConvencionalIluminação públicaIluminação pública – B4bNão se aplicaNão se aplicaNão se aplica",Mercado_Receita!$L$2:$L$553)</f>
        <v>0</v>
      </c>
      <c r="L48" s="13">
        <f>SUMIF(Mercado_Receita!$S$2:$S$553,"44531B4ConvencionalIluminação públicaIluminação pública – B4bNão se aplicaNão se aplicaPonta",Mercado_Receita!$L$2:$L$553)+SUMIF(Mercado_Receita!$S$2:$S$553,"44531B4ConvencionalIluminação públicaIluminação pública – B4bNão se aplicaNão se aplicaFora ponta",Mercado_Receita!$L$2:$L$553)+SUMIF(Mercado_Receita!$S$2:$S$553,"44531B4ConvencionalIluminação públicaIluminação pública – B4bNão se aplicaNão se aplicaIntermediário",Mercado_Receita!$L$2:$L$553)+SUMIF(Mercado_Receita!$S$2:$S$553,"44531B4ConvencionalIluminação públicaIluminação pública – B4bNão se aplicaNão se aplicaNão se aplica",Mercado_Receita!$L$2:$L$553)</f>
        <v>0</v>
      </c>
      <c r="M48" s="13">
        <f>SUMIF(Mercado_Receita!$S$2:$S$553,"44562B4ConvencionalIluminação públicaIluminação pública – B4bNão se aplicaNão se aplicaPonta",Mercado_Receita!$L$2:$L$553)+SUMIF(Mercado_Receita!$S$2:$S$553,"44562B4ConvencionalIluminação públicaIluminação pública – B4bNão se aplicaNão se aplicaFora ponta",Mercado_Receita!$L$2:$L$553)+SUMIF(Mercado_Receita!$S$2:$S$553,"44562B4ConvencionalIluminação públicaIluminação pública – B4bNão se aplicaNão se aplicaIntermediário",Mercado_Receita!$L$2:$L$553)+SUMIF(Mercado_Receita!$S$2:$S$553,"44562B4ConvencionalIluminação públicaIluminação pública – B4bNão se aplicaNão se aplicaNão se aplica",Mercado_Receita!$L$2:$L$553)</f>
        <v>0</v>
      </c>
      <c r="N48" s="13">
        <f>SUMIF(Mercado_Receita!$S$2:$S$553,"44593B4ConvencionalIluminação públicaIluminação pública – B4bNão se aplicaNão se aplicaPonta",Mercado_Receita!$L$2:$L$553)+SUMIF(Mercado_Receita!$S$2:$S$553,"44593B4ConvencionalIluminação públicaIluminação pública – B4bNão se aplicaNão se aplicaFora ponta",Mercado_Receita!$L$2:$L$553)+SUMIF(Mercado_Receita!$S$2:$S$553,"44593B4ConvencionalIluminação públicaIluminação pública – B4bNão se aplicaNão se aplicaIntermediário",Mercado_Receita!$L$2:$L$553)+SUMIF(Mercado_Receita!$S$2:$S$553,"44593B4ConvencionalIluminação públicaIluminação pública – B4bNão se aplicaNão se aplicaNão se aplica",Mercado_Receita!$L$2:$L$553)</f>
        <v>0</v>
      </c>
      <c r="O48" s="13">
        <f>SUMIF(Mercado_Receita!$S$2:$S$553,"44621B4ConvencionalIluminação públicaIluminação pública – B4bNão se aplicaNão se aplicaPonta",Mercado_Receita!$L$2:$L$553)+SUMIF(Mercado_Receita!$S$2:$S$553,"44621B4ConvencionalIluminação públicaIluminação pública – B4bNão se aplicaNão se aplicaFora ponta",Mercado_Receita!$L$2:$L$553)+SUMIF(Mercado_Receita!$S$2:$S$553,"44621B4ConvencionalIluminação públicaIluminação pública – B4bNão se aplicaNão se aplicaIntermediário",Mercado_Receita!$L$2:$L$553)+SUMIF(Mercado_Receita!$S$2:$S$553,"44621B4ConvencionalIluminação públicaIluminação pública – B4bNão se aplicaNão se aplicaNão se aplica",Mercado_Receita!$L$2:$L$553)</f>
        <v>0</v>
      </c>
      <c r="P48" s="13">
        <f>SUMIF(Mercado_Receita!$S$2:$S$553,"44652B4ConvencionalIluminação públicaIluminação pública – B4bNão se aplicaNão se aplicaPonta",Mercado_Receita!$L$2:$L$553)+SUMIF(Mercado_Receita!$S$2:$S$553,"44652B4ConvencionalIluminação públicaIluminação pública – B4bNão se aplicaNão se aplicaFora ponta",Mercado_Receita!$L$2:$L$553)+SUMIF(Mercado_Receita!$S$2:$S$553,"44652B4ConvencionalIluminação públicaIluminação pública – B4bNão se aplicaNão se aplicaIntermediário",Mercado_Receita!$L$2:$L$553)+SUMIF(Mercado_Receita!$S$2:$S$553,"44652B4ConvencionalIluminação públicaIluminação pública – B4bNão se aplicaNão se aplicaNão se aplica",Mercado_Receita!$L$2:$L$553)</f>
        <v>0</v>
      </c>
      <c r="Q48" s="13">
        <f>SUMIF(Mercado_Receita!$S$2:$S$553,"44682B4ConvencionalIluminação públicaIluminação pública – B4bNão se aplicaNão se aplicaPonta",Mercado_Receita!$L$2:$L$553)+SUMIF(Mercado_Receita!$S$2:$S$553,"44682B4ConvencionalIluminação públicaIluminação pública – B4bNão se aplicaNão se aplicaFora ponta",Mercado_Receita!$L$2:$L$553)+SUMIF(Mercado_Receita!$S$2:$S$553,"44682B4ConvencionalIluminação públicaIluminação pública – B4bNão se aplicaNão se aplicaIntermediário",Mercado_Receita!$L$2:$L$553)+SUMIF(Mercado_Receita!$S$2:$S$553,"44682B4ConvencionalIluminação públicaIluminação pública – B4bNão se aplicaNão se aplicaNão se aplica",Mercado_Receita!$L$2:$L$553)</f>
        <v>0</v>
      </c>
      <c r="R48" s="13">
        <f>SUMIF(Mercado_Receita!$S$2:$S$553,"44713B4ConvencionalIluminação públicaIluminação pública – B4bNão se aplicaNão se aplicaPonta",Mercado_Receita!$L$2:$L$553)+SUMIF(Mercado_Receita!$S$2:$S$553,"44713B4ConvencionalIluminação públicaIluminação pública – B4bNão se aplicaNão se aplicaFora ponta",Mercado_Receita!$L$2:$L$553)+SUMIF(Mercado_Receita!$S$2:$S$553,"44713B4ConvencionalIluminação públicaIluminação pública – B4bNão se aplicaNão se aplicaIntermediário",Mercado_Receita!$L$2:$L$553)+SUMIF(Mercado_Receita!$S$2:$S$553,"44713B4ConvencionalIluminação públicaIluminação pública – B4bNão se aplicaNão se aplicaNão se aplica",Mercado_Receita!$L$2:$L$553)</f>
        <v>0</v>
      </c>
      <c r="S48" s="13">
        <f>SUMIF(Mercado_Receita!$S$2:$S$553,"44743B4ConvencionalIluminação públicaIluminação pública – B4bNão se aplicaNão se aplicaPonta",Mercado_Receita!$L$2:$L$553)+SUMIF(Mercado_Receita!$S$2:$S$553,"44743B4ConvencionalIluminação públicaIluminação pública – B4bNão se aplicaNão se aplicaFora ponta",Mercado_Receita!$L$2:$L$553)+SUMIF(Mercado_Receita!$S$2:$S$553,"44743B4ConvencionalIluminação públicaIluminação pública – B4bNão se aplicaNão se aplicaIntermediário",Mercado_Receita!$L$2:$L$553)+SUMIF(Mercado_Receita!$S$2:$S$553,"44743B4ConvencionalIluminação públicaIluminação pública – B4bNão se aplicaNão se aplicaNão se aplica",Mercado_Receita!$L$2:$L$553)</f>
        <v>0</v>
      </c>
      <c r="T48" s="13">
        <f>SUMIF(Mercado_Receita!$S$2:$S$553,"44774B4ConvencionalIluminação públicaIluminação pública – B4bNão se aplicaNão se aplicaPonta",Mercado_Receita!$L$2:$L$553)+SUMIF(Mercado_Receita!$S$2:$S$553,"44774B4ConvencionalIluminação públicaIluminação pública – B4bNão se aplicaNão se aplicaFora ponta",Mercado_Receita!$L$2:$L$553)+SUMIF(Mercado_Receita!$S$2:$S$553,"44774B4ConvencionalIluminação públicaIluminação pública – B4bNão se aplicaNão se aplicaIntermediário",Mercado_Receita!$L$2:$L$553)+SUMIF(Mercado_Receita!$S$2:$S$553,"44774B4ConvencionalIluminação públicaIluminação pública – B4bNão se aplicaNão se aplicaNão se aplica",Mercado_Receita!$L$2:$L$553)</f>
        <v>0</v>
      </c>
      <c r="U48" s="13">
        <f t="shared" si="0"/>
        <v>0</v>
      </c>
      <c r="V48" s="13"/>
      <c r="W48" s="13"/>
    </row>
    <row r="49" spans="1:23" ht="11.25" customHeight="1" x14ac:dyDescent="0.25">
      <c r="A49" s="81" t="s">
        <v>385</v>
      </c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13"/>
      <c r="W49" s="13"/>
    </row>
  </sheetData>
  <mergeCells count="55">
    <mergeCell ref="A47:A48"/>
    <mergeCell ref="B47:B48"/>
    <mergeCell ref="C47:C48"/>
    <mergeCell ref="A49:U49"/>
    <mergeCell ref="C39:C41"/>
    <mergeCell ref="B39:B41"/>
    <mergeCell ref="A27:A41"/>
    <mergeCell ref="F42:F44"/>
    <mergeCell ref="E42:E44"/>
    <mergeCell ref="D42:D44"/>
    <mergeCell ref="C42:C44"/>
    <mergeCell ref="B42:B44"/>
    <mergeCell ref="A42:A46"/>
    <mergeCell ref="F31:F33"/>
    <mergeCell ref="E31:E33"/>
    <mergeCell ref="D31:D33"/>
    <mergeCell ref="C31:C33"/>
    <mergeCell ref="B31:B33"/>
    <mergeCell ref="F35:F37"/>
    <mergeCell ref="E35:E37"/>
    <mergeCell ref="D35:D37"/>
    <mergeCell ref="C35:C37"/>
    <mergeCell ref="B35:B37"/>
    <mergeCell ref="C17:C21"/>
    <mergeCell ref="B17:B21"/>
    <mergeCell ref="C22:C26"/>
    <mergeCell ref="B22:B26"/>
    <mergeCell ref="A14:A26"/>
    <mergeCell ref="F27:F29"/>
    <mergeCell ref="E27:E29"/>
    <mergeCell ref="D27:D29"/>
    <mergeCell ref="C27:C29"/>
    <mergeCell ref="B27:B29"/>
    <mergeCell ref="D12:D13"/>
    <mergeCell ref="C12:C13"/>
    <mergeCell ref="B12:B13"/>
    <mergeCell ref="A12:A13"/>
    <mergeCell ref="F14:F16"/>
    <mergeCell ref="E14:E16"/>
    <mergeCell ref="D14:D16"/>
    <mergeCell ref="C14:C16"/>
    <mergeCell ref="B14:B16"/>
    <mergeCell ref="A2:A11"/>
    <mergeCell ref="F2:F4"/>
    <mergeCell ref="E2:E4"/>
    <mergeCell ref="D2:D5"/>
    <mergeCell ref="C2:C5"/>
    <mergeCell ref="B2:B5"/>
    <mergeCell ref="F7:F9"/>
    <mergeCell ref="E7:E9"/>
    <mergeCell ref="F10:F11"/>
    <mergeCell ref="E10:E11"/>
    <mergeCell ref="D7:D11"/>
    <mergeCell ref="C7:C11"/>
    <mergeCell ref="B7:B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1595-CFA1-4868-AA2D-CEFC2EC694DC}">
  <sheetPr codeName="Planilha5"/>
  <dimension ref="A1:AD39"/>
  <sheetViews>
    <sheetView showGridLines="0" workbookViewId="0">
      <selection sqref="A1:W39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20" width="7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62</v>
      </c>
      <c r="B1" s="10" t="s">
        <v>63</v>
      </c>
      <c r="C1" s="10" t="s">
        <v>64</v>
      </c>
      <c r="D1" s="10" t="s">
        <v>65</v>
      </c>
      <c r="E1" s="10" t="s">
        <v>66</v>
      </c>
      <c r="F1" s="10" t="s">
        <v>67</v>
      </c>
      <c r="G1" s="10" t="s">
        <v>68</v>
      </c>
      <c r="H1" s="10" t="s">
        <v>69</v>
      </c>
      <c r="I1" s="11">
        <v>44440</v>
      </c>
      <c r="J1" s="11">
        <v>44470</v>
      </c>
      <c r="K1" s="11">
        <v>44501</v>
      </c>
      <c r="L1" s="11">
        <v>44531</v>
      </c>
      <c r="M1" s="11">
        <v>44562</v>
      </c>
      <c r="N1" s="11">
        <v>44593</v>
      </c>
      <c r="O1" s="11">
        <v>44621</v>
      </c>
      <c r="P1" s="11">
        <v>44652</v>
      </c>
      <c r="Q1" s="11">
        <v>44682</v>
      </c>
      <c r="R1" s="11">
        <v>44713</v>
      </c>
      <c r="S1" s="11">
        <v>44743</v>
      </c>
      <c r="T1" s="11">
        <v>44774</v>
      </c>
      <c r="U1" s="10" t="s">
        <v>70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79" t="s">
        <v>35</v>
      </c>
      <c r="B2" s="79" t="s">
        <v>71</v>
      </c>
      <c r="C2" s="79" t="s">
        <v>25</v>
      </c>
      <c r="D2" s="79" t="s">
        <v>25</v>
      </c>
      <c r="E2" s="79" t="s">
        <v>25</v>
      </c>
      <c r="F2" s="79" t="s">
        <v>25</v>
      </c>
      <c r="G2" s="13" t="s">
        <v>73</v>
      </c>
      <c r="H2" s="13" t="s">
        <v>72</v>
      </c>
      <c r="I2" s="13">
        <f>SUMIF(Mercado_Receita!$T$2:$T$553,"44440A4Energia horáriaNão se aplicaNão se aplicaNão se aplicaNão se aplicaPonta",Mercado_Receita!$N$2:$N$553)</f>
        <v>86.25</v>
      </c>
      <c r="J2" s="13">
        <f>SUMIF(Mercado_Receita!$T$2:$T$553,"44470A4Energia horáriaNão se aplicaNão se aplicaNão se aplicaNão se aplicaPonta",Mercado_Receita!$N$2:$N$553)</f>
        <v>88.700999999999993</v>
      </c>
      <c r="K2" s="13">
        <f>SUMIF(Mercado_Receita!$T$2:$T$553,"44501A4Energia horáriaNão se aplicaNão se aplicaNão se aplicaNão se aplicaPonta",Mercado_Receita!$N$2:$N$553)</f>
        <v>84.076999999999984</v>
      </c>
      <c r="L2" s="13">
        <f>SUMIF(Mercado_Receita!$T$2:$T$553,"44531A4Energia horáriaNão se aplicaNão se aplicaNão se aplicaNão se aplicaPonta",Mercado_Receita!$N$2:$N$553)</f>
        <v>96.525000000000006</v>
      </c>
      <c r="M2" s="13">
        <f>SUMIF(Mercado_Receita!$T$2:$T$553,"44562A4Energia horáriaNão se aplicaNão se aplicaNão se aplicaNão se aplicaPonta",Mercado_Receita!$N$2:$N$553)</f>
        <v>98.059000000000012</v>
      </c>
      <c r="N2" s="13">
        <f>SUMIF(Mercado_Receita!$T$2:$T$553,"44593A4Energia horáriaNão se aplicaNão se aplicaNão se aplicaNão se aplicaPonta",Mercado_Receita!$N$2:$N$553)</f>
        <v>81.033999999999992</v>
      </c>
      <c r="O2" s="13">
        <f>SUMIF(Mercado_Receita!$T$2:$T$553,"44621A4Energia horáriaNão se aplicaNão se aplicaNão se aplicaNão se aplicaPonta",Mercado_Receita!$N$2:$N$553)</f>
        <v>92.208000000000013</v>
      </c>
      <c r="P2" s="13">
        <f>SUMIF(Mercado_Receita!$T$2:$T$553,"44652A4Energia horáriaNão se aplicaNão se aplicaNão se aplicaNão se aplicaPonta",Mercado_Receita!$N$2:$N$553)</f>
        <v>83.471999999999994</v>
      </c>
      <c r="Q2" s="13">
        <f>SUMIF(Mercado_Receita!$T$2:$T$553,"44682A4Energia horáriaNão se aplicaNão se aplicaNão se aplicaNão se aplicaPonta",Mercado_Receita!$N$2:$N$553)</f>
        <v>124.14700000000001</v>
      </c>
      <c r="R2" s="13">
        <f>SUMIF(Mercado_Receita!$T$2:$T$553,"44713A4Energia horáriaNão se aplicaNão se aplicaNão se aplicaNão se aplicaPonta",Mercado_Receita!$N$2:$N$553)</f>
        <v>131.06299999999999</v>
      </c>
      <c r="S2" s="13">
        <f>SUMIF(Mercado_Receita!$T$2:$T$553,"44743A4Energia horáriaNão se aplicaNão se aplicaNão se aplicaNão se aplicaPonta",Mercado_Receita!$N$2:$N$553)</f>
        <v>150.45100000000002</v>
      </c>
      <c r="T2" s="13">
        <f>SUMIF(Mercado_Receita!$T$2:$T$553,"44774A4Energia horáriaNão se aplicaNão se aplicaNão se aplicaNão se aplicaPonta",Mercado_Receita!$N$2:$N$553)</f>
        <v>160.51300000000001</v>
      </c>
      <c r="U2" s="13">
        <f t="shared" ref="U2:U38" si="0">SUM(I2:T2)</f>
        <v>1276.5</v>
      </c>
      <c r="V2" s="13"/>
      <c r="W2" s="13"/>
    </row>
    <row r="3" spans="1:30" ht="11.25" customHeight="1" x14ac:dyDescent="0.25">
      <c r="A3" s="80"/>
      <c r="B3" s="80"/>
      <c r="C3" s="80"/>
      <c r="D3" s="80"/>
      <c r="E3" s="80"/>
      <c r="F3" s="80"/>
      <c r="G3" s="13" t="s">
        <v>74</v>
      </c>
      <c r="H3" s="13" t="s">
        <v>72</v>
      </c>
      <c r="I3" s="13">
        <f>SUMIF(Mercado_Receita!$T$2:$T$553,"44440A4Energia horáriaNão se aplicaNão se aplicaNão se aplicaNão se aplicaFora ponta",Mercado_Receita!$N$2:$N$553)</f>
        <v>2631.1669999999995</v>
      </c>
      <c r="J3" s="13">
        <f>SUMIF(Mercado_Receita!$T$2:$T$553,"44470A4Energia horáriaNão se aplicaNão se aplicaNão se aplicaNão se aplicaFora ponta",Mercado_Receita!$N$2:$N$553)</f>
        <v>2490.6059999999998</v>
      </c>
      <c r="K3" s="13">
        <f>SUMIF(Mercado_Receita!$T$2:$T$553,"44501A4Energia horáriaNão se aplicaNão se aplicaNão se aplicaNão se aplicaFora ponta",Mercado_Receita!$N$2:$N$553)</f>
        <v>2558.6009999999997</v>
      </c>
      <c r="L3" s="13">
        <f>SUMIF(Mercado_Receita!$T$2:$T$553,"44531A4Energia horáriaNão se aplicaNão se aplicaNão se aplicaNão se aplicaFora ponta",Mercado_Receita!$N$2:$N$553)</f>
        <v>2258.16</v>
      </c>
      <c r="M3" s="13">
        <f>SUMIF(Mercado_Receita!$T$2:$T$553,"44562A4Energia horáriaNão se aplicaNão se aplicaNão se aplicaNão se aplicaFora ponta",Mercado_Receita!$N$2:$N$553)</f>
        <v>2464.9110000000001</v>
      </c>
      <c r="N3" s="13">
        <f>SUMIF(Mercado_Receita!$T$2:$T$553,"44593A4Energia horáriaNão se aplicaNão se aplicaNão se aplicaNão se aplicaFora ponta",Mercado_Receita!$N$2:$N$553)</f>
        <v>2424.3920000000003</v>
      </c>
      <c r="O3" s="13">
        <f>SUMIF(Mercado_Receita!$T$2:$T$553,"44621A4Energia horáriaNão se aplicaNão se aplicaNão se aplicaNão se aplicaFora ponta",Mercado_Receita!$N$2:$N$553)</f>
        <v>2719.7520000000004</v>
      </c>
      <c r="P3" s="13">
        <f>SUMIF(Mercado_Receita!$T$2:$T$553,"44652A4Energia horáriaNão se aplicaNão se aplicaNão se aplicaNão se aplicaFora ponta",Mercado_Receita!$N$2:$N$553)</f>
        <v>2510.9920000000002</v>
      </c>
      <c r="Q3" s="13">
        <f>SUMIF(Mercado_Receita!$T$2:$T$553,"44682A4Energia horáriaNão se aplicaNão se aplicaNão se aplicaNão se aplicaFora ponta",Mercado_Receita!$N$2:$N$553)</f>
        <v>2673.0690000000004</v>
      </c>
      <c r="R3" s="13">
        <f>SUMIF(Mercado_Receita!$T$2:$T$553,"44713A4Energia horáriaNão se aplicaNão se aplicaNão se aplicaNão se aplicaFora ponta",Mercado_Receita!$N$2:$N$553)</f>
        <v>2677.2760000000003</v>
      </c>
      <c r="S3" s="13">
        <f>SUMIF(Mercado_Receita!$T$2:$T$553,"44743A4Energia horáriaNão se aplicaNão se aplicaNão se aplicaNão se aplicaFora ponta",Mercado_Receita!$N$2:$N$553)</f>
        <v>2616.3599999999997</v>
      </c>
      <c r="T3" s="13">
        <f>SUMIF(Mercado_Receita!$T$2:$T$553,"44774A4Energia horáriaNão se aplicaNão se aplicaNão se aplicaNão se aplicaFora ponta",Mercado_Receita!$N$2:$N$553)</f>
        <v>2774.3229999999999</v>
      </c>
      <c r="U3" s="13">
        <f t="shared" si="0"/>
        <v>30799.609</v>
      </c>
      <c r="V3" s="13"/>
      <c r="W3" s="13"/>
    </row>
    <row r="4" spans="1:30" ht="11.25" customHeight="1" x14ac:dyDescent="0.25">
      <c r="A4" s="79" t="s">
        <v>22</v>
      </c>
      <c r="B4" s="79" t="s">
        <v>71</v>
      </c>
      <c r="C4" s="79" t="s">
        <v>24</v>
      </c>
      <c r="D4" s="79" t="s">
        <v>24</v>
      </c>
      <c r="E4" s="79" t="s">
        <v>25</v>
      </c>
      <c r="F4" s="79" t="s">
        <v>25</v>
      </c>
      <c r="G4" s="13" t="s">
        <v>73</v>
      </c>
      <c r="H4" s="13" t="s">
        <v>72</v>
      </c>
      <c r="I4" s="13">
        <f>SUMIF(Mercado_Receita!$T$2:$T$553,"44440B1Energia horáriaResidencialResidencialNão se aplicaNão se aplicaPonta",Mercado_Receita!$N$2:$N$553)</f>
        <v>0</v>
      </c>
      <c r="J4" s="13">
        <f>SUMIF(Mercado_Receita!$T$2:$T$553,"44470B1Energia horáriaResidencialResidencialNão se aplicaNão se aplicaPonta",Mercado_Receita!$N$2:$N$553)</f>
        <v>0</v>
      </c>
      <c r="K4" s="13">
        <f>SUMIF(Mercado_Receita!$T$2:$T$553,"44501B1Energia horáriaResidencialResidencialNão se aplicaNão se aplicaPonta",Mercado_Receita!$N$2:$N$553)</f>
        <v>0</v>
      </c>
      <c r="L4" s="13">
        <f>SUMIF(Mercado_Receita!$T$2:$T$553,"44531B1Energia horáriaResidencialResidencialNão se aplicaNão se aplicaPonta",Mercado_Receita!$N$2:$N$553)</f>
        <v>0</v>
      </c>
      <c r="M4" s="13">
        <f>SUMIF(Mercado_Receita!$T$2:$T$553,"44562B1Energia horáriaResidencialResidencialNão se aplicaNão se aplicaPonta",Mercado_Receita!$N$2:$N$553)</f>
        <v>0</v>
      </c>
      <c r="N4" s="13">
        <f>SUMIF(Mercado_Receita!$T$2:$T$553,"44593B1Energia horáriaResidencialResidencialNão se aplicaNão se aplicaPonta",Mercado_Receita!$N$2:$N$553)</f>
        <v>0</v>
      </c>
      <c r="O4" s="13">
        <f>SUMIF(Mercado_Receita!$T$2:$T$553,"44621B1Energia horáriaResidencialResidencialNão se aplicaNão se aplicaPonta",Mercado_Receita!$N$2:$N$553)</f>
        <v>0</v>
      </c>
      <c r="P4" s="13">
        <f>SUMIF(Mercado_Receita!$T$2:$T$553,"44652B1Energia horáriaResidencialResidencialNão se aplicaNão se aplicaPonta",Mercado_Receita!$N$2:$N$553)</f>
        <v>0</v>
      </c>
      <c r="Q4" s="13">
        <f>SUMIF(Mercado_Receita!$T$2:$T$553,"44682B1Energia horáriaResidencialResidencialNão se aplicaNão se aplicaPonta",Mercado_Receita!$N$2:$N$553)</f>
        <v>0</v>
      </c>
      <c r="R4" s="13">
        <f>SUMIF(Mercado_Receita!$T$2:$T$553,"44713B1Energia horáriaResidencialResidencialNão se aplicaNão se aplicaPonta",Mercado_Receita!$N$2:$N$553)</f>
        <v>0</v>
      </c>
      <c r="S4" s="13">
        <f>SUMIF(Mercado_Receita!$T$2:$T$553,"44743B1Energia horáriaResidencialResidencialNão se aplicaNão se aplicaPonta",Mercado_Receita!$N$2:$N$553)</f>
        <v>0</v>
      </c>
      <c r="T4" s="13">
        <f>SUMIF(Mercado_Receita!$T$2:$T$553,"44774B1Energia horáriaResidencialResidencialNão se aplicaNão se aplicaPonta",Mercado_Receita!$N$2:$N$553)</f>
        <v>0</v>
      </c>
      <c r="U4" s="13">
        <f t="shared" si="0"/>
        <v>0</v>
      </c>
      <c r="V4" s="13"/>
      <c r="W4" s="13"/>
    </row>
    <row r="5" spans="1:30" ht="11.25" customHeight="1" x14ac:dyDescent="0.25">
      <c r="A5" s="80"/>
      <c r="B5" s="80"/>
      <c r="C5" s="80"/>
      <c r="D5" s="80"/>
      <c r="E5" s="80"/>
      <c r="F5" s="80"/>
      <c r="G5" s="13" t="s">
        <v>83</v>
      </c>
      <c r="H5" s="13" t="s">
        <v>72</v>
      </c>
      <c r="I5" s="13">
        <f>SUMIF(Mercado_Receita!$T$2:$T$553,"44440B1Energia horáriaResidencialResidencialNão se aplicaNão se aplicaIntermediário",Mercado_Receita!$N$2:$N$553)</f>
        <v>0</v>
      </c>
      <c r="J5" s="13">
        <f>SUMIF(Mercado_Receita!$T$2:$T$553,"44470B1Energia horáriaResidencialResidencialNão se aplicaNão se aplicaIntermediário",Mercado_Receita!$N$2:$N$553)</f>
        <v>0</v>
      </c>
      <c r="K5" s="13">
        <f>SUMIF(Mercado_Receita!$T$2:$T$553,"44501B1Energia horáriaResidencialResidencialNão se aplicaNão se aplicaIntermediário",Mercado_Receita!$N$2:$N$553)</f>
        <v>0</v>
      </c>
      <c r="L5" s="13">
        <f>SUMIF(Mercado_Receita!$T$2:$T$553,"44531B1Energia horáriaResidencialResidencialNão se aplicaNão se aplicaIntermediário",Mercado_Receita!$N$2:$N$553)</f>
        <v>0</v>
      </c>
      <c r="M5" s="13">
        <f>SUMIF(Mercado_Receita!$T$2:$T$553,"44562B1Energia horáriaResidencialResidencialNão se aplicaNão se aplicaIntermediário",Mercado_Receita!$N$2:$N$553)</f>
        <v>0</v>
      </c>
      <c r="N5" s="13">
        <f>SUMIF(Mercado_Receita!$T$2:$T$553,"44593B1Energia horáriaResidencialResidencialNão se aplicaNão se aplicaIntermediário",Mercado_Receita!$N$2:$N$553)</f>
        <v>0</v>
      </c>
      <c r="O5" s="13">
        <f>SUMIF(Mercado_Receita!$T$2:$T$553,"44621B1Energia horáriaResidencialResidencialNão se aplicaNão se aplicaIntermediário",Mercado_Receita!$N$2:$N$553)</f>
        <v>0</v>
      </c>
      <c r="P5" s="13">
        <f>SUMIF(Mercado_Receita!$T$2:$T$553,"44652B1Energia horáriaResidencialResidencialNão se aplicaNão se aplicaIntermediário",Mercado_Receita!$N$2:$N$553)</f>
        <v>0</v>
      </c>
      <c r="Q5" s="13">
        <f>SUMIF(Mercado_Receita!$T$2:$T$553,"44682B1Energia horáriaResidencialResidencialNão se aplicaNão se aplicaIntermediário",Mercado_Receita!$N$2:$N$553)</f>
        <v>0</v>
      </c>
      <c r="R5" s="13">
        <f>SUMIF(Mercado_Receita!$T$2:$T$553,"44713B1Energia horáriaResidencialResidencialNão se aplicaNão se aplicaIntermediário",Mercado_Receita!$N$2:$N$553)</f>
        <v>0</v>
      </c>
      <c r="S5" s="13">
        <f>SUMIF(Mercado_Receita!$T$2:$T$553,"44743B1Energia horáriaResidencialResidencialNão se aplicaNão se aplicaIntermediário",Mercado_Receita!$N$2:$N$553)</f>
        <v>0</v>
      </c>
      <c r="T5" s="13">
        <f>SUMIF(Mercado_Receita!$T$2:$T$553,"44774B1Energia horáriaResidencialResidencialNão se aplicaNão se aplicaIntermediário",Mercado_Receita!$N$2:$N$553)</f>
        <v>0</v>
      </c>
      <c r="U5" s="13">
        <f t="shared" si="0"/>
        <v>0</v>
      </c>
      <c r="V5" s="13"/>
      <c r="W5" s="13"/>
    </row>
    <row r="6" spans="1:30" ht="11.25" customHeight="1" x14ac:dyDescent="0.25">
      <c r="A6" s="80"/>
      <c r="B6" s="80"/>
      <c r="C6" s="80"/>
      <c r="D6" s="80"/>
      <c r="E6" s="80"/>
      <c r="F6" s="80"/>
      <c r="G6" s="13" t="s">
        <v>74</v>
      </c>
      <c r="H6" s="13" t="s">
        <v>72</v>
      </c>
      <c r="I6" s="13">
        <f>SUMIF(Mercado_Receita!$T$2:$T$553,"44440B1Energia horáriaResidencialResidencialNão se aplicaNão se aplicaFora ponta",Mercado_Receita!$N$2:$N$553)</f>
        <v>0</v>
      </c>
      <c r="J6" s="13">
        <f>SUMIF(Mercado_Receita!$T$2:$T$553,"44470B1Energia horáriaResidencialResidencialNão se aplicaNão se aplicaFora ponta",Mercado_Receita!$N$2:$N$553)</f>
        <v>0</v>
      </c>
      <c r="K6" s="13">
        <f>SUMIF(Mercado_Receita!$T$2:$T$553,"44501B1Energia horáriaResidencialResidencialNão se aplicaNão se aplicaFora ponta",Mercado_Receita!$N$2:$N$553)</f>
        <v>0</v>
      </c>
      <c r="L6" s="13">
        <f>SUMIF(Mercado_Receita!$T$2:$T$553,"44531B1Energia horáriaResidencialResidencialNão se aplicaNão se aplicaFora ponta",Mercado_Receita!$N$2:$N$553)</f>
        <v>0</v>
      </c>
      <c r="M6" s="13">
        <f>SUMIF(Mercado_Receita!$T$2:$T$553,"44562B1Energia horáriaResidencialResidencialNão se aplicaNão se aplicaFora ponta",Mercado_Receita!$N$2:$N$553)</f>
        <v>0</v>
      </c>
      <c r="N6" s="13">
        <f>SUMIF(Mercado_Receita!$T$2:$T$553,"44593B1Energia horáriaResidencialResidencialNão se aplicaNão se aplicaFora ponta",Mercado_Receita!$N$2:$N$553)</f>
        <v>0</v>
      </c>
      <c r="O6" s="13">
        <f>SUMIF(Mercado_Receita!$T$2:$T$553,"44621B1Energia horáriaResidencialResidencialNão se aplicaNão se aplicaFora ponta",Mercado_Receita!$N$2:$N$553)</f>
        <v>0</v>
      </c>
      <c r="P6" s="13">
        <f>SUMIF(Mercado_Receita!$T$2:$T$553,"44652B1Energia horáriaResidencialResidencialNão se aplicaNão se aplicaFora ponta",Mercado_Receita!$N$2:$N$553)</f>
        <v>0</v>
      </c>
      <c r="Q6" s="13">
        <f>SUMIF(Mercado_Receita!$T$2:$T$553,"44682B1Energia horáriaResidencialResidencialNão se aplicaNão se aplicaFora ponta",Mercado_Receita!$N$2:$N$553)</f>
        <v>0</v>
      </c>
      <c r="R6" s="13">
        <f>SUMIF(Mercado_Receita!$T$2:$T$553,"44713B1Energia horáriaResidencialResidencialNão se aplicaNão se aplicaFora ponta",Mercado_Receita!$N$2:$N$553)</f>
        <v>0</v>
      </c>
      <c r="S6" s="13">
        <f>SUMIF(Mercado_Receita!$T$2:$T$553,"44743B1Energia horáriaResidencialResidencialNão se aplicaNão se aplicaFora ponta",Mercado_Receita!$N$2:$N$553)</f>
        <v>0</v>
      </c>
      <c r="T6" s="13">
        <f>SUMIF(Mercado_Receita!$T$2:$T$553,"44774B1Energia horáriaResidencialResidencialNão se aplicaNão se aplicaFora ponta",Mercado_Receita!$N$2:$N$553)</f>
        <v>0</v>
      </c>
      <c r="U6" s="13">
        <f t="shared" si="0"/>
        <v>0</v>
      </c>
      <c r="V6" s="13"/>
      <c r="W6" s="13"/>
    </row>
    <row r="7" spans="1:30" ht="11.25" customHeight="1" x14ac:dyDescent="0.25">
      <c r="A7" s="80"/>
      <c r="B7" s="79" t="s">
        <v>84</v>
      </c>
      <c r="C7" s="79" t="s">
        <v>24</v>
      </c>
      <c r="D7" s="12" t="s">
        <v>24</v>
      </c>
      <c r="E7" s="12" t="s">
        <v>25</v>
      </c>
      <c r="F7" s="12" t="s">
        <v>25</v>
      </c>
      <c r="G7" s="13" t="s">
        <v>78</v>
      </c>
      <c r="H7" s="13" t="s">
        <v>72</v>
      </c>
      <c r="I7" s="13">
        <f>SUMIF(Mercado_Receita!$T$2:$T$553,"44440B1Energia convencionalResidencialResidencialNão se aplicaNão se aplicaNão se aplica",Mercado_Receita!$N$2:$N$553)</f>
        <v>763.48900000000003</v>
      </c>
      <c r="J7" s="13">
        <f>SUMIF(Mercado_Receita!$T$2:$T$553,"44470B1Energia convencionalResidencialResidencialNão se aplicaNão se aplicaNão se aplica",Mercado_Receita!$N$2:$N$553)</f>
        <v>793.32799999999997</v>
      </c>
      <c r="K7" s="13">
        <f>SUMIF(Mercado_Receita!$T$2:$T$553,"44501B1Energia convencionalResidencialResidencialNão se aplicaNão se aplicaNão se aplica",Mercado_Receita!$N$2:$N$553)</f>
        <v>781.78700000000003</v>
      </c>
      <c r="L7" s="13">
        <f>SUMIF(Mercado_Receita!$T$2:$T$553,"44531B1Energia convencionalResidencialResidencialNão se aplicaNão se aplicaNão se aplica",Mercado_Receita!$N$2:$N$553)</f>
        <v>1086.453</v>
      </c>
      <c r="M7" s="13">
        <f>SUMIF(Mercado_Receita!$T$2:$T$553,"44562B1Energia convencionalResidencialResidencialNão se aplicaNão se aplicaNão se aplica",Mercado_Receita!$N$2:$N$553)</f>
        <v>1200.2190000000001</v>
      </c>
      <c r="N7" s="13">
        <f>SUMIF(Mercado_Receita!$T$2:$T$553,"44593B1Energia convencionalResidencialResidencialNão se aplicaNão se aplicaNão se aplica",Mercado_Receita!$N$2:$N$553)</f>
        <v>1181.886</v>
      </c>
      <c r="O7" s="13">
        <f>SUMIF(Mercado_Receita!$T$2:$T$553,"44621B1Energia convencionalResidencialResidencialNão se aplicaNão se aplicaNão se aplica",Mercado_Receita!$N$2:$N$553)</f>
        <v>1083.037</v>
      </c>
      <c r="P7" s="13">
        <f>SUMIF(Mercado_Receita!$T$2:$T$553,"44652B1Energia convencionalResidencialResidencialNão se aplicaNão se aplicaNão se aplica",Mercado_Receita!$N$2:$N$553)</f>
        <v>986.73099999999999</v>
      </c>
      <c r="Q7" s="13">
        <f>SUMIF(Mercado_Receita!$T$2:$T$553,"44682B1Energia convencionalResidencialResidencialNão se aplicaNão se aplicaNão se aplica",Mercado_Receita!$N$2:$N$553)</f>
        <v>959.15</v>
      </c>
      <c r="R7" s="13">
        <f>SUMIF(Mercado_Receita!$T$2:$T$553,"44713B1Energia convencionalResidencialResidencialNão se aplicaNão se aplicaNão se aplica",Mercado_Receita!$N$2:$N$553)</f>
        <v>977.56000000000006</v>
      </c>
      <c r="S7" s="13">
        <f>SUMIF(Mercado_Receita!$T$2:$T$553,"44743B1Energia convencionalResidencialResidencialNão se aplicaNão se aplicaNão se aplica",Mercado_Receita!$N$2:$N$553)</f>
        <v>963.84799999999996</v>
      </c>
      <c r="T7" s="13">
        <f>SUMIF(Mercado_Receita!$T$2:$T$553,"44774B1Energia convencionalResidencialResidencialNão se aplicaNão se aplicaNão se aplica",Mercado_Receita!$N$2:$N$553)</f>
        <v>917.28399999999999</v>
      </c>
      <c r="U7" s="13">
        <f t="shared" si="0"/>
        <v>11694.771999999999</v>
      </c>
      <c r="V7" s="13"/>
      <c r="W7" s="13"/>
    </row>
    <row r="8" spans="1:30" ht="11.25" customHeight="1" x14ac:dyDescent="0.25">
      <c r="A8" s="80"/>
      <c r="B8" s="80"/>
      <c r="C8" s="80"/>
      <c r="D8" s="12" t="s">
        <v>29</v>
      </c>
      <c r="E8" s="12" t="s">
        <v>25</v>
      </c>
      <c r="F8" s="12" t="s">
        <v>25</v>
      </c>
      <c r="G8" s="13" t="s">
        <v>78</v>
      </c>
      <c r="H8" s="13" t="s">
        <v>72</v>
      </c>
      <c r="I8" s="13">
        <f>SUMIF(Mercado_Receita!$T$2:$T$553,"44440B1Energia convencionalResidencialResidencial baixa renda – faixa 01Não se aplicaNão se aplicaNão se aplica",Mercado_Receita!$N$2:$N$553)</f>
        <v>1.0249999999999999</v>
      </c>
      <c r="J8" s="13">
        <f>SUMIF(Mercado_Receita!$T$2:$T$553,"44470B1Energia convencionalResidencialResidencial baixa renda – faixa 01Não se aplicaNão se aplicaNão se aplica",Mercado_Receita!$N$2:$N$553)</f>
        <v>1.05</v>
      </c>
      <c r="K8" s="13">
        <f>SUMIF(Mercado_Receita!$T$2:$T$553,"44501B1Energia convencionalResidencialResidencial baixa renda – faixa 01Não se aplicaNão se aplicaNão se aplica",Mercado_Receita!$N$2:$N$553)</f>
        <v>1.1399999999999999</v>
      </c>
      <c r="L8" s="13">
        <f>SUMIF(Mercado_Receita!$T$2:$T$553,"44531B1Energia convencionalResidencialResidencial baixa renda – faixa 01Não se aplicaNão se aplicaNão se aplica",Mercado_Receita!$N$2:$N$553)</f>
        <v>1.1399999999999999</v>
      </c>
      <c r="M8" s="13">
        <f>SUMIF(Mercado_Receita!$T$2:$T$553,"44562B1Energia convencionalResidencialResidencial baixa renda – faixa 01Não se aplicaNão se aplicaNão se aplica",Mercado_Receita!$N$2:$N$553)</f>
        <v>1.17</v>
      </c>
      <c r="N8" s="13">
        <f>SUMIF(Mercado_Receita!$T$2:$T$553,"44593B1Energia convencionalResidencialResidencial baixa renda – faixa 01Não se aplicaNão se aplicaNão se aplica",Mercado_Receita!$N$2:$N$553)</f>
        <v>2.2599999999999998</v>
      </c>
      <c r="O8" s="13">
        <f>SUMIF(Mercado_Receita!$T$2:$T$553,"44621B1Energia convencionalResidencialResidencial baixa renda – faixa 01Não se aplicaNão se aplicaNão se aplica",Mercado_Receita!$N$2:$N$553)</f>
        <v>2.34</v>
      </c>
      <c r="P8" s="13">
        <f>SUMIF(Mercado_Receita!$T$2:$T$553,"44652B1Energia convencionalResidencialResidencial baixa renda – faixa 01Não se aplicaNão se aplicaNão se aplica",Mercado_Receita!$N$2:$N$553)</f>
        <v>4.08</v>
      </c>
      <c r="Q8" s="13">
        <f>SUMIF(Mercado_Receita!$T$2:$T$553,"44682B1Energia convencionalResidencialResidencial baixa renda – faixa 01Não se aplicaNão se aplicaNão se aplica",Mercado_Receita!$N$2:$N$553)</f>
        <v>4.1509999999999998</v>
      </c>
      <c r="R8" s="13">
        <f>SUMIF(Mercado_Receita!$T$2:$T$553,"44713B1Energia convencionalResidencialResidencial baixa renda – faixa 01Não se aplicaNão se aplicaNão se aplica",Mercado_Receita!$N$2:$N$553)</f>
        <v>4.2300000000000004</v>
      </c>
      <c r="S8" s="13">
        <f>SUMIF(Mercado_Receita!$T$2:$T$553,"44743B1Energia convencionalResidencialResidencial baixa renda – faixa 01Não se aplicaNão se aplicaNão se aplica",Mercado_Receita!$N$2:$N$553)</f>
        <v>3.9</v>
      </c>
      <c r="T8" s="13">
        <f>SUMIF(Mercado_Receita!$T$2:$T$553,"44774B1Energia convencionalResidencialResidencial baixa renda – faixa 01Não se aplicaNão se aplicaNão se aplica",Mercado_Receita!$N$2:$N$553)</f>
        <v>3.93</v>
      </c>
      <c r="U8" s="13">
        <f t="shared" si="0"/>
        <v>30.416</v>
      </c>
      <c r="V8" s="13"/>
      <c r="W8" s="13"/>
    </row>
    <row r="9" spans="1:30" ht="11.25" customHeight="1" x14ac:dyDescent="0.25">
      <c r="A9" s="80"/>
      <c r="B9" s="80"/>
      <c r="C9" s="80"/>
      <c r="D9" s="12" t="s">
        <v>30</v>
      </c>
      <c r="E9" s="12" t="s">
        <v>25</v>
      </c>
      <c r="F9" s="12" t="s">
        <v>25</v>
      </c>
      <c r="G9" s="13" t="s">
        <v>78</v>
      </c>
      <c r="H9" s="13" t="s">
        <v>72</v>
      </c>
      <c r="I9" s="13">
        <f>SUMIF(Mercado_Receita!$T$2:$T$553,"44440B1Energia convencionalResidencialResidencial baixa renda – faixa 02Não se aplicaNão se aplicaNão se aplica",Mercado_Receita!$N$2:$N$553)</f>
        <v>2.0699999999999998</v>
      </c>
      <c r="J9" s="13">
        <f>SUMIF(Mercado_Receita!$T$2:$T$553,"44470B1Energia convencionalResidencialResidencial baixa renda – faixa 02Não se aplicaNão se aplicaNão se aplica",Mercado_Receita!$N$2:$N$553)</f>
        <v>2.2440000000000002</v>
      </c>
      <c r="K9" s="13">
        <f>SUMIF(Mercado_Receita!$T$2:$T$553,"44501B1Energia convencionalResidencialResidencial baixa renda – faixa 02Não se aplicaNão se aplicaNão se aplica",Mercado_Receita!$N$2:$N$553)</f>
        <v>2.5049999999999999</v>
      </c>
      <c r="L9" s="13">
        <f>SUMIF(Mercado_Receita!$T$2:$T$553,"44531B1Energia convencionalResidencialResidencial baixa renda – faixa 02Não se aplicaNão se aplicaNão se aplica",Mercado_Receita!$N$2:$N$553)</f>
        <v>2.444</v>
      </c>
      <c r="M9" s="13">
        <f>SUMIF(Mercado_Receita!$T$2:$T$553,"44562B1Energia convencionalResidencialResidencial baixa renda – faixa 02Não se aplicaNão se aplicaNão se aplica",Mercado_Receita!$N$2:$N$553)</f>
        <v>2.5230000000000001</v>
      </c>
      <c r="N9" s="13">
        <f>SUMIF(Mercado_Receita!$T$2:$T$553,"44593B1Energia convencionalResidencialResidencial baixa renda – faixa 02Não se aplicaNão se aplicaNão se aplica",Mercado_Receita!$N$2:$N$553)</f>
        <v>4.7779999999999996</v>
      </c>
      <c r="O9" s="13">
        <f>SUMIF(Mercado_Receita!$T$2:$T$553,"44621B1Energia convencionalResidencialResidencial baixa renda – faixa 02Não se aplicaNão se aplicaNão se aplica",Mercado_Receita!$N$2:$N$553)</f>
        <v>4.8440000000000003</v>
      </c>
      <c r="P9" s="13">
        <f>SUMIF(Mercado_Receita!$T$2:$T$553,"44652B1Energia convencionalResidencialResidencial baixa renda – faixa 02Não se aplicaNão se aplicaNão se aplica",Mercado_Receita!$N$2:$N$553)</f>
        <v>8.1080000000000005</v>
      </c>
      <c r="Q9" s="13">
        <f>SUMIF(Mercado_Receita!$T$2:$T$553,"44682B1Energia convencionalResidencialResidencial baixa renda – faixa 02Não se aplicaNão se aplicaNão se aplica",Mercado_Receita!$N$2:$N$553)</f>
        <v>8.173</v>
      </c>
      <c r="R9" s="13">
        <f>SUMIF(Mercado_Receita!$T$2:$T$553,"44713B1Energia convencionalResidencialResidencial baixa renda – faixa 02Não se aplicaNão se aplicaNão se aplica",Mercado_Receita!$N$2:$N$553)</f>
        <v>8.3079999999999998</v>
      </c>
      <c r="S9" s="13">
        <f>SUMIF(Mercado_Receita!$T$2:$T$553,"44743B1Energia convencionalResidencialResidencial baixa renda – faixa 02Não se aplicaNão se aplicaNão se aplica",Mercado_Receita!$N$2:$N$553)</f>
        <v>7.3650000000000002</v>
      </c>
      <c r="T9" s="13">
        <f>SUMIF(Mercado_Receita!$T$2:$T$553,"44774B1Energia convencionalResidencialResidencial baixa renda – faixa 02Não se aplicaNão se aplicaNão se aplica",Mercado_Receita!$N$2:$N$553)</f>
        <v>7.5730000000000004</v>
      </c>
      <c r="U9" s="13">
        <f t="shared" si="0"/>
        <v>60.935000000000002</v>
      </c>
      <c r="V9" s="13"/>
      <c r="W9" s="13"/>
    </row>
    <row r="10" spans="1:30" ht="11.25" customHeight="1" x14ac:dyDescent="0.25">
      <c r="A10" s="80"/>
      <c r="B10" s="80"/>
      <c r="C10" s="80"/>
      <c r="D10" s="12" t="s">
        <v>31</v>
      </c>
      <c r="E10" s="12" t="s">
        <v>25</v>
      </c>
      <c r="F10" s="12" t="s">
        <v>25</v>
      </c>
      <c r="G10" s="13" t="s">
        <v>78</v>
      </c>
      <c r="H10" s="13" t="s">
        <v>72</v>
      </c>
      <c r="I10" s="13">
        <f>SUMIF(Mercado_Receita!$T$2:$T$553,"44440B1Energia convencionalResidencialResidencial baixa renda – faixa 03Não se aplicaNão se aplicaNão se aplica",Mercado_Receita!$N$2:$N$553)</f>
        <v>2.093</v>
      </c>
      <c r="J10" s="13">
        <f>SUMIF(Mercado_Receita!$T$2:$T$553,"44470B1Energia convencionalResidencialResidencial baixa renda – faixa 03Não se aplicaNão se aplicaNão se aplica",Mercado_Receita!$N$2:$N$553)</f>
        <v>2.202</v>
      </c>
      <c r="K10" s="13">
        <f>SUMIF(Mercado_Receita!$T$2:$T$553,"44501B1Energia convencionalResidencialResidencial baixa renda – faixa 03Não se aplicaNão se aplicaNão se aplica",Mercado_Receita!$N$2:$N$553)</f>
        <v>2.254</v>
      </c>
      <c r="L10" s="13">
        <f>SUMIF(Mercado_Receita!$T$2:$T$553,"44531B1Energia convencionalResidencialResidencial baixa renda – faixa 03Não se aplicaNão se aplicaNão se aplica",Mercado_Receita!$N$2:$N$553)</f>
        <v>2.601</v>
      </c>
      <c r="M10" s="13">
        <f>SUMIF(Mercado_Receita!$T$2:$T$553,"44562B1Energia convencionalResidencialResidencial baixa renda – faixa 03Não se aplicaNão se aplicaNão se aplica",Mercado_Receita!$N$2:$N$553)</f>
        <v>2.4950000000000001</v>
      </c>
      <c r="N10" s="13">
        <f>SUMIF(Mercado_Receita!$T$2:$T$553,"44593B1Energia convencionalResidencialResidencial baixa renda – faixa 03Não se aplicaNão se aplicaNão se aplica",Mercado_Receita!$N$2:$N$553)</f>
        <v>4.25</v>
      </c>
      <c r="O10" s="13">
        <f>SUMIF(Mercado_Receita!$T$2:$T$553,"44621B1Energia convencionalResidencialResidencial baixa renda – faixa 03Não se aplicaNão se aplicaNão se aplica",Mercado_Receita!$N$2:$N$553)</f>
        <v>4.2169999999999996</v>
      </c>
      <c r="P10" s="13">
        <f>SUMIF(Mercado_Receita!$T$2:$T$553,"44652B1Energia convencionalResidencialResidencial baixa renda – faixa 03Não se aplicaNão se aplicaNão se aplica",Mercado_Receita!$N$2:$N$553)</f>
        <v>7.976</v>
      </c>
      <c r="Q10" s="13">
        <f>SUMIF(Mercado_Receita!$T$2:$T$553,"44682B1Energia convencionalResidencialResidencial baixa renda – faixa 03Não se aplicaNão se aplicaNão se aplica",Mercado_Receita!$N$2:$N$553)</f>
        <v>7.9139999999999997</v>
      </c>
      <c r="R10" s="13">
        <f>SUMIF(Mercado_Receita!$T$2:$T$553,"44713B1Energia convencionalResidencialResidencial baixa renda – faixa 03Não se aplicaNão se aplicaNão se aplica",Mercado_Receita!$N$2:$N$553)</f>
        <v>7.9269999999999996</v>
      </c>
      <c r="S10" s="13">
        <f>SUMIF(Mercado_Receita!$T$2:$T$553,"44743B1Energia convencionalResidencialResidencial baixa renda – faixa 03Não se aplicaNão se aplicaNão se aplica",Mercado_Receita!$N$2:$N$553)</f>
        <v>7.6959999999999997</v>
      </c>
      <c r="T10" s="13">
        <f>SUMIF(Mercado_Receita!$T$2:$T$553,"44774B1Energia convencionalResidencialResidencial baixa renda – faixa 03Não se aplicaNão se aplicaNão se aplica",Mercado_Receita!$N$2:$N$553)</f>
        <v>7.2489999999999997</v>
      </c>
      <c r="U10" s="13">
        <f t="shared" si="0"/>
        <v>58.873999999999995</v>
      </c>
      <c r="V10" s="13"/>
      <c r="W10" s="13"/>
    </row>
    <row r="11" spans="1:30" ht="11.25" customHeight="1" x14ac:dyDescent="0.25">
      <c r="A11" s="80"/>
      <c r="B11" s="80"/>
      <c r="C11" s="80"/>
      <c r="D11" s="12" t="s">
        <v>32</v>
      </c>
      <c r="E11" s="12" t="s">
        <v>25</v>
      </c>
      <c r="F11" s="12" t="s">
        <v>25</v>
      </c>
      <c r="G11" s="13" t="s">
        <v>78</v>
      </c>
      <c r="H11" s="13" t="s">
        <v>72</v>
      </c>
      <c r="I11" s="13">
        <f>SUMIF(Mercado_Receita!$T$2:$T$553,"44440B1Energia convencionalResidencialResidencial baixa renda – faixa 04Não se aplicaNão se aplicaNão se aplica",Mercado_Receita!$N$2:$N$553)</f>
        <v>0.58399999999999996</v>
      </c>
      <c r="J11" s="13">
        <f>SUMIF(Mercado_Receita!$T$2:$T$553,"44470B1Energia convencionalResidencialResidencial baixa renda – faixa 04Não se aplicaNão se aplicaNão se aplica",Mercado_Receita!$N$2:$N$553)</f>
        <v>0.60099999999999998</v>
      </c>
      <c r="K11" s="13">
        <f>SUMIF(Mercado_Receita!$T$2:$T$553,"44501B1Energia convencionalResidencialResidencial baixa renda – faixa 04Não se aplicaNão se aplicaNão se aplica",Mercado_Receita!$N$2:$N$553)</f>
        <v>0.67100000000000004</v>
      </c>
      <c r="L11" s="13">
        <f>SUMIF(Mercado_Receita!$T$2:$T$553,"44531B1Energia convencionalResidencialResidencial baixa renda – faixa 04Não se aplicaNão se aplicaNão se aplica",Mercado_Receita!$N$2:$N$553)</f>
        <v>1.2829999999999999</v>
      </c>
      <c r="M11" s="13">
        <f>SUMIF(Mercado_Receita!$T$2:$T$553,"44562B1Energia convencionalResidencialResidencial baixa renda – faixa 04Não se aplicaNão se aplicaNão se aplica",Mercado_Receita!$N$2:$N$553)</f>
        <v>1.1020000000000001</v>
      </c>
      <c r="N11" s="13">
        <f>SUMIF(Mercado_Receita!$T$2:$T$553,"44593B1Energia convencionalResidencialResidencial baixa renda – faixa 04Não se aplicaNão se aplicaNão se aplica",Mercado_Receita!$N$2:$N$553)</f>
        <v>1.478</v>
      </c>
      <c r="O11" s="13">
        <f>SUMIF(Mercado_Receita!$T$2:$T$553,"44621B1Energia convencionalResidencialResidencial baixa renda – faixa 04Não se aplicaNão se aplicaNão se aplica",Mercado_Receita!$N$2:$N$553)</f>
        <v>2.129</v>
      </c>
      <c r="P11" s="13">
        <f>SUMIF(Mercado_Receita!$T$2:$T$553,"44652B1Energia convencionalResidencialResidencial baixa renda – faixa 04Não se aplicaNão se aplicaNão se aplica",Mercado_Receita!$N$2:$N$553)</f>
        <v>3.052</v>
      </c>
      <c r="Q11" s="13">
        <f>SUMIF(Mercado_Receita!$T$2:$T$553,"44682B1Energia convencionalResidencialResidencial baixa renda – faixa 04Não se aplicaNão se aplicaNão se aplica",Mercado_Receita!$N$2:$N$553)</f>
        <v>2.6309999999999998</v>
      </c>
      <c r="R11" s="13">
        <f>SUMIF(Mercado_Receita!$T$2:$T$553,"44713B1Energia convencionalResidencialResidencial baixa renda – faixa 04Não se aplicaNão se aplicaNão se aplica",Mercado_Receita!$N$2:$N$553)</f>
        <v>3.8069999999999999</v>
      </c>
      <c r="S11" s="13">
        <f>SUMIF(Mercado_Receita!$T$2:$T$553,"44743B1Energia convencionalResidencialResidencial baixa renda – faixa 04Não se aplicaNão se aplicaNão se aplica",Mercado_Receita!$N$2:$N$553)</f>
        <v>2.4139999999999997</v>
      </c>
      <c r="T11" s="13">
        <f>SUMIF(Mercado_Receita!$T$2:$T$553,"44774B1Energia convencionalResidencialResidencial baixa renda – faixa 04Não se aplicaNão se aplicaNão se aplica",Mercado_Receita!$N$2:$N$553)</f>
        <v>2.6739999999999999</v>
      </c>
      <c r="U11" s="13">
        <f t="shared" si="0"/>
        <v>22.426000000000002</v>
      </c>
      <c r="V11" s="13"/>
      <c r="W11" s="13"/>
    </row>
    <row r="12" spans="1:30" ht="11.25" customHeight="1" x14ac:dyDescent="0.25">
      <c r="A12" s="80"/>
      <c r="B12" s="79" t="s">
        <v>86</v>
      </c>
      <c r="C12" s="79" t="s">
        <v>24</v>
      </c>
      <c r="D12" s="12" t="s">
        <v>24</v>
      </c>
      <c r="E12" s="12" t="s">
        <v>25</v>
      </c>
      <c r="F12" s="12" t="s">
        <v>25</v>
      </c>
      <c r="G12" s="13" t="s">
        <v>78</v>
      </c>
      <c r="H12" s="13" t="s">
        <v>72</v>
      </c>
      <c r="I12" s="13">
        <f>SUMIF(Mercado_Receita!$T$2:$T$553,"44440B1Energia convencional pré-pagamentoResidencialResidencialNão se aplicaNão se aplicaNão se aplica",Mercado_Receita!$N$2:$N$553)</f>
        <v>0</v>
      </c>
      <c r="J12" s="13">
        <f>SUMIF(Mercado_Receita!$T$2:$T$553,"44470B1Energia convencional pré-pagamentoResidencialResidencialNão se aplicaNão se aplicaNão se aplica",Mercado_Receita!$N$2:$N$553)</f>
        <v>0</v>
      </c>
      <c r="K12" s="13">
        <f>SUMIF(Mercado_Receita!$T$2:$T$553,"44501B1Energia convencional pré-pagamentoResidencialResidencialNão se aplicaNão se aplicaNão se aplica",Mercado_Receita!$N$2:$N$553)</f>
        <v>0</v>
      </c>
      <c r="L12" s="13">
        <f>SUMIF(Mercado_Receita!$T$2:$T$553,"44531B1Energia convencional pré-pagamentoResidencialResidencialNão se aplicaNão se aplicaNão se aplica",Mercado_Receita!$N$2:$N$553)</f>
        <v>0</v>
      </c>
      <c r="M12" s="13">
        <f>SUMIF(Mercado_Receita!$T$2:$T$553,"44562B1Energia convencional pré-pagamentoResidencialResidencialNão se aplicaNão se aplicaNão se aplica",Mercado_Receita!$N$2:$N$553)</f>
        <v>0</v>
      </c>
      <c r="N12" s="13">
        <f>SUMIF(Mercado_Receita!$T$2:$T$553,"44593B1Energia convencional pré-pagamentoResidencialResidencialNão se aplicaNão se aplicaNão se aplica",Mercado_Receita!$N$2:$N$553)</f>
        <v>0</v>
      </c>
      <c r="O12" s="13">
        <f>SUMIF(Mercado_Receita!$T$2:$T$553,"44621B1Energia convencional pré-pagamentoResidencialResidencialNão se aplicaNão se aplicaNão se aplica",Mercado_Receita!$N$2:$N$553)</f>
        <v>0</v>
      </c>
      <c r="P12" s="13">
        <f>SUMIF(Mercado_Receita!$T$2:$T$553,"44652B1Energia convencional pré-pagamentoResidencialResidencialNão se aplicaNão se aplicaNão se aplica",Mercado_Receita!$N$2:$N$553)</f>
        <v>0</v>
      </c>
      <c r="Q12" s="13">
        <f>SUMIF(Mercado_Receita!$T$2:$T$553,"44682B1Energia convencional pré-pagamentoResidencialResidencialNão se aplicaNão se aplicaNão se aplica",Mercado_Receita!$N$2:$N$553)</f>
        <v>0</v>
      </c>
      <c r="R12" s="13">
        <f>SUMIF(Mercado_Receita!$T$2:$T$553,"44713B1Energia convencional pré-pagamentoResidencialResidencialNão se aplicaNão se aplicaNão se aplica",Mercado_Receita!$N$2:$N$553)</f>
        <v>0</v>
      </c>
      <c r="S12" s="13">
        <f>SUMIF(Mercado_Receita!$T$2:$T$553,"44743B1Energia convencional pré-pagamentoResidencialResidencialNão se aplicaNão se aplicaNão se aplica",Mercado_Receita!$N$2:$N$553)</f>
        <v>0</v>
      </c>
      <c r="T12" s="13">
        <f>SUMIF(Mercado_Receita!$T$2:$T$553,"44774B1Energia convencional pré-pagamentoResidencialResidencialNão se aplicaNão se aplicaNão se aplica",Mercado_Receita!$N$2:$N$553)</f>
        <v>0</v>
      </c>
      <c r="U12" s="13">
        <f t="shared" si="0"/>
        <v>0</v>
      </c>
      <c r="V12" s="13"/>
      <c r="W12" s="13"/>
    </row>
    <row r="13" spans="1:30" ht="11.25" customHeight="1" x14ac:dyDescent="0.25">
      <c r="A13" s="80"/>
      <c r="B13" s="80"/>
      <c r="C13" s="80"/>
      <c r="D13" s="12" t="s">
        <v>29</v>
      </c>
      <c r="E13" s="12" t="s">
        <v>25</v>
      </c>
      <c r="F13" s="12" t="s">
        <v>25</v>
      </c>
      <c r="G13" s="13" t="s">
        <v>78</v>
      </c>
      <c r="H13" s="13" t="s">
        <v>72</v>
      </c>
      <c r="I13" s="13">
        <f>SUMIF(Mercado_Receita!$T$2:$T$553,"44440B1Energia convencional pré-pagamentoResidencialResidencial baixa renda – faixa 01Não se aplicaNão se aplicaNão se aplica",Mercado_Receita!$N$2:$N$553)</f>
        <v>0</v>
      </c>
      <c r="J13" s="13">
        <f>SUMIF(Mercado_Receita!$T$2:$T$553,"44470B1Energia convencional pré-pagamentoResidencialResidencial baixa renda – faixa 01Não se aplicaNão se aplicaNão se aplica",Mercado_Receita!$N$2:$N$553)</f>
        <v>0</v>
      </c>
      <c r="K13" s="13">
        <f>SUMIF(Mercado_Receita!$T$2:$T$553,"44501B1Energia convencional pré-pagamentoResidencialResidencial baixa renda – faixa 01Não se aplicaNão se aplicaNão se aplica",Mercado_Receita!$N$2:$N$553)</f>
        <v>0</v>
      </c>
      <c r="L13" s="13">
        <f>SUMIF(Mercado_Receita!$T$2:$T$553,"44531B1Energia convencional pré-pagamentoResidencialResidencial baixa renda – faixa 01Não se aplicaNão se aplicaNão se aplica",Mercado_Receita!$N$2:$N$553)</f>
        <v>0</v>
      </c>
      <c r="M13" s="13">
        <f>SUMIF(Mercado_Receita!$T$2:$T$553,"44562B1Energia convencional pré-pagamentoResidencialResidencial baixa renda – faixa 01Não se aplicaNão se aplicaNão se aplica",Mercado_Receita!$N$2:$N$553)</f>
        <v>0</v>
      </c>
      <c r="N13" s="13">
        <f>SUMIF(Mercado_Receita!$T$2:$T$553,"44593B1Energia convencional pré-pagamentoResidencialResidencial baixa renda – faixa 01Não se aplicaNão se aplicaNão se aplica",Mercado_Receita!$N$2:$N$553)</f>
        <v>0</v>
      </c>
      <c r="O13" s="13">
        <f>SUMIF(Mercado_Receita!$T$2:$T$553,"44621B1Energia convencional pré-pagamentoResidencialResidencial baixa renda – faixa 01Não se aplicaNão se aplicaNão se aplica",Mercado_Receita!$N$2:$N$553)</f>
        <v>0</v>
      </c>
      <c r="P13" s="13">
        <f>SUMIF(Mercado_Receita!$T$2:$T$553,"44652B1Energia convencional pré-pagamentoResidencialResidencial baixa renda – faixa 01Não se aplicaNão se aplicaNão se aplica",Mercado_Receita!$N$2:$N$553)</f>
        <v>0</v>
      </c>
      <c r="Q13" s="13">
        <f>SUMIF(Mercado_Receita!$T$2:$T$553,"44682B1Energia convencional pré-pagamentoResidencialResidencial baixa renda – faixa 01Não se aplicaNão se aplicaNão se aplica",Mercado_Receita!$N$2:$N$553)</f>
        <v>0</v>
      </c>
      <c r="R13" s="13">
        <f>SUMIF(Mercado_Receita!$T$2:$T$553,"44713B1Energia convencional pré-pagamentoResidencialResidencial baixa renda – faixa 01Não se aplicaNão se aplicaNão se aplica",Mercado_Receita!$N$2:$N$553)</f>
        <v>0</v>
      </c>
      <c r="S13" s="13">
        <f>SUMIF(Mercado_Receita!$T$2:$T$553,"44743B1Energia convencional pré-pagamentoResidencialResidencial baixa renda – faixa 01Não se aplicaNão se aplicaNão se aplica",Mercado_Receita!$N$2:$N$553)</f>
        <v>0</v>
      </c>
      <c r="T13" s="13">
        <f>SUMIF(Mercado_Receita!$T$2:$T$553,"44774B1Energia convencional pré-pagamentoResidencialResidencial baixa renda – faixa 01Não se aplicaNão se aplicaNão se aplica",Mercado_Receita!$N$2:$N$553)</f>
        <v>0</v>
      </c>
      <c r="U13" s="13">
        <f t="shared" si="0"/>
        <v>0</v>
      </c>
      <c r="V13" s="13"/>
      <c r="W13" s="13"/>
    </row>
    <row r="14" spans="1:30" ht="11.25" customHeight="1" x14ac:dyDescent="0.25">
      <c r="A14" s="80"/>
      <c r="B14" s="80"/>
      <c r="C14" s="80"/>
      <c r="D14" s="12" t="s">
        <v>30</v>
      </c>
      <c r="E14" s="12" t="s">
        <v>25</v>
      </c>
      <c r="F14" s="12" t="s">
        <v>25</v>
      </c>
      <c r="G14" s="13" t="s">
        <v>78</v>
      </c>
      <c r="H14" s="13" t="s">
        <v>72</v>
      </c>
      <c r="I14" s="13">
        <f>SUMIF(Mercado_Receita!$T$2:$T$553,"44440B1Energia convencional pré-pagamentoResidencialResidencial baixa renda – faixa 02Não se aplicaNão se aplicaNão se aplica",Mercado_Receita!$N$2:$N$553)</f>
        <v>0</v>
      </c>
      <c r="J14" s="13">
        <f>SUMIF(Mercado_Receita!$T$2:$T$553,"44470B1Energia convencional pré-pagamentoResidencialResidencial baixa renda – faixa 02Não se aplicaNão se aplicaNão se aplica",Mercado_Receita!$N$2:$N$553)</f>
        <v>0</v>
      </c>
      <c r="K14" s="13">
        <f>SUMIF(Mercado_Receita!$T$2:$T$553,"44501B1Energia convencional pré-pagamentoResidencialResidencial baixa renda – faixa 02Não se aplicaNão se aplicaNão se aplica",Mercado_Receita!$N$2:$N$553)</f>
        <v>0</v>
      </c>
      <c r="L14" s="13">
        <f>SUMIF(Mercado_Receita!$T$2:$T$553,"44531B1Energia convencional pré-pagamentoResidencialResidencial baixa renda – faixa 02Não se aplicaNão se aplicaNão se aplica",Mercado_Receita!$N$2:$N$553)</f>
        <v>0</v>
      </c>
      <c r="M14" s="13">
        <f>SUMIF(Mercado_Receita!$T$2:$T$553,"44562B1Energia convencional pré-pagamentoResidencialResidencial baixa renda – faixa 02Não se aplicaNão se aplicaNão se aplica",Mercado_Receita!$N$2:$N$553)</f>
        <v>0</v>
      </c>
      <c r="N14" s="13">
        <f>SUMIF(Mercado_Receita!$T$2:$T$553,"44593B1Energia convencional pré-pagamentoResidencialResidencial baixa renda – faixa 02Não se aplicaNão se aplicaNão se aplica",Mercado_Receita!$N$2:$N$553)</f>
        <v>0</v>
      </c>
      <c r="O14" s="13">
        <f>SUMIF(Mercado_Receita!$T$2:$T$553,"44621B1Energia convencional pré-pagamentoResidencialResidencial baixa renda – faixa 02Não se aplicaNão se aplicaNão se aplica",Mercado_Receita!$N$2:$N$553)</f>
        <v>0</v>
      </c>
      <c r="P14" s="13">
        <f>SUMIF(Mercado_Receita!$T$2:$T$553,"44652B1Energia convencional pré-pagamentoResidencialResidencial baixa renda – faixa 02Não se aplicaNão se aplicaNão se aplica",Mercado_Receita!$N$2:$N$553)</f>
        <v>0</v>
      </c>
      <c r="Q14" s="13">
        <f>SUMIF(Mercado_Receita!$T$2:$T$553,"44682B1Energia convencional pré-pagamentoResidencialResidencial baixa renda – faixa 02Não se aplicaNão se aplicaNão se aplica",Mercado_Receita!$N$2:$N$553)</f>
        <v>0</v>
      </c>
      <c r="R14" s="13">
        <f>SUMIF(Mercado_Receita!$T$2:$T$553,"44713B1Energia convencional pré-pagamentoResidencialResidencial baixa renda – faixa 02Não se aplicaNão se aplicaNão se aplica",Mercado_Receita!$N$2:$N$553)</f>
        <v>0</v>
      </c>
      <c r="S14" s="13">
        <f>SUMIF(Mercado_Receita!$T$2:$T$553,"44743B1Energia convencional pré-pagamentoResidencialResidencial baixa renda – faixa 02Não se aplicaNão se aplicaNão se aplica",Mercado_Receita!$N$2:$N$553)</f>
        <v>0</v>
      </c>
      <c r="T14" s="13">
        <f>SUMIF(Mercado_Receita!$T$2:$T$553,"44774B1Energia convencional pré-pagamentoResidencialResidencial baixa renda – faixa 02Não se aplicaNão se aplicaNão se aplica",Mercado_Receita!$N$2:$N$553)</f>
        <v>0</v>
      </c>
      <c r="U14" s="13">
        <f t="shared" si="0"/>
        <v>0</v>
      </c>
      <c r="V14" s="13"/>
      <c r="W14" s="13"/>
    </row>
    <row r="15" spans="1:30" ht="11.25" customHeight="1" x14ac:dyDescent="0.25">
      <c r="A15" s="80"/>
      <c r="B15" s="80"/>
      <c r="C15" s="80"/>
      <c r="D15" s="12" t="s">
        <v>31</v>
      </c>
      <c r="E15" s="12" t="s">
        <v>25</v>
      </c>
      <c r="F15" s="12" t="s">
        <v>25</v>
      </c>
      <c r="G15" s="13" t="s">
        <v>78</v>
      </c>
      <c r="H15" s="13" t="s">
        <v>72</v>
      </c>
      <c r="I15" s="13">
        <f>SUMIF(Mercado_Receita!$T$2:$T$553,"44440B1Energia convencional pré-pagamentoResidencialResidencial baixa renda – faixa 03Não se aplicaNão se aplicaNão se aplica",Mercado_Receita!$N$2:$N$553)</f>
        <v>0</v>
      </c>
      <c r="J15" s="13">
        <f>SUMIF(Mercado_Receita!$T$2:$T$553,"44470B1Energia convencional pré-pagamentoResidencialResidencial baixa renda – faixa 03Não se aplicaNão se aplicaNão se aplica",Mercado_Receita!$N$2:$N$553)</f>
        <v>0</v>
      </c>
      <c r="K15" s="13">
        <f>SUMIF(Mercado_Receita!$T$2:$T$553,"44501B1Energia convencional pré-pagamentoResidencialResidencial baixa renda – faixa 03Não se aplicaNão se aplicaNão se aplica",Mercado_Receita!$N$2:$N$553)</f>
        <v>0</v>
      </c>
      <c r="L15" s="13">
        <f>SUMIF(Mercado_Receita!$T$2:$T$553,"44531B1Energia convencional pré-pagamentoResidencialResidencial baixa renda – faixa 03Não se aplicaNão se aplicaNão se aplica",Mercado_Receita!$N$2:$N$553)</f>
        <v>0</v>
      </c>
      <c r="M15" s="13">
        <f>SUMIF(Mercado_Receita!$T$2:$T$553,"44562B1Energia convencional pré-pagamentoResidencialResidencial baixa renda – faixa 03Não se aplicaNão se aplicaNão se aplica",Mercado_Receita!$N$2:$N$553)</f>
        <v>0</v>
      </c>
      <c r="N15" s="13">
        <f>SUMIF(Mercado_Receita!$T$2:$T$553,"44593B1Energia convencional pré-pagamentoResidencialResidencial baixa renda – faixa 03Não se aplicaNão se aplicaNão se aplica",Mercado_Receita!$N$2:$N$553)</f>
        <v>0</v>
      </c>
      <c r="O15" s="13">
        <f>SUMIF(Mercado_Receita!$T$2:$T$553,"44621B1Energia convencional pré-pagamentoResidencialResidencial baixa renda – faixa 03Não se aplicaNão se aplicaNão se aplica",Mercado_Receita!$N$2:$N$553)</f>
        <v>0</v>
      </c>
      <c r="P15" s="13">
        <f>SUMIF(Mercado_Receita!$T$2:$T$553,"44652B1Energia convencional pré-pagamentoResidencialResidencial baixa renda – faixa 03Não se aplicaNão se aplicaNão se aplica",Mercado_Receita!$N$2:$N$553)</f>
        <v>0</v>
      </c>
      <c r="Q15" s="13">
        <f>SUMIF(Mercado_Receita!$T$2:$T$553,"44682B1Energia convencional pré-pagamentoResidencialResidencial baixa renda – faixa 03Não se aplicaNão se aplicaNão se aplica",Mercado_Receita!$N$2:$N$553)</f>
        <v>0</v>
      </c>
      <c r="R15" s="13">
        <f>SUMIF(Mercado_Receita!$T$2:$T$553,"44713B1Energia convencional pré-pagamentoResidencialResidencial baixa renda – faixa 03Não se aplicaNão se aplicaNão se aplica",Mercado_Receita!$N$2:$N$553)</f>
        <v>0</v>
      </c>
      <c r="S15" s="13">
        <f>SUMIF(Mercado_Receita!$T$2:$T$553,"44743B1Energia convencional pré-pagamentoResidencialResidencial baixa renda – faixa 03Não se aplicaNão se aplicaNão se aplica",Mercado_Receita!$N$2:$N$553)</f>
        <v>0</v>
      </c>
      <c r="T15" s="13">
        <f>SUMIF(Mercado_Receita!$T$2:$T$553,"44774B1Energia convencional pré-pagamentoResidencialResidencial baixa renda – faixa 03Não se aplicaNão se aplicaNão se aplica",Mercado_Receita!$N$2:$N$553)</f>
        <v>0</v>
      </c>
      <c r="U15" s="13">
        <f t="shared" si="0"/>
        <v>0</v>
      </c>
      <c r="V15" s="13"/>
      <c r="W15" s="13"/>
    </row>
    <row r="16" spans="1:30" ht="11.25" customHeight="1" x14ac:dyDescent="0.25">
      <c r="A16" s="80"/>
      <c r="B16" s="80"/>
      <c r="C16" s="80"/>
      <c r="D16" s="12" t="s">
        <v>32</v>
      </c>
      <c r="E16" s="12" t="s">
        <v>25</v>
      </c>
      <c r="F16" s="12" t="s">
        <v>25</v>
      </c>
      <c r="G16" s="13" t="s">
        <v>78</v>
      </c>
      <c r="H16" s="13" t="s">
        <v>72</v>
      </c>
      <c r="I16" s="13">
        <f>SUMIF(Mercado_Receita!$T$2:$T$553,"44440B1Energia convencional pré-pagamentoResidencialResidencial baixa renda – faixa 04Não se aplicaNão se aplicaNão se aplica",Mercado_Receita!$N$2:$N$553)</f>
        <v>0</v>
      </c>
      <c r="J16" s="13">
        <f>SUMIF(Mercado_Receita!$T$2:$T$553,"44470B1Energia convencional pré-pagamentoResidencialResidencial baixa renda – faixa 04Não se aplicaNão se aplicaNão se aplica",Mercado_Receita!$N$2:$N$553)</f>
        <v>0</v>
      </c>
      <c r="K16" s="13">
        <f>SUMIF(Mercado_Receita!$T$2:$T$553,"44501B1Energia convencional pré-pagamentoResidencialResidencial baixa renda – faixa 04Não se aplicaNão se aplicaNão se aplica",Mercado_Receita!$N$2:$N$553)</f>
        <v>0</v>
      </c>
      <c r="L16" s="13">
        <f>SUMIF(Mercado_Receita!$T$2:$T$553,"44531B1Energia convencional pré-pagamentoResidencialResidencial baixa renda – faixa 04Não se aplicaNão se aplicaNão se aplica",Mercado_Receita!$N$2:$N$553)</f>
        <v>0</v>
      </c>
      <c r="M16" s="13">
        <f>SUMIF(Mercado_Receita!$T$2:$T$553,"44562B1Energia convencional pré-pagamentoResidencialResidencial baixa renda – faixa 04Não se aplicaNão se aplicaNão se aplica",Mercado_Receita!$N$2:$N$553)</f>
        <v>0</v>
      </c>
      <c r="N16" s="13">
        <f>SUMIF(Mercado_Receita!$T$2:$T$553,"44593B1Energia convencional pré-pagamentoResidencialResidencial baixa renda – faixa 04Não se aplicaNão se aplicaNão se aplica",Mercado_Receita!$N$2:$N$553)</f>
        <v>0</v>
      </c>
      <c r="O16" s="13">
        <f>SUMIF(Mercado_Receita!$T$2:$T$553,"44621B1Energia convencional pré-pagamentoResidencialResidencial baixa renda – faixa 04Não se aplicaNão se aplicaNão se aplica",Mercado_Receita!$N$2:$N$553)</f>
        <v>0</v>
      </c>
      <c r="P16" s="13">
        <f>SUMIF(Mercado_Receita!$T$2:$T$553,"44652B1Energia convencional pré-pagamentoResidencialResidencial baixa renda – faixa 04Não se aplicaNão se aplicaNão se aplica",Mercado_Receita!$N$2:$N$553)</f>
        <v>0</v>
      </c>
      <c r="Q16" s="13">
        <f>SUMIF(Mercado_Receita!$T$2:$T$553,"44682B1Energia convencional pré-pagamentoResidencialResidencial baixa renda – faixa 04Não se aplicaNão se aplicaNão se aplica",Mercado_Receita!$N$2:$N$553)</f>
        <v>0</v>
      </c>
      <c r="R16" s="13">
        <f>SUMIF(Mercado_Receita!$T$2:$T$553,"44713B1Energia convencional pré-pagamentoResidencialResidencial baixa renda – faixa 04Não se aplicaNão se aplicaNão se aplica",Mercado_Receita!$N$2:$N$553)</f>
        <v>0</v>
      </c>
      <c r="S16" s="13">
        <f>SUMIF(Mercado_Receita!$T$2:$T$553,"44743B1Energia convencional pré-pagamentoResidencialResidencial baixa renda – faixa 04Não se aplicaNão se aplicaNão se aplica",Mercado_Receita!$N$2:$N$553)</f>
        <v>0</v>
      </c>
      <c r="T16" s="13">
        <f>SUMIF(Mercado_Receita!$T$2:$T$553,"44774B1Energia convencional pré-pagamentoResidencialResidencial baixa renda – faixa 04Não se aplicaNão se aplicaNão se aplica",Mercado_Receita!$N$2:$N$553)</f>
        <v>0</v>
      </c>
      <c r="U16" s="13">
        <f t="shared" si="0"/>
        <v>0</v>
      </c>
      <c r="V16" s="13"/>
      <c r="W16" s="13"/>
    </row>
    <row r="17" spans="1:23" ht="11.25" customHeight="1" x14ac:dyDescent="0.25">
      <c r="A17" s="79" t="s">
        <v>40</v>
      </c>
      <c r="B17" s="79" t="s">
        <v>71</v>
      </c>
      <c r="C17" s="79" t="s">
        <v>41</v>
      </c>
      <c r="D17" s="79" t="s">
        <v>25</v>
      </c>
      <c r="E17" s="79" t="s">
        <v>25</v>
      </c>
      <c r="F17" s="79" t="s">
        <v>25</v>
      </c>
      <c r="G17" s="13" t="s">
        <v>73</v>
      </c>
      <c r="H17" s="13" t="s">
        <v>72</v>
      </c>
      <c r="I17" s="13">
        <f>SUMIF(Mercado_Receita!$T$2:$T$553,"44440B2Energia horáriaRuralNão se aplicaNão se aplicaNão se aplicaPonta",Mercado_Receita!$N$2:$N$553)</f>
        <v>0</v>
      </c>
      <c r="J17" s="13">
        <f>SUMIF(Mercado_Receita!$T$2:$T$553,"44470B2Energia horáriaRuralNão se aplicaNão se aplicaNão se aplicaPonta",Mercado_Receita!$N$2:$N$553)</f>
        <v>0</v>
      </c>
      <c r="K17" s="13">
        <f>SUMIF(Mercado_Receita!$T$2:$T$553,"44501B2Energia horáriaRuralNão se aplicaNão se aplicaNão se aplicaPonta",Mercado_Receita!$N$2:$N$553)</f>
        <v>0</v>
      </c>
      <c r="L17" s="13">
        <f>SUMIF(Mercado_Receita!$T$2:$T$553,"44531B2Energia horáriaRuralNão se aplicaNão se aplicaNão se aplicaPonta",Mercado_Receita!$N$2:$N$553)</f>
        <v>0</v>
      </c>
      <c r="M17" s="13">
        <f>SUMIF(Mercado_Receita!$T$2:$T$553,"44562B2Energia horáriaRuralNão se aplicaNão se aplicaNão se aplicaPonta",Mercado_Receita!$N$2:$N$553)</f>
        <v>0</v>
      </c>
      <c r="N17" s="13">
        <f>SUMIF(Mercado_Receita!$T$2:$T$553,"44593B2Energia horáriaRuralNão se aplicaNão se aplicaNão se aplicaPonta",Mercado_Receita!$N$2:$N$553)</f>
        <v>0</v>
      </c>
      <c r="O17" s="13">
        <f>SUMIF(Mercado_Receita!$T$2:$T$553,"44621B2Energia horáriaRuralNão se aplicaNão se aplicaNão se aplicaPonta",Mercado_Receita!$N$2:$N$553)</f>
        <v>0</v>
      </c>
      <c r="P17" s="13">
        <f>SUMIF(Mercado_Receita!$T$2:$T$553,"44652B2Energia horáriaRuralNão se aplicaNão se aplicaNão se aplicaPonta",Mercado_Receita!$N$2:$N$553)</f>
        <v>0</v>
      </c>
      <c r="Q17" s="13">
        <f>SUMIF(Mercado_Receita!$T$2:$T$553,"44682B2Energia horáriaRuralNão se aplicaNão se aplicaNão se aplicaPonta",Mercado_Receita!$N$2:$N$553)</f>
        <v>0</v>
      </c>
      <c r="R17" s="13">
        <f>SUMIF(Mercado_Receita!$T$2:$T$553,"44713B2Energia horáriaRuralNão se aplicaNão se aplicaNão se aplicaPonta",Mercado_Receita!$N$2:$N$553)</f>
        <v>0</v>
      </c>
      <c r="S17" s="13">
        <f>SUMIF(Mercado_Receita!$T$2:$T$553,"44743B2Energia horáriaRuralNão se aplicaNão se aplicaNão se aplicaPonta",Mercado_Receita!$N$2:$N$553)</f>
        <v>0</v>
      </c>
      <c r="T17" s="13">
        <f>SUMIF(Mercado_Receita!$T$2:$T$553,"44774B2Energia horáriaRuralNão se aplicaNão se aplicaNão se aplicaPonta",Mercado_Receita!$N$2:$N$553)</f>
        <v>0</v>
      </c>
      <c r="U17" s="13">
        <f t="shared" si="0"/>
        <v>0</v>
      </c>
      <c r="V17" s="13"/>
      <c r="W17" s="13"/>
    </row>
    <row r="18" spans="1:23" ht="11.25" customHeight="1" x14ac:dyDescent="0.25">
      <c r="A18" s="80"/>
      <c r="B18" s="80"/>
      <c r="C18" s="80"/>
      <c r="D18" s="80"/>
      <c r="E18" s="80"/>
      <c r="F18" s="80"/>
      <c r="G18" s="13" t="s">
        <v>83</v>
      </c>
      <c r="H18" s="13" t="s">
        <v>72</v>
      </c>
      <c r="I18" s="13">
        <f>SUMIF(Mercado_Receita!$T$2:$T$553,"44440B2Energia horáriaRuralNão se aplicaNão se aplicaNão se aplicaIntermediário",Mercado_Receita!$N$2:$N$553)</f>
        <v>0</v>
      </c>
      <c r="J18" s="13">
        <f>SUMIF(Mercado_Receita!$T$2:$T$553,"44470B2Energia horáriaRuralNão se aplicaNão se aplicaNão se aplicaIntermediário",Mercado_Receita!$N$2:$N$553)</f>
        <v>0</v>
      </c>
      <c r="K18" s="13">
        <f>SUMIF(Mercado_Receita!$T$2:$T$553,"44501B2Energia horáriaRuralNão se aplicaNão se aplicaNão se aplicaIntermediário",Mercado_Receita!$N$2:$N$553)</f>
        <v>0</v>
      </c>
      <c r="L18" s="13">
        <f>SUMIF(Mercado_Receita!$T$2:$T$553,"44531B2Energia horáriaRuralNão se aplicaNão se aplicaNão se aplicaIntermediário",Mercado_Receita!$N$2:$N$553)</f>
        <v>0</v>
      </c>
      <c r="M18" s="13">
        <f>SUMIF(Mercado_Receita!$T$2:$T$553,"44562B2Energia horáriaRuralNão se aplicaNão se aplicaNão se aplicaIntermediário",Mercado_Receita!$N$2:$N$553)</f>
        <v>0</v>
      </c>
      <c r="N18" s="13">
        <f>SUMIF(Mercado_Receita!$T$2:$T$553,"44593B2Energia horáriaRuralNão se aplicaNão se aplicaNão se aplicaIntermediário",Mercado_Receita!$N$2:$N$553)</f>
        <v>0</v>
      </c>
      <c r="O18" s="13">
        <f>SUMIF(Mercado_Receita!$T$2:$T$553,"44621B2Energia horáriaRuralNão se aplicaNão se aplicaNão se aplicaIntermediário",Mercado_Receita!$N$2:$N$553)</f>
        <v>0</v>
      </c>
      <c r="P18" s="13">
        <f>SUMIF(Mercado_Receita!$T$2:$T$553,"44652B2Energia horáriaRuralNão se aplicaNão se aplicaNão se aplicaIntermediário",Mercado_Receita!$N$2:$N$553)</f>
        <v>0</v>
      </c>
      <c r="Q18" s="13">
        <f>SUMIF(Mercado_Receita!$T$2:$T$553,"44682B2Energia horáriaRuralNão se aplicaNão se aplicaNão se aplicaIntermediário",Mercado_Receita!$N$2:$N$553)</f>
        <v>0</v>
      </c>
      <c r="R18" s="13">
        <f>SUMIF(Mercado_Receita!$T$2:$T$553,"44713B2Energia horáriaRuralNão se aplicaNão se aplicaNão se aplicaIntermediário",Mercado_Receita!$N$2:$N$553)</f>
        <v>0</v>
      </c>
      <c r="S18" s="13">
        <f>SUMIF(Mercado_Receita!$T$2:$T$553,"44743B2Energia horáriaRuralNão se aplicaNão se aplicaNão se aplicaIntermediário",Mercado_Receita!$N$2:$N$553)</f>
        <v>0</v>
      </c>
      <c r="T18" s="13">
        <f>SUMIF(Mercado_Receita!$T$2:$T$553,"44774B2Energia horáriaRuralNão se aplicaNão se aplicaNão se aplicaIntermediário",Mercado_Receita!$N$2:$N$553)</f>
        <v>0</v>
      </c>
      <c r="U18" s="13">
        <f t="shared" si="0"/>
        <v>0</v>
      </c>
      <c r="V18" s="13"/>
      <c r="W18" s="13"/>
    </row>
    <row r="19" spans="1:23" ht="11.25" customHeight="1" x14ac:dyDescent="0.25">
      <c r="A19" s="80"/>
      <c r="B19" s="80"/>
      <c r="C19" s="80"/>
      <c r="D19" s="80"/>
      <c r="E19" s="80"/>
      <c r="F19" s="80"/>
      <c r="G19" s="13" t="s">
        <v>74</v>
      </c>
      <c r="H19" s="13" t="s">
        <v>72</v>
      </c>
      <c r="I19" s="13">
        <f>SUMIF(Mercado_Receita!$T$2:$T$553,"44440B2Energia horáriaRuralNão se aplicaNão se aplicaNão se aplicaFora ponta",Mercado_Receita!$N$2:$N$553)</f>
        <v>0</v>
      </c>
      <c r="J19" s="13">
        <f>SUMIF(Mercado_Receita!$T$2:$T$553,"44470B2Energia horáriaRuralNão se aplicaNão se aplicaNão se aplicaFora ponta",Mercado_Receita!$N$2:$N$553)</f>
        <v>0</v>
      </c>
      <c r="K19" s="13">
        <f>SUMIF(Mercado_Receita!$T$2:$T$553,"44501B2Energia horáriaRuralNão se aplicaNão se aplicaNão se aplicaFora ponta",Mercado_Receita!$N$2:$N$553)</f>
        <v>0</v>
      </c>
      <c r="L19" s="13">
        <f>SUMIF(Mercado_Receita!$T$2:$T$553,"44531B2Energia horáriaRuralNão se aplicaNão se aplicaNão se aplicaFora ponta",Mercado_Receita!$N$2:$N$553)</f>
        <v>0</v>
      </c>
      <c r="M19" s="13">
        <f>SUMIF(Mercado_Receita!$T$2:$T$553,"44562B2Energia horáriaRuralNão se aplicaNão se aplicaNão se aplicaFora ponta",Mercado_Receita!$N$2:$N$553)</f>
        <v>0</v>
      </c>
      <c r="N19" s="13">
        <f>SUMIF(Mercado_Receita!$T$2:$T$553,"44593B2Energia horáriaRuralNão se aplicaNão se aplicaNão se aplicaFora ponta",Mercado_Receita!$N$2:$N$553)</f>
        <v>0</v>
      </c>
      <c r="O19" s="13">
        <f>SUMIF(Mercado_Receita!$T$2:$T$553,"44621B2Energia horáriaRuralNão se aplicaNão se aplicaNão se aplicaFora ponta",Mercado_Receita!$N$2:$N$553)</f>
        <v>0</v>
      </c>
      <c r="P19" s="13">
        <f>SUMIF(Mercado_Receita!$T$2:$T$553,"44652B2Energia horáriaRuralNão se aplicaNão se aplicaNão se aplicaFora ponta",Mercado_Receita!$N$2:$N$553)</f>
        <v>0</v>
      </c>
      <c r="Q19" s="13">
        <f>SUMIF(Mercado_Receita!$T$2:$T$553,"44682B2Energia horáriaRuralNão se aplicaNão se aplicaNão se aplicaFora ponta",Mercado_Receita!$N$2:$N$553)</f>
        <v>0</v>
      </c>
      <c r="R19" s="13">
        <f>SUMIF(Mercado_Receita!$T$2:$T$553,"44713B2Energia horáriaRuralNão se aplicaNão se aplicaNão se aplicaFora ponta",Mercado_Receita!$N$2:$N$553)</f>
        <v>0</v>
      </c>
      <c r="S19" s="13">
        <f>SUMIF(Mercado_Receita!$T$2:$T$553,"44743B2Energia horáriaRuralNão se aplicaNão se aplicaNão se aplicaFora ponta",Mercado_Receita!$N$2:$N$553)</f>
        <v>0</v>
      </c>
      <c r="T19" s="13">
        <f>SUMIF(Mercado_Receita!$T$2:$T$553,"44774B2Energia horáriaRuralNão se aplicaNão se aplicaNão se aplicaFora ponta",Mercado_Receita!$N$2:$N$553)</f>
        <v>0</v>
      </c>
      <c r="U19" s="13">
        <f t="shared" si="0"/>
        <v>0</v>
      </c>
      <c r="V19" s="13"/>
      <c r="W19" s="13"/>
    </row>
    <row r="20" spans="1:23" ht="11.25" customHeight="1" x14ac:dyDescent="0.25">
      <c r="A20" s="80"/>
      <c r="B20" s="12" t="s">
        <v>84</v>
      </c>
      <c r="C20" s="12" t="s">
        <v>41</v>
      </c>
      <c r="D20" s="12" t="s">
        <v>25</v>
      </c>
      <c r="E20" s="12" t="s">
        <v>25</v>
      </c>
      <c r="F20" s="12" t="s">
        <v>25</v>
      </c>
      <c r="G20" s="13" t="s">
        <v>78</v>
      </c>
      <c r="H20" s="13" t="s">
        <v>72</v>
      </c>
      <c r="I20" s="13">
        <f>SUMIF(Mercado_Receita!$T$2:$T$553,"44440B2Energia convencionalRuralNão se aplicaNão se aplicaNão se aplicaNão se aplica",Mercado_Receita!$N$2:$N$553)</f>
        <v>3568.9949999999999</v>
      </c>
      <c r="J20" s="13">
        <f>SUMIF(Mercado_Receita!$T$2:$T$553,"44470B2Energia convencionalRuralNão se aplicaNão se aplicaNão se aplicaNão se aplica",Mercado_Receita!$N$2:$N$553)</f>
        <v>3455.7379999999998</v>
      </c>
      <c r="K20" s="13">
        <f>SUMIF(Mercado_Receita!$T$2:$T$553,"44501B2Energia convencionalRuralNão se aplicaNão se aplicaNão se aplicaNão se aplica",Mercado_Receita!$N$2:$N$553)</f>
        <v>3495.123</v>
      </c>
      <c r="L20" s="13">
        <f>SUMIF(Mercado_Receita!$T$2:$T$553,"44531B2Energia convencionalRuralNão se aplicaNão se aplicaNão se aplicaNão se aplica",Mercado_Receita!$N$2:$N$553)</f>
        <v>3377.4789999999998</v>
      </c>
      <c r="M20" s="13">
        <f>SUMIF(Mercado_Receita!$T$2:$T$553,"44562B2Energia convencionalRuralNão se aplicaNão se aplicaNão se aplicaNão se aplica",Mercado_Receita!$N$2:$N$553)</f>
        <v>4126.8440000000001</v>
      </c>
      <c r="N20" s="13">
        <f>SUMIF(Mercado_Receita!$T$2:$T$553,"44593B2Energia convencionalRuralNão se aplicaNão se aplicaNão se aplicaNão se aplica",Mercado_Receita!$N$2:$N$553)</f>
        <v>4025.5819999999999</v>
      </c>
      <c r="O20" s="13">
        <f>SUMIF(Mercado_Receita!$T$2:$T$553,"44621B2Energia convencionalRuralNão se aplicaNão se aplicaNão se aplicaNão se aplica",Mercado_Receita!$N$2:$N$553)</f>
        <v>3545.4850000000001</v>
      </c>
      <c r="P20" s="13">
        <f>SUMIF(Mercado_Receita!$T$2:$T$553,"44652B2Energia convencionalRuralNão se aplicaNão se aplicaNão se aplicaNão se aplica",Mercado_Receita!$N$2:$N$553)</f>
        <v>3155.49</v>
      </c>
      <c r="Q20" s="13">
        <f>SUMIF(Mercado_Receita!$T$2:$T$553,"44682B2Energia convencionalRuralNão se aplicaNão se aplicaNão se aplicaNão se aplica",Mercado_Receita!$N$2:$N$553)</f>
        <v>2815.6629999999996</v>
      </c>
      <c r="R20" s="13">
        <f>SUMIF(Mercado_Receita!$T$2:$T$553,"44713B2Energia convencionalRuralNão se aplicaNão se aplicaNão se aplicaNão se aplica",Mercado_Receita!$N$2:$N$553)</f>
        <v>2882.4470000000001</v>
      </c>
      <c r="S20" s="13">
        <f>SUMIF(Mercado_Receita!$T$2:$T$553,"44743B2Energia convencionalRuralNão se aplicaNão se aplicaNão se aplicaNão se aplica",Mercado_Receita!$N$2:$N$553)</f>
        <v>2812.8679999999999</v>
      </c>
      <c r="T20" s="13">
        <f>SUMIF(Mercado_Receita!$T$2:$T$553,"44774B2Energia convencionalRuralNão se aplicaNão se aplicaNão se aplicaNão se aplica",Mercado_Receita!$N$2:$N$553)</f>
        <v>2795.9539999999997</v>
      </c>
      <c r="U20" s="13">
        <f t="shared" si="0"/>
        <v>40057.667999999998</v>
      </c>
      <c r="V20" s="13"/>
      <c r="W20" s="13"/>
    </row>
    <row r="21" spans="1:23" ht="11.25" customHeight="1" x14ac:dyDescent="0.25">
      <c r="A21" s="80"/>
      <c r="B21" s="79" t="s">
        <v>71</v>
      </c>
      <c r="C21" s="79" t="s">
        <v>41</v>
      </c>
      <c r="D21" s="79" t="s">
        <v>88</v>
      </c>
      <c r="E21" s="79" t="s">
        <v>25</v>
      </c>
      <c r="F21" s="79" t="s">
        <v>25</v>
      </c>
      <c r="G21" s="13" t="s">
        <v>73</v>
      </c>
      <c r="H21" s="13" t="s">
        <v>72</v>
      </c>
      <c r="I21" s="13">
        <f>SUMIF(Mercado_Receita!$T$2:$T$553,"44440B2Energia horáriaRuralCooperativa de eletrificação ruralNão se aplicaNão se aplicaPonta",Mercado_Receita!$N$2:$N$553)</f>
        <v>0</v>
      </c>
      <c r="J21" s="13">
        <f>SUMIF(Mercado_Receita!$T$2:$T$553,"44470B2Energia horáriaRuralCooperativa de eletrificação ruralNão se aplicaNão se aplicaPonta",Mercado_Receita!$N$2:$N$553)</f>
        <v>0</v>
      </c>
      <c r="K21" s="13">
        <f>SUMIF(Mercado_Receita!$T$2:$T$553,"44501B2Energia horáriaRuralCooperativa de eletrificação ruralNão se aplicaNão se aplicaPonta",Mercado_Receita!$N$2:$N$553)</f>
        <v>0</v>
      </c>
      <c r="L21" s="13">
        <f>SUMIF(Mercado_Receita!$T$2:$T$553,"44531B2Energia horáriaRuralCooperativa de eletrificação ruralNão se aplicaNão se aplicaPonta",Mercado_Receita!$N$2:$N$553)</f>
        <v>0</v>
      </c>
      <c r="M21" s="13">
        <f>SUMIF(Mercado_Receita!$T$2:$T$553,"44562B2Energia horáriaRuralCooperativa de eletrificação ruralNão se aplicaNão se aplicaPonta",Mercado_Receita!$N$2:$N$553)</f>
        <v>0</v>
      </c>
      <c r="N21" s="13">
        <f>SUMIF(Mercado_Receita!$T$2:$T$553,"44593B2Energia horáriaRuralCooperativa de eletrificação ruralNão se aplicaNão se aplicaPonta",Mercado_Receita!$N$2:$N$553)</f>
        <v>0</v>
      </c>
      <c r="O21" s="13">
        <f>SUMIF(Mercado_Receita!$T$2:$T$553,"44621B2Energia horáriaRuralCooperativa de eletrificação ruralNão se aplicaNão se aplicaPonta",Mercado_Receita!$N$2:$N$553)</f>
        <v>0</v>
      </c>
      <c r="P21" s="13">
        <f>SUMIF(Mercado_Receita!$T$2:$T$553,"44652B2Energia horáriaRuralCooperativa de eletrificação ruralNão se aplicaNão se aplicaPonta",Mercado_Receita!$N$2:$N$553)</f>
        <v>0</v>
      </c>
      <c r="Q21" s="13">
        <f>SUMIF(Mercado_Receita!$T$2:$T$553,"44682B2Energia horáriaRuralCooperativa de eletrificação ruralNão se aplicaNão se aplicaPonta",Mercado_Receita!$N$2:$N$553)</f>
        <v>0</v>
      </c>
      <c r="R21" s="13">
        <f>SUMIF(Mercado_Receita!$T$2:$T$553,"44713B2Energia horáriaRuralCooperativa de eletrificação ruralNão se aplicaNão se aplicaPonta",Mercado_Receita!$N$2:$N$553)</f>
        <v>0</v>
      </c>
      <c r="S21" s="13">
        <f>SUMIF(Mercado_Receita!$T$2:$T$553,"44743B2Energia horáriaRuralCooperativa de eletrificação ruralNão se aplicaNão se aplicaPonta",Mercado_Receita!$N$2:$N$553)</f>
        <v>0</v>
      </c>
      <c r="T21" s="13">
        <f>SUMIF(Mercado_Receita!$T$2:$T$553,"44774B2Energia horáriaRuralCooperativa de eletrificação ruralNão se aplicaNão se aplicaPonta",Mercado_Receita!$N$2:$N$553)</f>
        <v>0</v>
      </c>
      <c r="U21" s="13">
        <f t="shared" si="0"/>
        <v>0</v>
      </c>
      <c r="V21" s="13"/>
      <c r="W21" s="13"/>
    </row>
    <row r="22" spans="1:23" ht="11.25" customHeight="1" x14ac:dyDescent="0.25">
      <c r="A22" s="80"/>
      <c r="B22" s="80"/>
      <c r="C22" s="80"/>
      <c r="D22" s="80"/>
      <c r="E22" s="80"/>
      <c r="F22" s="80"/>
      <c r="G22" s="13" t="s">
        <v>83</v>
      </c>
      <c r="H22" s="13" t="s">
        <v>72</v>
      </c>
      <c r="I22" s="13">
        <f>SUMIF(Mercado_Receita!$T$2:$T$553,"44440B2Energia horáriaRuralCooperativa de eletrificação ruralNão se aplicaNão se aplicaIntermediário",Mercado_Receita!$N$2:$N$553)</f>
        <v>0</v>
      </c>
      <c r="J22" s="13">
        <f>SUMIF(Mercado_Receita!$T$2:$T$553,"44470B2Energia horáriaRuralCooperativa de eletrificação ruralNão se aplicaNão se aplicaIntermediário",Mercado_Receita!$N$2:$N$553)</f>
        <v>0</v>
      </c>
      <c r="K22" s="13">
        <f>SUMIF(Mercado_Receita!$T$2:$T$553,"44501B2Energia horáriaRuralCooperativa de eletrificação ruralNão se aplicaNão se aplicaIntermediário",Mercado_Receita!$N$2:$N$553)</f>
        <v>0</v>
      </c>
      <c r="L22" s="13">
        <f>SUMIF(Mercado_Receita!$T$2:$T$553,"44531B2Energia horáriaRuralCooperativa de eletrificação ruralNão se aplicaNão se aplicaIntermediário",Mercado_Receita!$N$2:$N$553)</f>
        <v>0</v>
      </c>
      <c r="M22" s="13">
        <f>SUMIF(Mercado_Receita!$T$2:$T$553,"44562B2Energia horáriaRuralCooperativa de eletrificação ruralNão se aplicaNão se aplicaIntermediário",Mercado_Receita!$N$2:$N$553)</f>
        <v>0</v>
      </c>
      <c r="N22" s="13">
        <f>SUMIF(Mercado_Receita!$T$2:$T$553,"44593B2Energia horáriaRuralCooperativa de eletrificação ruralNão se aplicaNão se aplicaIntermediário",Mercado_Receita!$N$2:$N$553)</f>
        <v>0</v>
      </c>
      <c r="O22" s="13">
        <f>SUMIF(Mercado_Receita!$T$2:$T$553,"44621B2Energia horáriaRuralCooperativa de eletrificação ruralNão se aplicaNão se aplicaIntermediário",Mercado_Receita!$N$2:$N$553)</f>
        <v>0</v>
      </c>
      <c r="P22" s="13">
        <f>SUMIF(Mercado_Receita!$T$2:$T$553,"44652B2Energia horáriaRuralCooperativa de eletrificação ruralNão se aplicaNão se aplicaIntermediário",Mercado_Receita!$N$2:$N$553)</f>
        <v>0</v>
      </c>
      <c r="Q22" s="13">
        <f>SUMIF(Mercado_Receita!$T$2:$T$553,"44682B2Energia horáriaRuralCooperativa de eletrificação ruralNão se aplicaNão se aplicaIntermediário",Mercado_Receita!$N$2:$N$553)</f>
        <v>0</v>
      </c>
      <c r="R22" s="13">
        <f>SUMIF(Mercado_Receita!$T$2:$T$553,"44713B2Energia horáriaRuralCooperativa de eletrificação ruralNão se aplicaNão se aplicaIntermediário",Mercado_Receita!$N$2:$N$553)</f>
        <v>0</v>
      </c>
      <c r="S22" s="13">
        <f>SUMIF(Mercado_Receita!$T$2:$T$553,"44743B2Energia horáriaRuralCooperativa de eletrificação ruralNão se aplicaNão se aplicaIntermediário",Mercado_Receita!$N$2:$N$553)</f>
        <v>0</v>
      </c>
      <c r="T22" s="13">
        <f>SUMIF(Mercado_Receita!$T$2:$T$553,"44774B2Energia horáriaRuralCooperativa de eletrificação ruralNão se aplicaNão se aplicaIntermediário",Mercado_Receita!$N$2:$N$553)</f>
        <v>0</v>
      </c>
      <c r="U22" s="13">
        <f t="shared" si="0"/>
        <v>0</v>
      </c>
      <c r="V22" s="13"/>
      <c r="W22" s="13"/>
    </row>
    <row r="23" spans="1:23" ht="11.25" customHeight="1" x14ac:dyDescent="0.25">
      <c r="A23" s="80"/>
      <c r="B23" s="80"/>
      <c r="C23" s="80"/>
      <c r="D23" s="80"/>
      <c r="E23" s="80"/>
      <c r="F23" s="80"/>
      <c r="G23" s="13" t="s">
        <v>74</v>
      </c>
      <c r="H23" s="13" t="s">
        <v>72</v>
      </c>
      <c r="I23" s="13">
        <f>SUMIF(Mercado_Receita!$T$2:$T$553,"44440B2Energia horáriaRuralCooperativa de eletrificação ruralNão se aplicaNão se aplicaFora ponta",Mercado_Receita!$N$2:$N$553)</f>
        <v>0</v>
      </c>
      <c r="J23" s="13">
        <f>SUMIF(Mercado_Receita!$T$2:$T$553,"44470B2Energia horáriaRuralCooperativa de eletrificação ruralNão se aplicaNão se aplicaFora ponta",Mercado_Receita!$N$2:$N$553)</f>
        <v>0</v>
      </c>
      <c r="K23" s="13">
        <f>SUMIF(Mercado_Receita!$T$2:$T$553,"44501B2Energia horáriaRuralCooperativa de eletrificação ruralNão se aplicaNão se aplicaFora ponta",Mercado_Receita!$N$2:$N$553)</f>
        <v>0</v>
      </c>
      <c r="L23" s="13">
        <f>SUMIF(Mercado_Receita!$T$2:$T$553,"44531B2Energia horáriaRuralCooperativa de eletrificação ruralNão se aplicaNão se aplicaFora ponta",Mercado_Receita!$N$2:$N$553)</f>
        <v>0</v>
      </c>
      <c r="M23" s="13">
        <f>SUMIF(Mercado_Receita!$T$2:$T$553,"44562B2Energia horáriaRuralCooperativa de eletrificação ruralNão se aplicaNão se aplicaFora ponta",Mercado_Receita!$N$2:$N$553)</f>
        <v>0</v>
      </c>
      <c r="N23" s="13">
        <f>SUMIF(Mercado_Receita!$T$2:$T$553,"44593B2Energia horáriaRuralCooperativa de eletrificação ruralNão se aplicaNão se aplicaFora ponta",Mercado_Receita!$N$2:$N$553)</f>
        <v>0</v>
      </c>
      <c r="O23" s="13">
        <f>SUMIF(Mercado_Receita!$T$2:$T$553,"44621B2Energia horáriaRuralCooperativa de eletrificação ruralNão se aplicaNão se aplicaFora ponta",Mercado_Receita!$N$2:$N$553)</f>
        <v>0</v>
      </c>
      <c r="P23" s="13">
        <f>SUMIF(Mercado_Receita!$T$2:$T$553,"44652B2Energia horáriaRuralCooperativa de eletrificação ruralNão se aplicaNão se aplicaFora ponta",Mercado_Receita!$N$2:$N$553)</f>
        <v>0</v>
      </c>
      <c r="Q23" s="13">
        <f>SUMIF(Mercado_Receita!$T$2:$T$553,"44682B2Energia horáriaRuralCooperativa de eletrificação ruralNão se aplicaNão se aplicaFora ponta",Mercado_Receita!$N$2:$N$553)</f>
        <v>0</v>
      </c>
      <c r="R23" s="13">
        <f>SUMIF(Mercado_Receita!$T$2:$T$553,"44713B2Energia horáriaRuralCooperativa de eletrificação ruralNão se aplicaNão se aplicaFora ponta",Mercado_Receita!$N$2:$N$553)</f>
        <v>0</v>
      </c>
      <c r="S23" s="13">
        <f>SUMIF(Mercado_Receita!$T$2:$T$553,"44743B2Energia horáriaRuralCooperativa de eletrificação ruralNão se aplicaNão se aplicaFora ponta",Mercado_Receita!$N$2:$N$553)</f>
        <v>0</v>
      </c>
      <c r="T23" s="13">
        <f>SUMIF(Mercado_Receita!$T$2:$T$553,"44774B2Energia horáriaRuralCooperativa de eletrificação ruralNão se aplicaNão se aplicaFora ponta",Mercado_Receita!$N$2:$N$553)</f>
        <v>0</v>
      </c>
      <c r="U23" s="13">
        <f t="shared" si="0"/>
        <v>0</v>
      </c>
      <c r="V23" s="13"/>
      <c r="W23" s="13"/>
    </row>
    <row r="24" spans="1:23" ht="11.25" customHeight="1" x14ac:dyDescent="0.25">
      <c r="A24" s="80"/>
      <c r="B24" s="12" t="s">
        <v>84</v>
      </c>
      <c r="C24" s="12" t="s">
        <v>41</v>
      </c>
      <c r="D24" s="12" t="s">
        <v>88</v>
      </c>
      <c r="E24" s="12" t="s">
        <v>25</v>
      </c>
      <c r="F24" s="12" t="s">
        <v>25</v>
      </c>
      <c r="G24" s="13" t="s">
        <v>78</v>
      </c>
      <c r="H24" s="13" t="s">
        <v>72</v>
      </c>
      <c r="I24" s="13">
        <f>SUMIF(Mercado_Receita!$T$2:$T$553,"44440B2Energia convencionalRuralCooperativa de eletrificação ruralNão se aplicaNão se aplicaNão se aplica",Mercado_Receita!$N$2:$N$553)</f>
        <v>0</v>
      </c>
      <c r="J24" s="13">
        <f>SUMIF(Mercado_Receita!$T$2:$T$553,"44470B2Energia convencionalRuralCooperativa de eletrificação ruralNão se aplicaNão se aplicaNão se aplica",Mercado_Receita!$N$2:$N$553)</f>
        <v>0</v>
      </c>
      <c r="K24" s="13">
        <f>SUMIF(Mercado_Receita!$T$2:$T$553,"44501B2Energia convencionalRuralCooperativa de eletrificação ruralNão se aplicaNão se aplicaNão se aplica",Mercado_Receita!$N$2:$N$553)</f>
        <v>0</v>
      </c>
      <c r="L24" s="13">
        <f>SUMIF(Mercado_Receita!$T$2:$T$553,"44531B2Energia convencionalRuralCooperativa de eletrificação ruralNão se aplicaNão se aplicaNão se aplica",Mercado_Receita!$N$2:$N$553)</f>
        <v>0</v>
      </c>
      <c r="M24" s="13">
        <f>SUMIF(Mercado_Receita!$T$2:$T$553,"44562B2Energia convencionalRuralCooperativa de eletrificação ruralNão se aplicaNão se aplicaNão se aplica",Mercado_Receita!$N$2:$N$553)</f>
        <v>0</v>
      </c>
      <c r="N24" s="13">
        <f>SUMIF(Mercado_Receita!$T$2:$T$553,"44593B2Energia convencionalRuralCooperativa de eletrificação ruralNão se aplicaNão se aplicaNão se aplica",Mercado_Receita!$N$2:$N$553)</f>
        <v>0</v>
      </c>
      <c r="O24" s="13">
        <f>SUMIF(Mercado_Receita!$T$2:$T$553,"44621B2Energia convencionalRuralCooperativa de eletrificação ruralNão se aplicaNão se aplicaNão se aplica",Mercado_Receita!$N$2:$N$553)</f>
        <v>0</v>
      </c>
      <c r="P24" s="13">
        <f>SUMIF(Mercado_Receita!$T$2:$T$553,"44652B2Energia convencionalRuralCooperativa de eletrificação ruralNão se aplicaNão se aplicaNão se aplica",Mercado_Receita!$N$2:$N$553)</f>
        <v>0</v>
      </c>
      <c r="Q24" s="13">
        <f>SUMIF(Mercado_Receita!$T$2:$T$553,"44682B2Energia convencionalRuralCooperativa de eletrificação ruralNão se aplicaNão se aplicaNão se aplica",Mercado_Receita!$N$2:$N$553)</f>
        <v>0</v>
      </c>
      <c r="R24" s="13">
        <f>SUMIF(Mercado_Receita!$T$2:$T$553,"44713B2Energia convencionalRuralCooperativa de eletrificação ruralNão se aplicaNão se aplicaNão se aplica",Mercado_Receita!$N$2:$N$553)</f>
        <v>0</v>
      </c>
      <c r="S24" s="13">
        <f>SUMIF(Mercado_Receita!$T$2:$T$553,"44743B2Energia convencionalRuralCooperativa de eletrificação ruralNão se aplicaNão se aplicaNão se aplica",Mercado_Receita!$N$2:$N$553)</f>
        <v>0</v>
      </c>
      <c r="T24" s="13">
        <f>SUMIF(Mercado_Receita!$T$2:$T$553,"44774B2Energia convencionalRuralCooperativa de eletrificação ruralNão se aplicaNão se aplicaNão se aplica",Mercado_Receita!$N$2:$N$553)</f>
        <v>0</v>
      </c>
      <c r="U24" s="13">
        <f t="shared" si="0"/>
        <v>0</v>
      </c>
      <c r="V24" s="13"/>
      <c r="W24" s="13"/>
    </row>
    <row r="25" spans="1:23" ht="11.25" customHeight="1" x14ac:dyDescent="0.25">
      <c r="A25" s="80"/>
      <c r="B25" s="79" t="s">
        <v>71</v>
      </c>
      <c r="C25" s="79" t="s">
        <v>41</v>
      </c>
      <c r="D25" s="79" t="s">
        <v>89</v>
      </c>
      <c r="E25" s="79" t="s">
        <v>25</v>
      </c>
      <c r="F25" s="79" t="s">
        <v>25</v>
      </c>
      <c r="G25" s="13" t="s">
        <v>73</v>
      </c>
      <c r="H25" s="13" t="s">
        <v>72</v>
      </c>
      <c r="I25" s="13">
        <f>SUMIF(Mercado_Receita!$T$2:$T$553,"44440B2Energia horáriaRuralServiço público de irrigação ruralNão se aplicaNão se aplicaPonta",Mercado_Receita!$N$2:$N$553)</f>
        <v>0</v>
      </c>
      <c r="J25" s="13">
        <f>SUMIF(Mercado_Receita!$T$2:$T$553,"44470B2Energia horáriaRuralServiço público de irrigação ruralNão se aplicaNão se aplicaPonta",Mercado_Receita!$N$2:$N$553)</f>
        <v>0</v>
      </c>
      <c r="K25" s="13">
        <f>SUMIF(Mercado_Receita!$T$2:$T$553,"44501B2Energia horáriaRuralServiço público de irrigação ruralNão se aplicaNão se aplicaPonta",Mercado_Receita!$N$2:$N$553)</f>
        <v>0</v>
      </c>
      <c r="L25" s="13">
        <f>SUMIF(Mercado_Receita!$T$2:$T$553,"44531B2Energia horáriaRuralServiço público de irrigação ruralNão se aplicaNão se aplicaPonta",Mercado_Receita!$N$2:$N$553)</f>
        <v>0</v>
      </c>
      <c r="M25" s="13">
        <f>SUMIF(Mercado_Receita!$T$2:$T$553,"44562B2Energia horáriaRuralServiço público de irrigação ruralNão se aplicaNão se aplicaPonta",Mercado_Receita!$N$2:$N$553)</f>
        <v>0</v>
      </c>
      <c r="N25" s="13">
        <f>SUMIF(Mercado_Receita!$T$2:$T$553,"44593B2Energia horáriaRuralServiço público de irrigação ruralNão se aplicaNão se aplicaPonta",Mercado_Receita!$N$2:$N$553)</f>
        <v>0</v>
      </c>
      <c r="O25" s="13">
        <f>SUMIF(Mercado_Receita!$T$2:$T$553,"44621B2Energia horáriaRuralServiço público de irrigação ruralNão se aplicaNão se aplicaPonta",Mercado_Receita!$N$2:$N$553)</f>
        <v>0</v>
      </c>
      <c r="P25" s="13">
        <f>SUMIF(Mercado_Receita!$T$2:$T$553,"44652B2Energia horáriaRuralServiço público de irrigação ruralNão se aplicaNão se aplicaPonta",Mercado_Receita!$N$2:$N$553)</f>
        <v>0</v>
      </c>
      <c r="Q25" s="13">
        <f>SUMIF(Mercado_Receita!$T$2:$T$553,"44682B2Energia horáriaRuralServiço público de irrigação ruralNão se aplicaNão se aplicaPonta",Mercado_Receita!$N$2:$N$553)</f>
        <v>0</v>
      </c>
      <c r="R25" s="13">
        <f>SUMIF(Mercado_Receita!$T$2:$T$553,"44713B2Energia horáriaRuralServiço público de irrigação ruralNão se aplicaNão se aplicaPonta",Mercado_Receita!$N$2:$N$553)</f>
        <v>0</v>
      </c>
      <c r="S25" s="13">
        <f>SUMIF(Mercado_Receita!$T$2:$T$553,"44743B2Energia horáriaRuralServiço público de irrigação ruralNão se aplicaNão se aplicaPonta",Mercado_Receita!$N$2:$N$553)</f>
        <v>0</v>
      </c>
      <c r="T25" s="13">
        <f>SUMIF(Mercado_Receita!$T$2:$T$553,"44774B2Energia horáriaRuralServiço público de irrigação ruralNão se aplicaNão se aplicaPonta",Mercado_Receita!$N$2:$N$553)</f>
        <v>0</v>
      </c>
      <c r="U25" s="13">
        <f t="shared" si="0"/>
        <v>0</v>
      </c>
      <c r="V25" s="13"/>
      <c r="W25" s="13"/>
    </row>
    <row r="26" spans="1:23" ht="11.25" customHeight="1" x14ac:dyDescent="0.25">
      <c r="A26" s="80"/>
      <c r="B26" s="80"/>
      <c r="C26" s="80"/>
      <c r="D26" s="80"/>
      <c r="E26" s="80"/>
      <c r="F26" s="80"/>
      <c r="G26" s="13" t="s">
        <v>83</v>
      </c>
      <c r="H26" s="13" t="s">
        <v>72</v>
      </c>
      <c r="I26" s="13">
        <f>SUMIF(Mercado_Receita!$T$2:$T$553,"44440B2Energia horáriaRuralServiço público de irrigação ruralNão se aplicaNão se aplicaIntermediário",Mercado_Receita!$N$2:$N$553)</f>
        <v>0</v>
      </c>
      <c r="J26" s="13">
        <f>SUMIF(Mercado_Receita!$T$2:$T$553,"44470B2Energia horáriaRuralServiço público de irrigação ruralNão se aplicaNão se aplicaIntermediário",Mercado_Receita!$N$2:$N$553)</f>
        <v>0</v>
      </c>
      <c r="K26" s="13">
        <f>SUMIF(Mercado_Receita!$T$2:$T$553,"44501B2Energia horáriaRuralServiço público de irrigação ruralNão se aplicaNão se aplicaIntermediário",Mercado_Receita!$N$2:$N$553)</f>
        <v>0</v>
      </c>
      <c r="L26" s="13">
        <f>SUMIF(Mercado_Receita!$T$2:$T$553,"44531B2Energia horáriaRuralServiço público de irrigação ruralNão se aplicaNão se aplicaIntermediário",Mercado_Receita!$N$2:$N$553)</f>
        <v>0</v>
      </c>
      <c r="M26" s="13">
        <f>SUMIF(Mercado_Receita!$T$2:$T$553,"44562B2Energia horáriaRuralServiço público de irrigação ruralNão se aplicaNão se aplicaIntermediário",Mercado_Receita!$N$2:$N$553)</f>
        <v>0</v>
      </c>
      <c r="N26" s="13">
        <f>SUMIF(Mercado_Receita!$T$2:$T$553,"44593B2Energia horáriaRuralServiço público de irrigação ruralNão se aplicaNão se aplicaIntermediário",Mercado_Receita!$N$2:$N$553)</f>
        <v>0</v>
      </c>
      <c r="O26" s="13">
        <f>SUMIF(Mercado_Receita!$T$2:$T$553,"44621B2Energia horáriaRuralServiço público de irrigação ruralNão se aplicaNão se aplicaIntermediário",Mercado_Receita!$N$2:$N$553)</f>
        <v>0</v>
      </c>
      <c r="P26" s="13">
        <f>SUMIF(Mercado_Receita!$T$2:$T$553,"44652B2Energia horáriaRuralServiço público de irrigação ruralNão se aplicaNão se aplicaIntermediário",Mercado_Receita!$N$2:$N$553)</f>
        <v>0</v>
      </c>
      <c r="Q26" s="13">
        <f>SUMIF(Mercado_Receita!$T$2:$T$553,"44682B2Energia horáriaRuralServiço público de irrigação ruralNão se aplicaNão se aplicaIntermediário",Mercado_Receita!$N$2:$N$553)</f>
        <v>0</v>
      </c>
      <c r="R26" s="13">
        <f>SUMIF(Mercado_Receita!$T$2:$T$553,"44713B2Energia horáriaRuralServiço público de irrigação ruralNão se aplicaNão se aplicaIntermediário",Mercado_Receita!$N$2:$N$553)</f>
        <v>0</v>
      </c>
      <c r="S26" s="13">
        <f>SUMIF(Mercado_Receita!$T$2:$T$553,"44743B2Energia horáriaRuralServiço público de irrigação ruralNão se aplicaNão se aplicaIntermediário",Mercado_Receita!$N$2:$N$553)</f>
        <v>0</v>
      </c>
      <c r="T26" s="13">
        <f>SUMIF(Mercado_Receita!$T$2:$T$553,"44774B2Energia horáriaRuralServiço público de irrigação ruralNão se aplicaNão se aplicaIntermediário",Mercado_Receita!$N$2:$N$553)</f>
        <v>0</v>
      </c>
      <c r="U26" s="13">
        <f t="shared" si="0"/>
        <v>0</v>
      </c>
      <c r="V26" s="13"/>
      <c r="W26" s="13"/>
    </row>
    <row r="27" spans="1:23" ht="11.25" customHeight="1" x14ac:dyDescent="0.25">
      <c r="A27" s="80"/>
      <c r="B27" s="80"/>
      <c r="C27" s="80"/>
      <c r="D27" s="80"/>
      <c r="E27" s="80"/>
      <c r="F27" s="80"/>
      <c r="G27" s="13" t="s">
        <v>74</v>
      </c>
      <c r="H27" s="13" t="s">
        <v>72</v>
      </c>
      <c r="I27" s="13">
        <f>SUMIF(Mercado_Receita!$T$2:$T$553,"44440B2Energia horáriaRuralServiço público de irrigação ruralNão se aplicaNão se aplicaFora ponta",Mercado_Receita!$N$2:$N$553)</f>
        <v>0</v>
      </c>
      <c r="J27" s="13">
        <f>SUMIF(Mercado_Receita!$T$2:$T$553,"44470B2Energia horáriaRuralServiço público de irrigação ruralNão se aplicaNão se aplicaFora ponta",Mercado_Receita!$N$2:$N$553)</f>
        <v>0</v>
      </c>
      <c r="K27" s="13">
        <f>SUMIF(Mercado_Receita!$T$2:$T$553,"44501B2Energia horáriaRuralServiço público de irrigação ruralNão se aplicaNão se aplicaFora ponta",Mercado_Receita!$N$2:$N$553)</f>
        <v>0</v>
      </c>
      <c r="L27" s="13">
        <f>SUMIF(Mercado_Receita!$T$2:$T$553,"44531B2Energia horáriaRuralServiço público de irrigação ruralNão se aplicaNão se aplicaFora ponta",Mercado_Receita!$N$2:$N$553)</f>
        <v>0</v>
      </c>
      <c r="M27" s="13">
        <f>SUMIF(Mercado_Receita!$T$2:$T$553,"44562B2Energia horáriaRuralServiço público de irrigação ruralNão se aplicaNão se aplicaFora ponta",Mercado_Receita!$N$2:$N$553)</f>
        <v>0</v>
      </c>
      <c r="N27" s="13">
        <f>SUMIF(Mercado_Receita!$T$2:$T$553,"44593B2Energia horáriaRuralServiço público de irrigação ruralNão se aplicaNão se aplicaFora ponta",Mercado_Receita!$N$2:$N$553)</f>
        <v>0</v>
      </c>
      <c r="O27" s="13">
        <f>SUMIF(Mercado_Receita!$T$2:$T$553,"44621B2Energia horáriaRuralServiço público de irrigação ruralNão se aplicaNão se aplicaFora ponta",Mercado_Receita!$N$2:$N$553)</f>
        <v>0</v>
      </c>
      <c r="P27" s="13">
        <f>SUMIF(Mercado_Receita!$T$2:$T$553,"44652B2Energia horáriaRuralServiço público de irrigação ruralNão se aplicaNão se aplicaFora ponta",Mercado_Receita!$N$2:$N$553)</f>
        <v>0</v>
      </c>
      <c r="Q27" s="13">
        <f>SUMIF(Mercado_Receita!$T$2:$T$553,"44682B2Energia horáriaRuralServiço público de irrigação ruralNão se aplicaNão se aplicaFora ponta",Mercado_Receita!$N$2:$N$553)</f>
        <v>0</v>
      </c>
      <c r="R27" s="13">
        <f>SUMIF(Mercado_Receita!$T$2:$T$553,"44713B2Energia horáriaRuralServiço público de irrigação ruralNão se aplicaNão se aplicaFora ponta",Mercado_Receita!$N$2:$N$553)</f>
        <v>0</v>
      </c>
      <c r="S27" s="13">
        <f>SUMIF(Mercado_Receita!$T$2:$T$553,"44743B2Energia horáriaRuralServiço público de irrigação ruralNão se aplicaNão se aplicaFora ponta",Mercado_Receita!$N$2:$N$553)</f>
        <v>0</v>
      </c>
      <c r="T27" s="13">
        <f>SUMIF(Mercado_Receita!$T$2:$T$553,"44774B2Energia horáriaRuralServiço público de irrigação ruralNão se aplicaNão se aplicaFora ponta",Mercado_Receita!$N$2:$N$553)</f>
        <v>0</v>
      </c>
      <c r="U27" s="13">
        <f t="shared" si="0"/>
        <v>0</v>
      </c>
      <c r="V27" s="13"/>
      <c r="W27" s="13"/>
    </row>
    <row r="28" spans="1:23" ht="11.25" customHeight="1" x14ac:dyDescent="0.25">
      <c r="A28" s="80"/>
      <c r="B28" s="12" t="s">
        <v>84</v>
      </c>
      <c r="C28" s="12" t="s">
        <v>41</v>
      </c>
      <c r="D28" s="12" t="s">
        <v>89</v>
      </c>
      <c r="E28" s="12" t="s">
        <v>25</v>
      </c>
      <c r="F28" s="12" t="s">
        <v>25</v>
      </c>
      <c r="G28" s="13" t="s">
        <v>78</v>
      </c>
      <c r="H28" s="13" t="s">
        <v>72</v>
      </c>
      <c r="I28" s="13">
        <f>SUMIF(Mercado_Receita!$T$2:$T$553,"44440B2Energia convencionalRuralServiço público de irrigação ruralNão se aplicaNão se aplicaNão se aplica",Mercado_Receita!$N$2:$N$553)</f>
        <v>0</v>
      </c>
      <c r="J28" s="13">
        <f>SUMIF(Mercado_Receita!$T$2:$T$553,"44470B2Energia convencionalRuralServiço público de irrigação ruralNão se aplicaNão se aplicaNão se aplica",Mercado_Receita!$N$2:$N$553)</f>
        <v>0</v>
      </c>
      <c r="K28" s="13">
        <f>SUMIF(Mercado_Receita!$T$2:$T$553,"44501B2Energia convencionalRuralServiço público de irrigação ruralNão se aplicaNão se aplicaNão se aplica",Mercado_Receita!$N$2:$N$553)</f>
        <v>0</v>
      </c>
      <c r="L28" s="13">
        <f>SUMIF(Mercado_Receita!$T$2:$T$553,"44531B2Energia convencionalRuralServiço público de irrigação ruralNão se aplicaNão se aplicaNão se aplica",Mercado_Receita!$N$2:$N$553)</f>
        <v>0</v>
      </c>
      <c r="M28" s="13">
        <f>SUMIF(Mercado_Receita!$T$2:$T$553,"44562B2Energia convencionalRuralServiço público de irrigação ruralNão se aplicaNão se aplicaNão se aplica",Mercado_Receita!$N$2:$N$553)</f>
        <v>0</v>
      </c>
      <c r="N28" s="13">
        <f>SUMIF(Mercado_Receita!$T$2:$T$553,"44593B2Energia convencionalRuralServiço público de irrigação ruralNão se aplicaNão se aplicaNão se aplica",Mercado_Receita!$N$2:$N$553)</f>
        <v>0</v>
      </c>
      <c r="O28" s="13">
        <f>SUMIF(Mercado_Receita!$T$2:$T$553,"44621B2Energia convencionalRuralServiço público de irrigação ruralNão se aplicaNão se aplicaNão se aplica",Mercado_Receita!$N$2:$N$553)</f>
        <v>0</v>
      </c>
      <c r="P28" s="13">
        <f>SUMIF(Mercado_Receita!$T$2:$T$553,"44652B2Energia convencionalRuralServiço público de irrigação ruralNão se aplicaNão se aplicaNão se aplica",Mercado_Receita!$N$2:$N$553)</f>
        <v>0</v>
      </c>
      <c r="Q28" s="13">
        <f>SUMIF(Mercado_Receita!$T$2:$T$553,"44682B2Energia convencionalRuralServiço público de irrigação ruralNão se aplicaNão se aplicaNão se aplica",Mercado_Receita!$N$2:$N$553)</f>
        <v>0</v>
      </c>
      <c r="R28" s="13">
        <f>SUMIF(Mercado_Receita!$T$2:$T$553,"44713B2Energia convencionalRuralServiço público de irrigação ruralNão se aplicaNão se aplicaNão se aplica",Mercado_Receita!$N$2:$N$553)</f>
        <v>0</v>
      </c>
      <c r="S28" s="13">
        <f>SUMIF(Mercado_Receita!$T$2:$T$553,"44743B2Energia convencionalRuralServiço público de irrigação ruralNão se aplicaNão se aplicaNão se aplica",Mercado_Receita!$N$2:$N$553)</f>
        <v>0</v>
      </c>
      <c r="T28" s="13">
        <f>SUMIF(Mercado_Receita!$T$2:$T$553,"44774B2Energia convencionalRuralServiço público de irrigação ruralNão se aplicaNão se aplicaNão se aplica",Mercado_Receita!$N$2:$N$553)</f>
        <v>0</v>
      </c>
      <c r="U28" s="13">
        <f t="shared" si="0"/>
        <v>0</v>
      </c>
      <c r="V28" s="13"/>
      <c r="W28" s="13"/>
    </row>
    <row r="29" spans="1:23" ht="11.25" customHeight="1" x14ac:dyDescent="0.25">
      <c r="A29" s="80"/>
      <c r="B29" s="79" t="s">
        <v>86</v>
      </c>
      <c r="C29" s="79" t="s">
        <v>41</v>
      </c>
      <c r="D29" s="12" t="s">
        <v>25</v>
      </c>
      <c r="E29" s="12" t="s">
        <v>25</v>
      </c>
      <c r="F29" s="12" t="s">
        <v>25</v>
      </c>
      <c r="G29" s="13" t="s">
        <v>78</v>
      </c>
      <c r="H29" s="13" t="s">
        <v>72</v>
      </c>
      <c r="I29" s="13">
        <f>SUMIF(Mercado_Receita!$T$2:$T$553,"44440B2Energia convencional pré-pagamentoRuralNão se aplicaNão se aplicaNão se aplicaNão se aplica",Mercado_Receita!$N$2:$N$553)</f>
        <v>0</v>
      </c>
      <c r="J29" s="13">
        <f>SUMIF(Mercado_Receita!$T$2:$T$553,"44470B2Energia convencional pré-pagamentoRuralNão se aplicaNão se aplicaNão se aplicaNão se aplica",Mercado_Receita!$N$2:$N$553)</f>
        <v>0</v>
      </c>
      <c r="K29" s="13">
        <f>SUMIF(Mercado_Receita!$T$2:$T$553,"44501B2Energia convencional pré-pagamentoRuralNão se aplicaNão se aplicaNão se aplicaNão se aplica",Mercado_Receita!$N$2:$N$553)</f>
        <v>0</v>
      </c>
      <c r="L29" s="13">
        <f>SUMIF(Mercado_Receita!$T$2:$T$553,"44531B2Energia convencional pré-pagamentoRuralNão se aplicaNão se aplicaNão se aplicaNão se aplica",Mercado_Receita!$N$2:$N$553)</f>
        <v>0</v>
      </c>
      <c r="M29" s="13">
        <f>SUMIF(Mercado_Receita!$T$2:$T$553,"44562B2Energia convencional pré-pagamentoRuralNão se aplicaNão se aplicaNão se aplicaNão se aplica",Mercado_Receita!$N$2:$N$553)</f>
        <v>0</v>
      </c>
      <c r="N29" s="13">
        <f>SUMIF(Mercado_Receita!$T$2:$T$553,"44593B2Energia convencional pré-pagamentoRuralNão se aplicaNão se aplicaNão se aplicaNão se aplica",Mercado_Receita!$N$2:$N$553)</f>
        <v>0</v>
      </c>
      <c r="O29" s="13">
        <f>SUMIF(Mercado_Receita!$T$2:$T$553,"44621B2Energia convencional pré-pagamentoRuralNão se aplicaNão se aplicaNão se aplicaNão se aplica",Mercado_Receita!$N$2:$N$553)</f>
        <v>0</v>
      </c>
      <c r="P29" s="13">
        <f>SUMIF(Mercado_Receita!$T$2:$T$553,"44652B2Energia convencional pré-pagamentoRuralNão se aplicaNão se aplicaNão se aplicaNão se aplica",Mercado_Receita!$N$2:$N$553)</f>
        <v>0</v>
      </c>
      <c r="Q29" s="13">
        <f>SUMIF(Mercado_Receita!$T$2:$T$553,"44682B2Energia convencional pré-pagamentoRuralNão se aplicaNão se aplicaNão se aplicaNão se aplica",Mercado_Receita!$N$2:$N$553)</f>
        <v>0</v>
      </c>
      <c r="R29" s="13">
        <f>SUMIF(Mercado_Receita!$T$2:$T$553,"44713B2Energia convencional pré-pagamentoRuralNão se aplicaNão se aplicaNão se aplicaNão se aplica",Mercado_Receita!$N$2:$N$553)</f>
        <v>0</v>
      </c>
      <c r="S29" s="13">
        <f>SUMIF(Mercado_Receita!$T$2:$T$553,"44743B2Energia convencional pré-pagamentoRuralNão se aplicaNão se aplicaNão se aplicaNão se aplica",Mercado_Receita!$N$2:$N$553)</f>
        <v>0</v>
      </c>
      <c r="T29" s="13">
        <f>SUMIF(Mercado_Receita!$T$2:$T$553,"44774B2Energia convencional pré-pagamentoRuralNão se aplicaNão se aplicaNão se aplicaNão se aplica",Mercado_Receita!$N$2:$N$553)</f>
        <v>0</v>
      </c>
      <c r="U29" s="13">
        <f t="shared" si="0"/>
        <v>0</v>
      </c>
      <c r="V29" s="13"/>
      <c r="W29" s="13"/>
    </row>
    <row r="30" spans="1:23" ht="11.25" customHeight="1" x14ac:dyDescent="0.25">
      <c r="A30" s="80"/>
      <c r="B30" s="80"/>
      <c r="C30" s="80"/>
      <c r="D30" s="12" t="s">
        <v>88</v>
      </c>
      <c r="E30" s="12" t="s">
        <v>25</v>
      </c>
      <c r="F30" s="12" t="s">
        <v>25</v>
      </c>
      <c r="G30" s="13" t="s">
        <v>78</v>
      </c>
      <c r="H30" s="13" t="s">
        <v>72</v>
      </c>
      <c r="I30" s="13">
        <f>SUMIF(Mercado_Receita!$T$2:$T$553,"44440B2Energia convencional pré-pagamentoRuralCooperativa de eletrificação ruralNão se aplicaNão se aplicaNão se aplica",Mercado_Receita!$N$2:$N$553)</f>
        <v>0</v>
      </c>
      <c r="J30" s="13">
        <f>SUMIF(Mercado_Receita!$T$2:$T$553,"44470B2Energia convencional pré-pagamentoRuralCooperativa de eletrificação ruralNão se aplicaNão se aplicaNão se aplica",Mercado_Receita!$N$2:$N$553)</f>
        <v>0</v>
      </c>
      <c r="K30" s="13">
        <f>SUMIF(Mercado_Receita!$T$2:$T$553,"44501B2Energia convencional pré-pagamentoRuralCooperativa de eletrificação ruralNão se aplicaNão se aplicaNão se aplica",Mercado_Receita!$N$2:$N$553)</f>
        <v>0</v>
      </c>
      <c r="L30" s="13">
        <f>SUMIF(Mercado_Receita!$T$2:$T$553,"44531B2Energia convencional pré-pagamentoRuralCooperativa de eletrificação ruralNão se aplicaNão se aplicaNão se aplica",Mercado_Receita!$N$2:$N$553)</f>
        <v>0</v>
      </c>
      <c r="M30" s="13">
        <f>SUMIF(Mercado_Receita!$T$2:$T$553,"44562B2Energia convencional pré-pagamentoRuralCooperativa de eletrificação ruralNão se aplicaNão se aplicaNão se aplica",Mercado_Receita!$N$2:$N$553)</f>
        <v>0</v>
      </c>
      <c r="N30" s="13">
        <f>SUMIF(Mercado_Receita!$T$2:$T$553,"44593B2Energia convencional pré-pagamentoRuralCooperativa de eletrificação ruralNão se aplicaNão se aplicaNão se aplica",Mercado_Receita!$N$2:$N$553)</f>
        <v>0</v>
      </c>
      <c r="O30" s="13">
        <f>SUMIF(Mercado_Receita!$T$2:$T$553,"44621B2Energia convencional pré-pagamentoRuralCooperativa de eletrificação ruralNão se aplicaNão se aplicaNão se aplica",Mercado_Receita!$N$2:$N$553)</f>
        <v>0</v>
      </c>
      <c r="P30" s="13">
        <f>SUMIF(Mercado_Receita!$T$2:$T$553,"44652B2Energia convencional pré-pagamentoRuralCooperativa de eletrificação ruralNão se aplicaNão se aplicaNão se aplica",Mercado_Receita!$N$2:$N$553)</f>
        <v>0</v>
      </c>
      <c r="Q30" s="13">
        <f>SUMIF(Mercado_Receita!$T$2:$T$553,"44682B2Energia convencional pré-pagamentoRuralCooperativa de eletrificação ruralNão se aplicaNão se aplicaNão se aplica",Mercado_Receita!$N$2:$N$553)</f>
        <v>0</v>
      </c>
      <c r="R30" s="13">
        <f>SUMIF(Mercado_Receita!$T$2:$T$553,"44713B2Energia convencional pré-pagamentoRuralCooperativa de eletrificação ruralNão se aplicaNão se aplicaNão se aplica",Mercado_Receita!$N$2:$N$553)</f>
        <v>0</v>
      </c>
      <c r="S30" s="13">
        <f>SUMIF(Mercado_Receita!$T$2:$T$553,"44743B2Energia convencional pré-pagamentoRuralCooperativa de eletrificação ruralNão se aplicaNão se aplicaNão se aplica",Mercado_Receita!$N$2:$N$553)</f>
        <v>0</v>
      </c>
      <c r="T30" s="13">
        <f>SUMIF(Mercado_Receita!$T$2:$T$553,"44774B2Energia convencional pré-pagamentoRuralCooperativa de eletrificação ruralNão se aplicaNão se aplicaNão se aplica",Mercado_Receita!$N$2:$N$553)</f>
        <v>0</v>
      </c>
      <c r="U30" s="13">
        <f t="shared" si="0"/>
        <v>0</v>
      </c>
      <c r="V30" s="13"/>
      <c r="W30" s="13"/>
    </row>
    <row r="31" spans="1:23" ht="11.25" customHeight="1" x14ac:dyDescent="0.25">
      <c r="A31" s="80"/>
      <c r="B31" s="80"/>
      <c r="C31" s="80"/>
      <c r="D31" s="12" t="s">
        <v>89</v>
      </c>
      <c r="E31" s="12" t="s">
        <v>25</v>
      </c>
      <c r="F31" s="12" t="s">
        <v>25</v>
      </c>
      <c r="G31" s="13" t="s">
        <v>78</v>
      </c>
      <c r="H31" s="13" t="s">
        <v>72</v>
      </c>
      <c r="I31" s="13">
        <f>SUMIF(Mercado_Receita!$T$2:$T$553,"44440B2Energia convencional pré-pagamentoRuralServiço público de irrigação ruralNão se aplicaNão se aplicaNão se aplica",Mercado_Receita!$N$2:$N$553)</f>
        <v>0</v>
      </c>
      <c r="J31" s="13">
        <f>SUMIF(Mercado_Receita!$T$2:$T$553,"44470B2Energia convencional pré-pagamentoRuralServiço público de irrigação ruralNão se aplicaNão se aplicaNão se aplica",Mercado_Receita!$N$2:$N$553)</f>
        <v>0</v>
      </c>
      <c r="K31" s="13">
        <f>SUMIF(Mercado_Receita!$T$2:$T$553,"44501B2Energia convencional pré-pagamentoRuralServiço público de irrigação ruralNão se aplicaNão se aplicaNão se aplica",Mercado_Receita!$N$2:$N$553)</f>
        <v>0</v>
      </c>
      <c r="L31" s="13">
        <f>SUMIF(Mercado_Receita!$T$2:$T$553,"44531B2Energia convencional pré-pagamentoRuralServiço público de irrigação ruralNão se aplicaNão se aplicaNão se aplica",Mercado_Receita!$N$2:$N$553)</f>
        <v>0</v>
      </c>
      <c r="M31" s="13">
        <f>SUMIF(Mercado_Receita!$T$2:$T$553,"44562B2Energia convencional pré-pagamentoRuralServiço público de irrigação ruralNão se aplicaNão se aplicaNão se aplica",Mercado_Receita!$N$2:$N$553)</f>
        <v>0</v>
      </c>
      <c r="N31" s="13">
        <f>SUMIF(Mercado_Receita!$T$2:$T$553,"44593B2Energia convencional pré-pagamentoRuralServiço público de irrigação ruralNão se aplicaNão se aplicaNão se aplica",Mercado_Receita!$N$2:$N$553)</f>
        <v>0</v>
      </c>
      <c r="O31" s="13">
        <f>SUMIF(Mercado_Receita!$T$2:$T$553,"44621B2Energia convencional pré-pagamentoRuralServiço público de irrigação ruralNão se aplicaNão se aplicaNão se aplica",Mercado_Receita!$N$2:$N$553)</f>
        <v>0</v>
      </c>
      <c r="P31" s="13">
        <f>SUMIF(Mercado_Receita!$T$2:$T$553,"44652B2Energia convencional pré-pagamentoRuralServiço público de irrigação ruralNão se aplicaNão se aplicaNão se aplica",Mercado_Receita!$N$2:$N$553)</f>
        <v>0</v>
      </c>
      <c r="Q31" s="13">
        <f>SUMIF(Mercado_Receita!$T$2:$T$553,"44682B2Energia convencional pré-pagamentoRuralServiço público de irrigação ruralNão se aplicaNão se aplicaNão se aplica",Mercado_Receita!$N$2:$N$553)</f>
        <v>0</v>
      </c>
      <c r="R31" s="13">
        <f>SUMIF(Mercado_Receita!$T$2:$T$553,"44713B2Energia convencional pré-pagamentoRuralServiço público de irrigação ruralNão se aplicaNão se aplicaNão se aplica",Mercado_Receita!$N$2:$N$553)</f>
        <v>0</v>
      </c>
      <c r="S31" s="13">
        <f>SUMIF(Mercado_Receita!$T$2:$T$553,"44743B2Energia convencional pré-pagamentoRuralServiço público de irrigação ruralNão se aplicaNão se aplicaNão se aplica",Mercado_Receita!$N$2:$N$553)</f>
        <v>0</v>
      </c>
      <c r="T31" s="13">
        <f>SUMIF(Mercado_Receita!$T$2:$T$553,"44774B2Energia convencional pré-pagamentoRuralServiço público de irrigação ruralNão se aplicaNão se aplicaNão se aplica",Mercado_Receita!$N$2:$N$553)</f>
        <v>0</v>
      </c>
      <c r="U31" s="13">
        <f t="shared" si="0"/>
        <v>0</v>
      </c>
      <c r="V31" s="13"/>
      <c r="W31" s="13"/>
    </row>
    <row r="32" spans="1:23" ht="11.25" customHeight="1" x14ac:dyDescent="0.25">
      <c r="A32" s="79" t="s">
        <v>33</v>
      </c>
      <c r="B32" s="79" t="s">
        <v>71</v>
      </c>
      <c r="C32" s="79" t="s">
        <v>25</v>
      </c>
      <c r="D32" s="79" t="s">
        <v>25</v>
      </c>
      <c r="E32" s="79" t="s">
        <v>25</v>
      </c>
      <c r="F32" s="79" t="s">
        <v>25</v>
      </c>
      <c r="G32" s="13" t="s">
        <v>73</v>
      </c>
      <c r="H32" s="13" t="s">
        <v>72</v>
      </c>
      <c r="I32" s="13">
        <f>SUMIF(Mercado_Receita!$T$2:$T$553,"44440B3Energia horáriaNão se aplicaNão se aplicaNão se aplicaNão se aplicaPonta",Mercado_Receita!$N$2:$N$553)</f>
        <v>0</v>
      </c>
      <c r="J32" s="13">
        <f>SUMIF(Mercado_Receita!$T$2:$T$553,"44470B3Energia horáriaNão se aplicaNão se aplicaNão se aplicaNão se aplicaPonta",Mercado_Receita!$N$2:$N$553)</f>
        <v>0</v>
      </c>
      <c r="K32" s="13">
        <f>SUMIF(Mercado_Receita!$T$2:$T$553,"44501B3Energia horáriaNão se aplicaNão se aplicaNão se aplicaNão se aplicaPonta",Mercado_Receita!$N$2:$N$553)</f>
        <v>0</v>
      </c>
      <c r="L32" s="13">
        <f>SUMIF(Mercado_Receita!$T$2:$T$553,"44531B3Energia horáriaNão se aplicaNão se aplicaNão se aplicaNão se aplicaPonta",Mercado_Receita!$N$2:$N$553)</f>
        <v>0</v>
      </c>
      <c r="M32" s="13">
        <f>SUMIF(Mercado_Receita!$T$2:$T$553,"44562B3Energia horáriaNão se aplicaNão se aplicaNão se aplicaNão se aplicaPonta",Mercado_Receita!$N$2:$N$553)</f>
        <v>0</v>
      </c>
      <c r="N32" s="13">
        <f>SUMIF(Mercado_Receita!$T$2:$T$553,"44593B3Energia horáriaNão se aplicaNão se aplicaNão se aplicaNão se aplicaPonta",Mercado_Receita!$N$2:$N$553)</f>
        <v>0</v>
      </c>
      <c r="O32" s="13">
        <f>SUMIF(Mercado_Receita!$T$2:$T$553,"44621B3Energia horáriaNão se aplicaNão se aplicaNão se aplicaNão se aplicaPonta",Mercado_Receita!$N$2:$N$553)</f>
        <v>0</v>
      </c>
      <c r="P32" s="13">
        <f>SUMIF(Mercado_Receita!$T$2:$T$553,"44652B3Energia horáriaNão se aplicaNão se aplicaNão se aplicaNão se aplicaPonta",Mercado_Receita!$N$2:$N$553)</f>
        <v>0</v>
      </c>
      <c r="Q32" s="13">
        <f>SUMIF(Mercado_Receita!$T$2:$T$553,"44682B3Energia horáriaNão se aplicaNão se aplicaNão se aplicaNão se aplicaPonta",Mercado_Receita!$N$2:$N$553)</f>
        <v>0</v>
      </c>
      <c r="R32" s="13">
        <f>SUMIF(Mercado_Receita!$T$2:$T$553,"44713B3Energia horáriaNão se aplicaNão se aplicaNão se aplicaNão se aplicaPonta",Mercado_Receita!$N$2:$N$553)</f>
        <v>0</v>
      </c>
      <c r="S32" s="13">
        <f>SUMIF(Mercado_Receita!$T$2:$T$553,"44743B3Energia horáriaNão se aplicaNão se aplicaNão se aplicaNão se aplicaPonta",Mercado_Receita!$N$2:$N$553)</f>
        <v>0</v>
      </c>
      <c r="T32" s="13">
        <f>SUMIF(Mercado_Receita!$T$2:$T$553,"44774B3Energia horáriaNão se aplicaNão se aplicaNão se aplicaNão se aplicaPonta",Mercado_Receita!$N$2:$N$553)</f>
        <v>0</v>
      </c>
      <c r="U32" s="13">
        <f t="shared" si="0"/>
        <v>0</v>
      </c>
      <c r="V32" s="13"/>
      <c r="W32" s="13"/>
    </row>
    <row r="33" spans="1:23" ht="11.25" customHeight="1" x14ac:dyDescent="0.25">
      <c r="A33" s="80"/>
      <c r="B33" s="80"/>
      <c r="C33" s="80"/>
      <c r="D33" s="80"/>
      <c r="E33" s="80"/>
      <c r="F33" s="80"/>
      <c r="G33" s="13" t="s">
        <v>83</v>
      </c>
      <c r="H33" s="13" t="s">
        <v>72</v>
      </c>
      <c r="I33" s="13">
        <f>SUMIF(Mercado_Receita!$T$2:$T$553,"44440B3Energia horáriaNão se aplicaNão se aplicaNão se aplicaNão se aplicaIntermediário",Mercado_Receita!$N$2:$N$553)</f>
        <v>0</v>
      </c>
      <c r="J33" s="13">
        <f>SUMIF(Mercado_Receita!$T$2:$T$553,"44470B3Energia horáriaNão se aplicaNão se aplicaNão se aplicaNão se aplicaIntermediário",Mercado_Receita!$N$2:$N$553)</f>
        <v>0</v>
      </c>
      <c r="K33" s="13">
        <f>SUMIF(Mercado_Receita!$T$2:$T$553,"44501B3Energia horáriaNão se aplicaNão se aplicaNão se aplicaNão se aplicaIntermediário",Mercado_Receita!$N$2:$N$553)</f>
        <v>0</v>
      </c>
      <c r="L33" s="13">
        <f>SUMIF(Mercado_Receita!$T$2:$T$553,"44531B3Energia horáriaNão se aplicaNão se aplicaNão se aplicaNão se aplicaIntermediário",Mercado_Receita!$N$2:$N$553)</f>
        <v>0</v>
      </c>
      <c r="M33" s="13">
        <f>SUMIF(Mercado_Receita!$T$2:$T$553,"44562B3Energia horáriaNão se aplicaNão se aplicaNão se aplicaNão se aplicaIntermediário",Mercado_Receita!$N$2:$N$553)</f>
        <v>0</v>
      </c>
      <c r="N33" s="13">
        <f>SUMIF(Mercado_Receita!$T$2:$T$553,"44593B3Energia horáriaNão se aplicaNão se aplicaNão se aplicaNão se aplicaIntermediário",Mercado_Receita!$N$2:$N$553)</f>
        <v>0</v>
      </c>
      <c r="O33" s="13">
        <f>SUMIF(Mercado_Receita!$T$2:$T$553,"44621B3Energia horáriaNão se aplicaNão se aplicaNão se aplicaNão se aplicaIntermediário",Mercado_Receita!$N$2:$N$553)</f>
        <v>0</v>
      </c>
      <c r="P33" s="13">
        <f>SUMIF(Mercado_Receita!$T$2:$T$553,"44652B3Energia horáriaNão se aplicaNão se aplicaNão se aplicaNão se aplicaIntermediário",Mercado_Receita!$N$2:$N$553)</f>
        <v>0</v>
      </c>
      <c r="Q33" s="13">
        <f>SUMIF(Mercado_Receita!$T$2:$T$553,"44682B3Energia horáriaNão se aplicaNão se aplicaNão se aplicaNão se aplicaIntermediário",Mercado_Receita!$N$2:$N$553)</f>
        <v>0</v>
      </c>
      <c r="R33" s="13">
        <f>SUMIF(Mercado_Receita!$T$2:$T$553,"44713B3Energia horáriaNão se aplicaNão se aplicaNão se aplicaNão se aplicaIntermediário",Mercado_Receita!$N$2:$N$553)</f>
        <v>0</v>
      </c>
      <c r="S33" s="13">
        <f>SUMIF(Mercado_Receita!$T$2:$T$553,"44743B3Energia horáriaNão se aplicaNão se aplicaNão se aplicaNão se aplicaIntermediário",Mercado_Receita!$N$2:$N$553)</f>
        <v>0</v>
      </c>
      <c r="T33" s="13">
        <f>SUMIF(Mercado_Receita!$T$2:$T$553,"44774B3Energia horáriaNão se aplicaNão se aplicaNão se aplicaNão se aplicaIntermediário",Mercado_Receita!$N$2:$N$553)</f>
        <v>0</v>
      </c>
      <c r="U33" s="13">
        <f t="shared" si="0"/>
        <v>0</v>
      </c>
      <c r="V33" s="13"/>
      <c r="W33" s="13"/>
    </row>
    <row r="34" spans="1:23" ht="11.25" customHeight="1" x14ac:dyDescent="0.25">
      <c r="A34" s="80"/>
      <c r="B34" s="80"/>
      <c r="C34" s="80"/>
      <c r="D34" s="80"/>
      <c r="E34" s="80"/>
      <c r="F34" s="80"/>
      <c r="G34" s="13" t="s">
        <v>74</v>
      </c>
      <c r="H34" s="13" t="s">
        <v>72</v>
      </c>
      <c r="I34" s="13">
        <f>SUMIF(Mercado_Receita!$T$2:$T$553,"44440B3Energia horáriaNão se aplicaNão se aplicaNão se aplicaNão se aplicaFora ponta",Mercado_Receita!$N$2:$N$553)</f>
        <v>0</v>
      </c>
      <c r="J34" s="13">
        <f>SUMIF(Mercado_Receita!$T$2:$T$553,"44470B3Energia horáriaNão se aplicaNão se aplicaNão se aplicaNão se aplicaFora ponta",Mercado_Receita!$N$2:$N$553)</f>
        <v>0</v>
      </c>
      <c r="K34" s="13">
        <f>SUMIF(Mercado_Receita!$T$2:$T$553,"44501B3Energia horáriaNão se aplicaNão se aplicaNão se aplicaNão se aplicaFora ponta",Mercado_Receita!$N$2:$N$553)</f>
        <v>0</v>
      </c>
      <c r="L34" s="13">
        <f>SUMIF(Mercado_Receita!$T$2:$T$553,"44531B3Energia horáriaNão se aplicaNão se aplicaNão se aplicaNão se aplicaFora ponta",Mercado_Receita!$N$2:$N$553)</f>
        <v>0</v>
      </c>
      <c r="M34" s="13">
        <f>SUMIF(Mercado_Receita!$T$2:$T$553,"44562B3Energia horáriaNão se aplicaNão se aplicaNão se aplicaNão se aplicaFora ponta",Mercado_Receita!$N$2:$N$553)</f>
        <v>0</v>
      </c>
      <c r="N34" s="13">
        <f>SUMIF(Mercado_Receita!$T$2:$T$553,"44593B3Energia horáriaNão se aplicaNão se aplicaNão se aplicaNão se aplicaFora ponta",Mercado_Receita!$N$2:$N$553)</f>
        <v>0</v>
      </c>
      <c r="O34" s="13">
        <f>SUMIF(Mercado_Receita!$T$2:$T$553,"44621B3Energia horáriaNão se aplicaNão se aplicaNão se aplicaNão se aplicaFora ponta",Mercado_Receita!$N$2:$N$553)</f>
        <v>0</v>
      </c>
      <c r="P34" s="13">
        <f>SUMIF(Mercado_Receita!$T$2:$T$553,"44652B3Energia horáriaNão se aplicaNão se aplicaNão se aplicaNão se aplicaFora ponta",Mercado_Receita!$N$2:$N$553)</f>
        <v>0</v>
      </c>
      <c r="Q34" s="13">
        <f>SUMIF(Mercado_Receita!$T$2:$T$553,"44682B3Energia horáriaNão se aplicaNão se aplicaNão se aplicaNão se aplicaFora ponta",Mercado_Receita!$N$2:$N$553)</f>
        <v>0</v>
      </c>
      <c r="R34" s="13">
        <f>SUMIF(Mercado_Receita!$T$2:$T$553,"44713B3Energia horáriaNão se aplicaNão se aplicaNão se aplicaNão se aplicaFora ponta",Mercado_Receita!$N$2:$N$553)</f>
        <v>0</v>
      </c>
      <c r="S34" s="13">
        <f>SUMIF(Mercado_Receita!$T$2:$T$553,"44743B3Energia horáriaNão se aplicaNão se aplicaNão se aplicaNão se aplicaFora ponta",Mercado_Receita!$N$2:$N$553)</f>
        <v>0</v>
      </c>
      <c r="T34" s="13">
        <f>SUMIF(Mercado_Receita!$T$2:$T$553,"44774B3Energia horáriaNão se aplicaNão se aplicaNão se aplicaNão se aplicaFora ponta",Mercado_Receita!$N$2:$N$553)</f>
        <v>0</v>
      </c>
      <c r="U34" s="13">
        <f t="shared" si="0"/>
        <v>0</v>
      </c>
      <c r="V34" s="13"/>
      <c r="W34" s="13"/>
    </row>
    <row r="35" spans="1:23" ht="11.25" customHeight="1" x14ac:dyDescent="0.25">
      <c r="A35" s="80"/>
      <c r="B35" s="12" t="s">
        <v>84</v>
      </c>
      <c r="C35" s="12" t="s">
        <v>25</v>
      </c>
      <c r="D35" s="12" t="s">
        <v>25</v>
      </c>
      <c r="E35" s="12" t="s">
        <v>25</v>
      </c>
      <c r="F35" s="12" t="s">
        <v>25</v>
      </c>
      <c r="G35" s="13" t="s">
        <v>78</v>
      </c>
      <c r="H35" s="13" t="s">
        <v>72</v>
      </c>
      <c r="I35" s="13">
        <f>SUMIF(Mercado_Receita!$T$2:$T$553,"44440B3Energia convencionalNão se aplicaNão se aplicaNão se aplicaNão se aplicaNão se aplica",Mercado_Receita!$N$2:$N$553)</f>
        <v>558.46</v>
      </c>
      <c r="J35" s="13">
        <f>SUMIF(Mercado_Receita!$T$2:$T$553,"44470B3Energia convencionalNão se aplicaNão se aplicaNão se aplicaNão se aplicaNão se aplica",Mercado_Receita!$N$2:$N$553)</f>
        <v>509.774</v>
      </c>
      <c r="K35" s="13">
        <f>SUMIF(Mercado_Receita!$T$2:$T$553,"44501B3Energia convencionalNão se aplicaNão se aplicaNão se aplicaNão se aplicaNão se aplica",Mercado_Receita!$N$2:$N$553)</f>
        <v>511.88599999999997</v>
      </c>
      <c r="L35" s="13">
        <f>SUMIF(Mercado_Receita!$T$2:$T$553,"44531B3Energia convencionalNão se aplicaNão se aplicaNão se aplicaNão se aplicaNão se aplica",Mercado_Receita!$N$2:$N$553)</f>
        <v>582.41</v>
      </c>
      <c r="M35" s="13">
        <f>SUMIF(Mercado_Receita!$T$2:$T$553,"44562B3Energia convencionalNão se aplicaNão se aplicaNão se aplicaNão se aplicaNão se aplica",Mercado_Receita!$N$2:$N$553)</f>
        <v>530.51200000000006</v>
      </c>
      <c r="N35" s="13">
        <f>SUMIF(Mercado_Receita!$T$2:$T$553,"44593B3Energia convencionalNão se aplicaNão se aplicaNão se aplicaNão se aplicaNão se aplica",Mercado_Receita!$N$2:$N$553)</f>
        <v>609.82099999999991</v>
      </c>
      <c r="O35" s="13">
        <f>SUMIF(Mercado_Receita!$T$2:$T$553,"44621B3Energia convencionalNão se aplicaNão se aplicaNão se aplicaNão se aplicaNão se aplica",Mercado_Receita!$N$2:$N$553)</f>
        <v>593.21799999999996</v>
      </c>
      <c r="P35" s="13">
        <f>SUMIF(Mercado_Receita!$T$2:$T$553,"44652B3Energia convencionalNão se aplicaNão se aplicaNão se aplicaNão se aplicaNão se aplica",Mercado_Receita!$N$2:$N$553)</f>
        <v>565.82600000000002</v>
      </c>
      <c r="Q35" s="13">
        <f>SUMIF(Mercado_Receita!$T$2:$T$553,"44682B3Energia convencionalNão se aplicaNão se aplicaNão se aplicaNão se aplicaNão se aplica",Mercado_Receita!$N$2:$N$553)</f>
        <v>545.553</v>
      </c>
      <c r="R35" s="13">
        <f>SUMIF(Mercado_Receita!$T$2:$T$553,"44713B3Energia convencionalNão se aplicaNão se aplicaNão se aplicaNão se aplicaNão se aplica",Mercado_Receita!$N$2:$N$553)</f>
        <v>559.12400000000002</v>
      </c>
      <c r="S35" s="13">
        <f>SUMIF(Mercado_Receita!$T$2:$T$553,"44743B3Energia convencionalNão se aplicaNão se aplicaNão se aplicaNão se aplicaNão se aplica",Mercado_Receita!$N$2:$N$553)</f>
        <v>525.37699999999995</v>
      </c>
      <c r="T35" s="13">
        <f>SUMIF(Mercado_Receita!$T$2:$T$553,"44774B3Energia convencionalNão se aplicaNão se aplicaNão se aplicaNão se aplicaNão se aplica",Mercado_Receita!$N$2:$N$553)</f>
        <v>529.28899999999987</v>
      </c>
      <c r="U35" s="13">
        <f t="shared" si="0"/>
        <v>6621.2499999999991</v>
      </c>
      <c r="V35" s="13"/>
      <c r="W35" s="13"/>
    </row>
    <row r="36" spans="1:23" ht="11.25" customHeight="1" x14ac:dyDescent="0.25">
      <c r="A36" s="80"/>
      <c r="B36" s="12" t="s">
        <v>86</v>
      </c>
      <c r="C36" s="12" t="s">
        <v>25</v>
      </c>
      <c r="D36" s="12" t="s">
        <v>25</v>
      </c>
      <c r="E36" s="12" t="s">
        <v>25</v>
      </c>
      <c r="F36" s="12" t="s">
        <v>25</v>
      </c>
      <c r="G36" s="13" t="s">
        <v>78</v>
      </c>
      <c r="H36" s="13" t="s">
        <v>72</v>
      </c>
      <c r="I36" s="13">
        <f>SUMIF(Mercado_Receita!$T$2:$T$553,"44440B3Energia convencional pré-pagamentoNão se aplicaNão se aplicaNão se aplicaNão se aplicaNão se aplica",Mercado_Receita!$N$2:$N$553)</f>
        <v>0</v>
      </c>
      <c r="J36" s="13">
        <f>SUMIF(Mercado_Receita!$T$2:$T$553,"44470B3Energia convencional pré-pagamentoNão se aplicaNão se aplicaNão se aplicaNão se aplicaNão se aplica",Mercado_Receita!$N$2:$N$553)</f>
        <v>0</v>
      </c>
      <c r="K36" s="13">
        <f>SUMIF(Mercado_Receita!$T$2:$T$553,"44501B3Energia convencional pré-pagamentoNão se aplicaNão se aplicaNão se aplicaNão se aplicaNão se aplica",Mercado_Receita!$N$2:$N$553)</f>
        <v>0</v>
      </c>
      <c r="L36" s="13">
        <f>SUMIF(Mercado_Receita!$T$2:$T$553,"44531B3Energia convencional pré-pagamentoNão se aplicaNão se aplicaNão se aplicaNão se aplicaNão se aplica",Mercado_Receita!$N$2:$N$553)</f>
        <v>0</v>
      </c>
      <c r="M36" s="13">
        <f>SUMIF(Mercado_Receita!$T$2:$T$553,"44562B3Energia convencional pré-pagamentoNão se aplicaNão se aplicaNão se aplicaNão se aplicaNão se aplica",Mercado_Receita!$N$2:$N$553)</f>
        <v>0</v>
      </c>
      <c r="N36" s="13">
        <f>SUMIF(Mercado_Receita!$T$2:$T$553,"44593B3Energia convencional pré-pagamentoNão se aplicaNão se aplicaNão se aplicaNão se aplicaNão se aplica",Mercado_Receita!$N$2:$N$553)</f>
        <v>0</v>
      </c>
      <c r="O36" s="13">
        <f>SUMIF(Mercado_Receita!$T$2:$T$553,"44621B3Energia convencional pré-pagamentoNão se aplicaNão se aplicaNão se aplicaNão se aplicaNão se aplica",Mercado_Receita!$N$2:$N$553)</f>
        <v>0</v>
      </c>
      <c r="P36" s="13">
        <f>SUMIF(Mercado_Receita!$T$2:$T$553,"44652B3Energia convencional pré-pagamentoNão se aplicaNão se aplicaNão se aplicaNão se aplicaNão se aplica",Mercado_Receita!$N$2:$N$553)</f>
        <v>0</v>
      </c>
      <c r="Q36" s="13">
        <f>SUMIF(Mercado_Receita!$T$2:$T$553,"44682B3Energia convencional pré-pagamentoNão se aplicaNão se aplicaNão se aplicaNão se aplicaNão se aplica",Mercado_Receita!$N$2:$N$553)</f>
        <v>0</v>
      </c>
      <c r="R36" s="13">
        <f>SUMIF(Mercado_Receita!$T$2:$T$553,"44713B3Energia convencional pré-pagamentoNão se aplicaNão se aplicaNão se aplicaNão se aplicaNão se aplica",Mercado_Receita!$N$2:$N$553)</f>
        <v>0</v>
      </c>
      <c r="S36" s="13">
        <f>SUMIF(Mercado_Receita!$T$2:$T$553,"44743B3Energia convencional pré-pagamentoNão se aplicaNão se aplicaNão se aplicaNão se aplicaNão se aplica",Mercado_Receita!$N$2:$N$553)</f>
        <v>0</v>
      </c>
      <c r="T36" s="13">
        <f>SUMIF(Mercado_Receita!$T$2:$T$553,"44774B3Energia convencional pré-pagamentoNão se aplicaNão se aplicaNão se aplicaNão se aplicaNão se aplica",Mercado_Receita!$N$2:$N$553)</f>
        <v>0</v>
      </c>
      <c r="U36" s="13">
        <f t="shared" si="0"/>
        <v>0</v>
      </c>
      <c r="V36" s="13"/>
      <c r="W36" s="13"/>
    </row>
    <row r="37" spans="1:23" ht="11.25" customHeight="1" x14ac:dyDescent="0.25">
      <c r="A37" s="79" t="s">
        <v>43</v>
      </c>
      <c r="B37" s="79" t="s">
        <v>84</v>
      </c>
      <c r="C37" s="79" t="s">
        <v>44</v>
      </c>
      <c r="D37" s="12" t="s">
        <v>45</v>
      </c>
      <c r="E37" s="12" t="s">
        <v>25</v>
      </c>
      <c r="F37" s="12" t="s">
        <v>25</v>
      </c>
      <c r="G37" s="13" t="s">
        <v>78</v>
      </c>
      <c r="H37" s="13" t="s">
        <v>72</v>
      </c>
      <c r="I37" s="13">
        <f>SUMIF(Mercado_Receita!$T$2:$T$553,"44440B4Energia convencionalIluminação públicaIluminação pública – B4aNão se aplicaNão se aplicaNão se aplica",Mercado_Receita!$N$2:$N$553)</f>
        <v>76.06</v>
      </c>
      <c r="J37" s="13">
        <f>SUMIF(Mercado_Receita!$T$2:$T$553,"44470B4Energia convencionalIluminação públicaIluminação pública – B4aNão se aplicaNão se aplicaNão se aplica",Mercado_Receita!$N$2:$N$553)</f>
        <v>78.504999999999995</v>
      </c>
      <c r="K37" s="13">
        <f>SUMIF(Mercado_Receita!$T$2:$T$553,"44501B4Energia convencionalIluminação públicaIluminação pública – B4aNão se aplicaNão se aplicaNão se aplica",Mercado_Receita!$N$2:$N$553)</f>
        <v>76.010999999999996</v>
      </c>
      <c r="L37" s="13">
        <f>SUMIF(Mercado_Receita!$T$2:$T$553,"44531B4Energia convencionalIluminação públicaIluminação pública – B4aNão se aplicaNão se aplicaNão se aplica",Mercado_Receita!$N$2:$N$553)</f>
        <v>78.085999999999999</v>
      </c>
      <c r="M37" s="13">
        <f>SUMIF(Mercado_Receita!$T$2:$T$553,"44562B4Energia convencionalIluminação públicaIluminação pública – B4aNão se aplicaNão se aplicaNão se aplica",Mercado_Receita!$N$2:$N$553)</f>
        <v>77.98</v>
      </c>
      <c r="N37" s="13">
        <f>SUMIF(Mercado_Receita!$T$2:$T$553,"44593B4Energia convencionalIluminação públicaIluminação pública – B4aNão se aplicaNão se aplicaNão se aplica",Mercado_Receita!$N$2:$N$553)</f>
        <v>71.025000000000006</v>
      </c>
      <c r="O37" s="13">
        <f>SUMIF(Mercado_Receita!$T$2:$T$553,"44621B4Energia convencionalIluminação públicaIluminação pública – B4aNão se aplicaNão se aplicaNão se aplica",Mercado_Receita!$N$2:$N$553)</f>
        <v>78.382000000000005</v>
      </c>
      <c r="P37" s="13">
        <f>SUMIF(Mercado_Receita!$T$2:$T$553,"44652B4Energia convencionalIluminação públicaIluminação pública – B4aNão se aplicaNão se aplicaNão se aplica",Mercado_Receita!$N$2:$N$553)</f>
        <v>75.691000000000003</v>
      </c>
      <c r="Q37" s="13">
        <f>SUMIF(Mercado_Receita!$T$2:$T$553,"44682B4Energia convencionalIluminação públicaIluminação pública – B4aNão se aplicaNão se aplicaNão se aplica",Mercado_Receita!$N$2:$N$553)</f>
        <v>78.97</v>
      </c>
      <c r="R37" s="13">
        <f>SUMIF(Mercado_Receita!$T$2:$T$553,"44713B4Energia convencionalIluminação públicaIluminação pública – B4aNão se aplicaNão se aplicaNão se aplica",Mercado_Receita!$N$2:$N$553)</f>
        <v>78.191999999999993</v>
      </c>
      <c r="S37" s="13">
        <f>SUMIF(Mercado_Receita!$T$2:$T$553,"44743B4Energia convencionalIluminação públicaIluminação pública – B4aNão se aplicaNão se aplicaNão se aplica",Mercado_Receita!$N$2:$N$553)</f>
        <v>80.864000000000004</v>
      </c>
      <c r="T37" s="13">
        <f>SUMIF(Mercado_Receita!$T$2:$T$553,"44774B4Energia convencionalIluminação públicaIluminação pública – B4aNão se aplicaNão se aplicaNão se aplica",Mercado_Receita!$N$2:$N$553)</f>
        <v>80.777000000000001</v>
      </c>
      <c r="U37" s="13">
        <f t="shared" si="0"/>
        <v>930.54300000000012</v>
      </c>
      <c r="V37" s="13"/>
      <c r="W37" s="13"/>
    </row>
    <row r="38" spans="1:23" ht="11.25" customHeight="1" x14ac:dyDescent="0.25">
      <c r="A38" s="80"/>
      <c r="B38" s="80"/>
      <c r="C38" s="80"/>
      <c r="D38" s="13" t="s">
        <v>90</v>
      </c>
      <c r="E38" s="13" t="s">
        <v>25</v>
      </c>
      <c r="F38" s="13" t="s">
        <v>25</v>
      </c>
      <c r="G38" s="13" t="s">
        <v>78</v>
      </c>
      <c r="H38" s="13" t="s">
        <v>72</v>
      </c>
      <c r="I38" s="13">
        <f>SUMIF(Mercado_Receita!$T$2:$T$553,"44440B4Energia convencionalIluminação públicaIluminação pública – B4bNão se aplicaNão se aplicaNão se aplica",Mercado_Receita!$N$2:$N$553)</f>
        <v>0</v>
      </c>
      <c r="J38" s="13">
        <f>SUMIF(Mercado_Receita!$T$2:$T$553,"44470B4Energia convencionalIluminação públicaIluminação pública – B4bNão se aplicaNão se aplicaNão se aplica",Mercado_Receita!$N$2:$N$553)</f>
        <v>0</v>
      </c>
      <c r="K38" s="13">
        <f>SUMIF(Mercado_Receita!$T$2:$T$553,"44501B4Energia convencionalIluminação públicaIluminação pública – B4bNão se aplicaNão se aplicaNão se aplica",Mercado_Receita!$N$2:$N$553)</f>
        <v>0</v>
      </c>
      <c r="L38" s="13">
        <f>SUMIF(Mercado_Receita!$T$2:$T$553,"44531B4Energia convencionalIluminação públicaIluminação pública – B4bNão se aplicaNão se aplicaNão se aplica",Mercado_Receita!$N$2:$N$553)</f>
        <v>0</v>
      </c>
      <c r="M38" s="13">
        <f>SUMIF(Mercado_Receita!$T$2:$T$553,"44562B4Energia convencionalIluminação públicaIluminação pública – B4bNão se aplicaNão se aplicaNão se aplica",Mercado_Receita!$N$2:$N$553)</f>
        <v>0</v>
      </c>
      <c r="N38" s="13">
        <f>SUMIF(Mercado_Receita!$T$2:$T$553,"44593B4Energia convencionalIluminação públicaIluminação pública – B4bNão se aplicaNão se aplicaNão se aplica",Mercado_Receita!$N$2:$N$553)</f>
        <v>0</v>
      </c>
      <c r="O38" s="13">
        <f>SUMIF(Mercado_Receita!$T$2:$T$553,"44621B4Energia convencionalIluminação públicaIluminação pública – B4bNão se aplicaNão se aplicaNão se aplica",Mercado_Receita!$N$2:$N$553)</f>
        <v>0</v>
      </c>
      <c r="P38" s="13">
        <f>SUMIF(Mercado_Receita!$T$2:$T$553,"44652B4Energia convencionalIluminação públicaIluminação pública – B4bNão se aplicaNão se aplicaNão se aplica",Mercado_Receita!$N$2:$N$553)</f>
        <v>0</v>
      </c>
      <c r="Q38" s="13">
        <f>SUMIF(Mercado_Receita!$T$2:$T$553,"44682B4Energia convencionalIluminação públicaIluminação pública – B4bNão se aplicaNão se aplicaNão se aplica",Mercado_Receita!$N$2:$N$553)</f>
        <v>0</v>
      </c>
      <c r="R38" s="13">
        <f>SUMIF(Mercado_Receita!$T$2:$T$553,"44713B4Energia convencionalIluminação públicaIluminação pública – B4bNão se aplicaNão se aplicaNão se aplica",Mercado_Receita!$N$2:$N$553)</f>
        <v>0</v>
      </c>
      <c r="S38" s="13">
        <f>SUMIF(Mercado_Receita!$T$2:$T$553,"44743B4Energia convencionalIluminação públicaIluminação pública – B4bNão se aplicaNão se aplicaNão se aplica",Mercado_Receita!$N$2:$N$553)</f>
        <v>0</v>
      </c>
      <c r="T38" s="13">
        <f>SUMIF(Mercado_Receita!$T$2:$T$553,"44774B4Energia convencionalIluminação públicaIluminação pública – B4bNão se aplicaNão se aplicaNão se aplica",Mercado_Receita!$N$2:$N$553)</f>
        <v>0</v>
      </c>
      <c r="U38" s="13">
        <f t="shared" si="0"/>
        <v>0</v>
      </c>
      <c r="V38" s="13"/>
      <c r="W38" s="13"/>
    </row>
    <row r="39" spans="1:23" ht="11.25" customHeight="1" x14ac:dyDescent="0.25">
      <c r="A39" s="81" t="s">
        <v>385</v>
      </c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13"/>
      <c r="W39" s="13"/>
    </row>
  </sheetData>
  <mergeCells count="44">
    <mergeCell ref="A2:A3"/>
    <mergeCell ref="F2:F3"/>
    <mergeCell ref="E2:E3"/>
    <mergeCell ref="D2:D3"/>
    <mergeCell ref="C2:C3"/>
    <mergeCell ref="B2:B3"/>
    <mergeCell ref="C12:C16"/>
    <mergeCell ref="B12:B16"/>
    <mergeCell ref="A4:A16"/>
    <mergeCell ref="F17:F19"/>
    <mergeCell ref="E17:E19"/>
    <mergeCell ref="D17:D19"/>
    <mergeCell ref="C17:C19"/>
    <mergeCell ref="B17:B19"/>
    <mergeCell ref="F4:F6"/>
    <mergeCell ref="E4:E6"/>
    <mergeCell ref="D4:D6"/>
    <mergeCell ref="C4:C6"/>
    <mergeCell ref="B4:B6"/>
    <mergeCell ref="C7:C11"/>
    <mergeCell ref="B7:B11"/>
    <mergeCell ref="C21:C23"/>
    <mergeCell ref="B21:B23"/>
    <mergeCell ref="F25:F27"/>
    <mergeCell ref="E25:E27"/>
    <mergeCell ref="D25:D27"/>
    <mergeCell ref="C25:C27"/>
    <mergeCell ref="B25:B27"/>
    <mergeCell ref="A37:A38"/>
    <mergeCell ref="B37:B38"/>
    <mergeCell ref="C37:C38"/>
    <mergeCell ref="A39:U39"/>
    <mergeCell ref="C29:C31"/>
    <mergeCell ref="B29:B31"/>
    <mergeCell ref="A17:A31"/>
    <mergeCell ref="F32:F34"/>
    <mergeCell ref="E32:E34"/>
    <mergeCell ref="D32:D34"/>
    <mergeCell ref="C32:C34"/>
    <mergeCell ref="B32:B34"/>
    <mergeCell ref="A32:A36"/>
    <mergeCell ref="F21:F23"/>
    <mergeCell ref="E21:E23"/>
    <mergeCell ref="D21:D2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ABDF-B84E-4F2B-B7EF-0F36C45FE401}">
  <sheetPr codeName="Planilha6"/>
  <dimension ref="A1:AD200"/>
  <sheetViews>
    <sheetView showGridLines="0" workbookViewId="0">
      <selection activeCell="N23" sqref="A2:N29"/>
    </sheetView>
  </sheetViews>
  <sheetFormatPr defaultRowHeight="12" customHeight="1" x14ac:dyDescent="0.2"/>
  <cols>
    <col min="1" max="1" width="10.5703125" style="14" bestFit="1" customWidth="1"/>
    <col min="2" max="2" width="14.42578125" style="14" bestFit="1" customWidth="1"/>
    <col min="3" max="3" width="18.42578125" style="14" bestFit="1" customWidth="1"/>
    <col min="4" max="4" width="15" style="14" bestFit="1" customWidth="1"/>
    <col min="5" max="5" width="14.5703125" style="14" bestFit="1" customWidth="1"/>
    <col min="6" max="6" width="4.42578125" style="14" bestFit="1" customWidth="1"/>
    <col min="7" max="11" width="9.140625" style="14"/>
    <col min="12" max="12" width="34.140625" style="14" bestFit="1" customWidth="1"/>
    <col min="13" max="13" width="10.85546875" style="14" bestFit="1" customWidth="1"/>
    <col min="14" max="14" width="36.140625" style="14" bestFit="1" customWidth="1"/>
    <col min="15" max="15" width="30.7109375" style="14" customWidth="1"/>
    <col min="16" max="17" width="8.7109375" style="14" bestFit="1" customWidth="1"/>
    <col min="18" max="18" width="9.42578125" style="14" bestFit="1" customWidth="1"/>
    <col min="19" max="20" width="4" style="14" bestFit="1" customWidth="1"/>
    <col min="21" max="21" width="7" style="14" bestFit="1" customWidth="1"/>
    <col min="22" max="23" width="9.140625" style="14"/>
    <col min="24" max="24" width="53.140625" style="14" bestFit="1" customWidth="1"/>
    <col min="25" max="16384" width="9.140625" style="14"/>
  </cols>
  <sheetData>
    <row r="1" spans="1:30" ht="12" customHeight="1" x14ac:dyDescent="0.2">
      <c r="A1" s="10" t="s">
        <v>425</v>
      </c>
      <c r="B1" s="10" t="s">
        <v>426</v>
      </c>
      <c r="C1" s="10" t="s">
        <v>427</v>
      </c>
      <c r="D1" s="10" t="s">
        <v>428</v>
      </c>
      <c r="E1" s="10" t="s">
        <v>429</v>
      </c>
      <c r="F1" s="10" t="s">
        <v>430</v>
      </c>
      <c r="G1" s="7"/>
      <c r="H1" s="7"/>
      <c r="I1" s="7"/>
      <c r="J1" s="7"/>
      <c r="K1" s="7"/>
      <c r="L1" s="93" t="s">
        <v>431</v>
      </c>
      <c r="M1" s="93"/>
      <c r="N1" s="7"/>
      <c r="O1" s="90" t="s">
        <v>512</v>
      </c>
      <c r="P1" s="91"/>
      <c r="Q1" s="91"/>
      <c r="R1" s="91"/>
      <c r="S1" s="91"/>
      <c r="T1" s="91"/>
      <c r="U1" s="91"/>
      <c r="V1" s="7"/>
      <c r="W1" s="7"/>
      <c r="X1" s="7"/>
      <c r="Y1" s="7"/>
      <c r="Z1" s="7"/>
      <c r="AA1" s="7"/>
      <c r="AB1" s="7"/>
      <c r="AC1" s="7"/>
      <c r="AD1" s="7"/>
    </row>
    <row r="2" spans="1:30" ht="12" customHeight="1" x14ac:dyDescent="0.2">
      <c r="A2" s="83" t="s">
        <v>386</v>
      </c>
      <c r="B2" s="83" t="s">
        <v>387</v>
      </c>
      <c r="C2" s="16" t="s">
        <v>472</v>
      </c>
      <c r="D2" s="13">
        <v>0</v>
      </c>
      <c r="E2" s="13">
        <v>0</v>
      </c>
      <c r="F2" s="13">
        <v>0</v>
      </c>
      <c r="G2" s="15"/>
      <c r="H2" s="15"/>
      <c r="I2" s="15"/>
      <c r="J2" s="15"/>
      <c r="K2" s="15"/>
      <c r="L2" s="17" t="s">
        <v>432</v>
      </c>
      <c r="M2" s="20">
        <v>7.1900000000000006E-2</v>
      </c>
      <c r="N2" s="15"/>
      <c r="O2" s="37" t="s">
        <v>513</v>
      </c>
      <c r="P2" s="37" t="s">
        <v>514</v>
      </c>
      <c r="Q2" s="37" t="s">
        <v>515</v>
      </c>
      <c r="R2" s="37" t="s">
        <v>35</v>
      </c>
      <c r="S2" s="37" t="s">
        <v>516</v>
      </c>
      <c r="T2" s="37" t="s">
        <v>80</v>
      </c>
      <c r="U2" s="37"/>
      <c r="V2" s="15"/>
      <c r="W2" s="15"/>
      <c r="X2" s="17" t="s">
        <v>485</v>
      </c>
      <c r="Y2" s="15"/>
      <c r="Z2" s="15"/>
      <c r="AA2" s="15" t="s">
        <v>530</v>
      </c>
      <c r="AB2" s="15"/>
      <c r="AC2" s="15"/>
      <c r="AD2" s="15"/>
    </row>
    <row r="3" spans="1:30" ht="12" customHeight="1" x14ac:dyDescent="0.2">
      <c r="A3" s="85"/>
      <c r="B3" s="85"/>
      <c r="C3" s="16" t="s">
        <v>388</v>
      </c>
      <c r="D3" s="13">
        <v>109835.60937026615</v>
      </c>
      <c r="E3" s="13">
        <v>4204.1088071347203</v>
      </c>
      <c r="F3" s="13">
        <v>0</v>
      </c>
      <c r="G3" s="15"/>
      <c r="H3" s="15"/>
      <c r="I3" s="15"/>
      <c r="J3" s="15"/>
      <c r="K3" s="15"/>
      <c r="L3" s="17" t="s">
        <v>433</v>
      </c>
      <c r="M3" s="20"/>
      <c r="N3" s="15"/>
      <c r="O3" s="38">
        <v>1</v>
      </c>
      <c r="P3" s="38">
        <v>1</v>
      </c>
      <c r="Q3" s="38">
        <v>1</v>
      </c>
      <c r="R3" s="38">
        <v>1</v>
      </c>
      <c r="S3" s="38">
        <v>1</v>
      </c>
      <c r="T3" s="38">
        <v>1</v>
      </c>
      <c r="U3" s="38" t="s">
        <v>517</v>
      </c>
      <c r="V3" s="15"/>
      <c r="W3" s="15"/>
      <c r="X3" s="17" t="s">
        <v>486</v>
      </c>
      <c r="Y3" s="15"/>
      <c r="Z3" s="15"/>
      <c r="AA3" s="15">
        <v>0</v>
      </c>
      <c r="AB3" s="15"/>
      <c r="AC3" s="15"/>
      <c r="AD3" s="15"/>
    </row>
    <row r="4" spans="1:30" ht="12" customHeight="1" x14ac:dyDescent="0.2">
      <c r="A4" s="85"/>
      <c r="B4" s="85"/>
      <c r="C4" s="16" t="s">
        <v>389</v>
      </c>
      <c r="D4" s="13">
        <f>$M$22-D$30</f>
        <v>0</v>
      </c>
      <c r="E4" s="13">
        <f>IF((D4+D$30)&lt;&gt;0,$M$20*D4/(D4+D$30),0)</f>
        <v>0</v>
      </c>
      <c r="F4" s="13">
        <f>IF((D4+D$30)&lt;&gt;0,$M$21*D4/(D4+D$30),0)</f>
        <v>0</v>
      </c>
      <c r="G4" s="15"/>
      <c r="H4" s="15"/>
      <c r="I4" s="15"/>
      <c r="J4" s="15"/>
      <c r="K4" s="15"/>
      <c r="L4" s="17" t="s">
        <v>434</v>
      </c>
      <c r="M4" s="20">
        <v>8.5874515481677571E-2</v>
      </c>
      <c r="N4" s="15"/>
      <c r="O4" s="38">
        <v>1</v>
      </c>
      <c r="P4" s="38">
        <v>1</v>
      </c>
      <c r="Q4" s="38">
        <v>1</v>
      </c>
      <c r="R4" s="38">
        <v>1</v>
      </c>
      <c r="S4" s="38">
        <v>1</v>
      </c>
      <c r="T4" s="38">
        <v>1</v>
      </c>
      <c r="U4" s="38" t="s">
        <v>53</v>
      </c>
      <c r="V4" s="15"/>
      <c r="W4" s="15"/>
      <c r="X4" s="15"/>
      <c r="Y4" s="15"/>
      <c r="Z4" s="15"/>
      <c r="AA4" s="15"/>
      <c r="AB4" s="15"/>
      <c r="AC4" s="15"/>
      <c r="AD4" s="15"/>
    </row>
    <row r="5" spans="1:30" ht="12" customHeight="1" x14ac:dyDescent="0.2">
      <c r="A5" s="85"/>
      <c r="B5" s="85"/>
      <c r="C5" s="16" t="s">
        <v>390</v>
      </c>
      <c r="D5" s="13">
        <v>0</v>
      </c>
      <c r="E5" s="13"/>
      <c r="F5" s="13"/>
      <c r="G5" s="15"/>
      <c r="H5" s="15"/>
      <c r="I5" s="15"/>
      <c r="J5" s="15"/>
      <c r="K5" s="15"/>
      <c r="L5" s="17" t="s">
        <v>435</v>
      </c>
      <c r="M5" s="20">
        <v>1E-14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ht="12" customHeight="1" x14ac:dyDescent="0.2">
      <c r="A6" s="85"/>
      <c r="B6" s="85"/>
      <c r="C6" s="16" t="s">
        <v>391</v>
      </c>
      <c r="D6" s="13">
        <v>0</v>
      </c>
      <c r="E6" s="13">
        <v>0</v>
      </c>
      <c r="F6" s="13">
        <v>0</v>
      </c>
      <c r="G6" s="15"/>
      <c r="H6" s="15"/>
      <c r="I6" s="15"/>
      <c r="J6" s="15"/>
      <c r="K6" s="15"/>
      <c r="L6" s="17" t="s">
        <v>436</v>
      </c>
      <c r="M6" s="20">
        <v>0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ht="12" customHeight="1" x14ac:dyDescent="0.2">
      <c r="A7" s="85"/>
      <c r="B7" s="85"/>
      <c r="C7" s="16" t="s">
        <v>392</v>
      </c>
      <c r="D7" s="13">
        <v>7706465.960090002</v>
      </c>
      <c r="E7" s="13">
        <v>181053.9608331761</v>
      </c>
      <c r="F7" s="13">
        <v>0</v>
      </c>
      <c r="G7" s="15"/>
      <c r="H7" s="15"/>
      <c r="I7" s="15"/>
      <c r="J7" s="15"/>
      <c r="K7" s="15"/>
      <c r="L7" s="17" t="s">
        <v>437</v>
      </c>
      <c r="M7" s="17">
        <f>M8+M9+M10+M11</f>
        <v>10075.080000000002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ht="12" customHeight="1" x14ac:dyDescent="0.2">
      <c r="A8" s="85"/>
      <c r="B8" s="85"/>
      <c r="C8" s="16" t="s">
        <v>393</v>
      </c>
      <c r="D8" s="13">
        <v>1291204.2324600006</v>
      </c>
      <c r="E8" s="13">
        <v>27576.297970177777</v>
      </c>
      <c r="F8" s="13">
        <v>0</v>
      </c>
      <c r="G8" s="15"/>
      <c r="H8" s="15"/>
      <c r="I8" s="15"/>
      <c r="J8" s="15"/>
      <c r="K8" s="15"/>
      <c r="L8" s="21" t="s">
        <v>438</v>
      </c>
      <c r="M8" s="17">
        <v>10075.080000000002</v>
      </c>
      <c r="N8" s="15"/>
      <c r="O8" s="17" t="s">
        <v>471</v>
      </c>
      <c r="P8" s="19">
        <v>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ht="12" customHeight="1" x14ac:dyDescent="0.2">
      <c r="A9" s="85"/>
      <c r="B9" s="85"/>
      <c r="C9" s="16" t="s">
        <v>394</v>
      </c>
      <c r="D9" s="13"/>
      <c r="E9" s="13"/>
      <c r="F9" s="13"/>
      <c r="G9" s="15"/>
      <c r="H9" s="15"/>
      <c r="I9" s="15"/>
      <c r="J9" s="15"/>
      <c r="K9" s="15"/>
      <c r="L9" s="22" t="s">
        <v>439</v>
      </c>
      <c r="M9" s="17">
        <v>0</v>
      </c>
      <c r="N9" s="15"/>
      <c r="O9" s="17" t="s">
        <v>476</v>
      </c>
      <c r="P9" s="19">
        <f>SUM(Mercado_Receita!$J$2:$J$553)</f>
        <v>162202</v>
      </c>
      <c r="Q9" s="19">
        <v>162202</v>
      </c>
      <c r="R9" s="19" t="str">
        <f>IF(ABS(P9-Q9)&gt;1,"ERRO BADNET","OK BADNET")</f>
        <v>OK BADNET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ht="12" customHeight="1" x14ac:dyDescent="0.2">
      <c r="A10" s="85"/>
      <c r="B10" s="84"/>
      <c r="C10" s="16" t="s">
        <v>395</v>
      </c>
      <c r="D10" s="13">
        <f>SUM(D$2:D9)</f>
        <v>9107505.8019202687</v>
      </c>
      <c r="E10" s="13">
        <f>SUM(E$2:E9)</f>
        <v>212834.36761048861</v>
      </c>
      <c r="F10" s="13">
        <f>SUM(F$2:F9)</f>
        <v>0</v>
      </c>
      <c r="G10" s="15"/>
      <c r="H10" s="15"/>
      <c r="I10" s="15"/>
      <c r="J10" s="15"/>
      <c r="K10" s="15"/>
      <c r="L10" s="21" t="s">
        <v>440</v>
      </c>
      <c r="M10" s="17">
        <v>0</v>
      </c>
      <c r="N10" s="15"/>
      <c r="O10" s="17" t="s">
        <v>477</v>
      </c>
      <c r="P10" s="19">
        <f>SUM(Mercado_Receita!$L$2:$L$553)</f>
        <v>91552.993000000148</v>
      </c>
      <c r="Q10" s="19">
        <v>91552.993000000104</v>
      </c>
      <c r="R10" s="19" t="str">
        <f>IF(ABS(P10-Q10)&gt;1,"ERRO BADNET","OK BADNET")</f>
        <v>OK BADNET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ht="12" customHeight="1" x14ac:dyDescent="0.2">
      <c r="A11" s="85"/>
      <c r="B11" s="83" t="s">
        <v>396</v>
      </c>
      <c r="C11" s="16" t="s">
        <v>397</v>
      </c>
      <c r="D11" s="13">
        <v>0</v>
      </c>
      <c r="E11" s="13">
        <v>0</v>
      </c>
      <c r="F11" s="13">
        <f>IF((+$D$11+$D$12+$D$16+$D$17+$D$39)&lt;&gt;0,$M$19*$D$11/(+$D$11+$D$12+$D$16+$D$17+$D$39),0)</f>
        <v>0</v>
      </c>
      <c r="G11" s="15"/>
      <c r="H11" s="15"/>
      <c r="I11" s="15"/>
      <c r="J11" s="15"/>
      <c r="K11" s="15"/>
      <c r="L11" s="21" t="s">
        <v>441</v>
      </c>
      <c r="M11" s="17">
        <v>0</v>
      </c>
      <c r="N11" s="15"/>
      <c r="O11" s="17" t="s">
        <v>478</v>
      </c>
      <c r="P11" s="19">
        <f>SUM(Mercado_Receita!$N$2:$N$553)</f>
        <v>91552.993000000148</v>
      </c>
      <c r="Q11" s="19">
        <v>91552.993000000104</v>
      </c>
      <c r="R11" s="19" t="str">
        <f>IF(ABS(P11-Q11)&gt;1,"ERRO BADNET","OK BADNET")</f>
        <v>OK BADNET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ht="12" customHeight="1" x14ac:dyDescent="0.2">
      <c r="A12" s="85"/>
      <c r="B12" s="85"/>
      <c r="C12" s="16" t="s">
        <v>398</v>
      </c>
      <c r="D12" s="13">
        <v>0</v>
      </c>
      <c r="E12" s="13">
        <v>0</v>
      </c>
      <c r="F12" s="13">
        <f>IF((+$D$11+$D$12+$D$16+$D$17+$D$39)&lt;&gt;0,$M$19*$D$12/(+$D$11+$D$12+$D$16+$D$17+$D$39),0)</f>
        <v>0</v>
      </c>
      <c r="G12" s="15"/>
      <c r="H12" s="15"/>
      <c r="I12" s="15"/>
      <c r="J12" s="15"/>
      <c r="K12" s="15"/>
      <c r="L12" s="17" t="s">
        <v>442</v>
      </c>
      <c r="M12" s="17">
        <v>101628.07300000003</v>
      </c>
      <c r="N12" s="15"/>
      <c r="O12" s="17" t="s">
        <v>479</v>
      </c>
      <c r="P12" s="19">
        <f>SUMIF('MERCADO TUSD'!$H$2:$H$48,"kW",'MERCADO TUSD'!$U$2:$U$48)</f>
        <v>162202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ht="12" customHeight="1" x14ac:dyDescent="0.2">
      <c r="A13" s="85"/>
      <c r="B13" s="85"/>
      <c r="C13" s="16" t="s">
        <v>399</v>
      </c>
      <c r="D13" s="13">
        <f>-$M$51+0</f>
        <v>0</v>
      </c>
      <c r="E13" s="13"/>
      <c r="F13" s="13"/>
      <c r="G13" s="15"/>
      <c r="H13" s="15"/>
      <c r="I13" s="15"/>
      <c r="J13" s="15"/>
      <c r="K13" s="15"/>
      <c r="L13" s="17" t="s">
        <v>443</v>
      </c>
      <c r="M13" s="17">
        <v>1635.6737817539956</v>
      </c>
      <c r="N13" s="15"/>
      <c r="O13" s="17" t="s">
        <v>480</v>
      </c>
      <c r="P13" s="19">
        <f>SUMIF('MERCADO TUSD'!$H$2:$H$48,"MWh",'MERCADO TUSD'!$U$2:$U$48)</f>
        <v>91552.993000000002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2" customHeight="1" x14ac:dyDescent="0.2">
      <c r="A14" s="85"/>
      <c r="B14" s="85"/>
      <c r="C14" s="16" t="s">
        <v>400</v>
      </c>
      <c r="D14" s="13"/>
      <c r="E14" s="13"/>
      <c r="F14" s="13"/>
      <c r="G14" s="15"/>
      <c r="H14" s="15"/>
      <c r="I14" s="15"/>
      <c r="J14" s="15"/>
      <c r="K14" s="15"/>
      <c r="L14" s="17" t="s">
        <v>444</v>
      </c>
      <c r="M14" s="17">
        <v>127.8358053062513</v>
      </c>
      <c r="N14" s="15"/>
      <c r="O14" s="17" t="s">
        <v>481</v>
      </c>
      <c r="P14" s="19">
        <f>SUMIF('MERCADO TE'!$H$2:$H$38,"MWh",'MERCADO TE'!$U$2:$U$38)</f>
        <v>91552.993000000002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ht="12" customHeight="1" x14ac:dyDescent="0.2">
      <c r="A15" s="85"/>
      <c r="B15" s="85"/>
      <c r="C15" s="16" t="s">
        <v>401</v>
      </c>
      <c r="D15" s="13">
        <v>10275212.197579999</v>
      </c>
      <c r="E15" s="13">
        <v>-1451207.6955431984</v>
      </c>
      <c r="F15" s="13">
        <v>0</v>
      </c>
      <c r="G15" s="15"/>
      <c r="H15" s="15"/>
      <c r="I15" s="15"/>
      <c r="J15" s="15"/>
      <c r="K15" s="15"/>
      <c r="L15" s="17" t="s">
        <v>445</v>
      </c>
      <c r="M15" s="17">
        <f>M14*M12</f>
        <v>12991706.553677499</v>
      </c>
      <c r="N15" s="15"/>
      <c r="O15" s="17" t="s">
        <v>482</v>
      </c>
      <c r="P15" s="19" t="str">
        <f>IF(ABS(P9-P12)&gt;1,"ERRO","OK")</f>
        <v>OK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ht="12" customHeight="1" x14ac:dyDescent="0.2">
      <c r="A16" s="85"/>
      <c r="B16" s="85"/>
      <c r="C16" s="16" t="s">
        <v>402</v>
      </c>
      <c r="D16" s="13">
        <v>0</v>
      </c>
      <c r="E16" s="13"/>
      <c r="F16" s="13">
        <f>IF((+$D$11+$D$12+$D$16+$D$17+$D$39)&lt;&gt;0,$M$19*$D$16/(+$D$11+$D$12+$D$16+$D$17+$D$39),0)</f>
        <v>0</v>
      </c>
      <c r="G16" s="15"/>
      <c r="H16" s="15"/>
      <c r="I16" s="15"/>
      <c r="J16" s="15"/>
      <c r="K16" s="15"/>
      <c r="L16" s="17" t="s">
        <v>446</v>
      </c>
      <c r="M16" s="17">
        <v>746895.86832496664</v>
      </c>
      <c r="N16" s="15"/>
      <c r="O16" s="17" t="s">
        <v>483</v>
      </c>
      <c r="P16" s="19" t="str">
        <f>IF(ABS(P10-P13)&gt;1,"ERRO","OK")</f>
        <v>OK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2" customHeight="1" x14ac:dyDescent="0.2">
      <c r="A17" s="85"/>
      <c r="B17" s="85"/>
      <c r="C17" s="16" t="s">
        <v>403</v>
      </c>
      <c r="D17" s="13">
        <v>0</v>
      </c>
      <c r="E17" s="13"/>
      <c r="F17" s="13">
        <f>IF((+$D$11+$D$12+$D$16+$D$17+$D$39)&lt;&gt;0,$M$19*$D$17/(+$D$11+$D$12+$D$16+$D$17+$D$39),0)</f>
        <v>0</v>
      </c>
      <c r="G17" s="15"/>
      <c r="H17" s="15"/>
      <c r="I17" s="15"/>
      <c r="J17" s="15"/>
      <c r="K17" s="15"/>
      <c r="L17" s="17" t="s">
        <v>447</v>
      </c>
      <c r="M17" s="17">
        <v>0</v>
      </c>
      <c r="N17" s="15"/>
      <c r="O17" s="17" t="s">
        <v>484</v>
      </c>
      <c r="P17" s="19" t="str">
        <f>IF(ABS(P11-P14)&gt;1,"ERRO","OK")</f>
        <v>OK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ht="12" customHeight="1" x14ac:dyDescent="0.2">
      <c r="A18" s="85"/>
      <c r="B18" s="84"/>
      <c r="C18" s="16" t="s">
        <v>395</v>
      </c>
      <c r="D18" s="13">
        <f>SUM(D$11:D17)</f>
        <v>10275212.197579999</v>
      </c>
      <c r="E18" s="13">
        <f>SUM(E$11:E17)</f>
        <v>-1451207.6955431984</v>
      </c>
      <c r="F18" s="13">
        <f>SUM(F$11:F17)</f>
        <v>0</v>
      </c>
      <c r="G18" s="15"/>
      <c r="H18" s="15"/>
      <c r="I18" s="15"/>
      <c r="J18" s="15"/>
      <c r="K18" s="15"/>
      <c r="L18" s="17" t="s">
        <v>448</v>
      </c>
      <c r="M18" s="17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2" customHeight="1" x14ac:dyDescent="0.2">
      <c r="A19" s="85"/>
      <c r="B19" s="83" t="s">
        <v>404</v>
      </c>
      <c r="C19" s="16" t="s">
        <v>405</v>
      </c>
      <c r="D19" s="13">
        <v>26000000</v>
      </c>
      <c r="E19" s="13">
        <v>-11769398.069312805</v>
      </c>
      <c r="F19" s="13">
        <v>0</v>
      </c>
      <c r="G19" s="15"/>
      <c r="H19" s="15"/>
      <c r="I19" s="15"/>
      <c r="J19" s="15"/>
      <c r="K19" s="15"/>
      <c r="L19" s="17" t="s">
        <v>449</v>
      </c>
      <c r="M19" s="17">
        <v>0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2" customHeight="1" x14ac:dyDescent="0.2">
      <c r="A20" s="85"/>
      <c r="B20" s="84"/>
      <c r="C20" s="16" t="s">
        <v>395</v>
      </c>
      <c r="D20" s="13">
        <f>SUM(D$19:D19)</f>
        <v>26000000</v>
      </c>
      <c r="E20" s="13">
        <f>SUM(E$19:E19)</f>
        <v>-11769398.069312805</v>
      </c>
      <c r="F20" s="13">
        <f>SUM(F$19:F19)</f>
        <v>0</v>
      </c>
      <c r="G20" s="15"/>
      <c r="H20" s="15"/>
      <c r="I20" s="15"/>
      <c r="J20" s="15"/>
      <c r="K20" s="15"/>
      <c r="L20" s="17" t="s">
        <v>450</v>
      </c>
      <c r="M20" s="17">
        <v>0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ht="12" customHeight="1" x14ac:dyDescent="0.2">
      <c r="A21" s="85"/>
      <c r="B21" s="83" t="s">
        <v>406</v>
      </c>
      <c r="C21" s="16" t="s">
        <v>407</v>
      </c>
      <c r="D21" s="13"/>
      <c r="E21" s="13">
        <f>IF($D$47&lt;&gt;0,(1-$D$46/$D$47)*0,0)+0</f>
        <v>0</v>
      </c>
      <c r="F21" s="13"/>
      <c r="G21" s="15"/>
      <c r="H21" s="15"/>
      <c r="I21" s="15"/>
      <c r="J21" s="15"/>
      <c r="K21" s="15"/>
      <c r="L21" s="17" t="s">
        <v>451</v>
      </c>
      <c r="M21" s="17">
        <v>0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2" customHeight="1" x14ac:dyDescent="0.2">
      <c r="A22" s="85"/>
      <c r="B22" s="85"/>
      <c r="C22" s="16" t="s">
        <v>408</v>
      </c>
      <c r="D22" s="13"/>
      <c r="E22" s="13"/>
      <c r="F22" s="13"/>
      <c r="G22" s="15"/>
      <c r="H22" s="15"/>
      <c r="I22" s="15"/>
      <c r="J22" s="15"/>
      <c r="K22" s="15"/>
      <c r="L22" s="17" t="s">
        <v>473</v>
      </c>
      <c r="M22" s="17">
        <v>0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2" customHeight="1" x14ac:dyDescent="0.2">
      <c r="A23" s="85"/>
      <c r="B23" s="84"/>
      <c r="C23" s="16" t="s">
        <v>395</v>
      </c>
      <c r="D23" s="13">
        <f>SUM(D$21:D22)</f>
        <v>0</v>
      </c>
      <c r="E23" s="13">
        <f>SUM(E$21:E22)</f>
        <v>0</v>
      </c>
      <c r="F23" s="13">
        <f>SUM(F$21:F22)</f>
        <v>0</v>
      </c>
      <c r="G23" s="15"/>
      <c r="H23" s="15"/>
      <c r="I23" s="15"/>
      <c r="J23" s="15"/>
      <c r="K23" s="15"/>
      <c r="L23" s="17" t="s">
        <v>452</v>
      </c>
      <c r="M23" s="17">
        <v>11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ht="12" customHeight="1" x14ac:dyDescent="0.2">
      <c r="A24" s="85"/>
      <c r="B24" s="83" t="s">
        <v>409</v>
      </c>
      <c r="C24" s="16" t="s">
        <v>410</v>
      </c>
      <c r="D24" s="13">
        <f>$M$14*$M$8</f>
        <v>1287955.9653249066</v>
      </c>
      <c r="E24" s="13">
        <f>$M$16*$M$8/$M$12</f>
        <v>74044.85200701881</v>
      </c>
      <c r="F24" s="13">
        <f>$M$17*$M$8/$M$12</f>
        <v>0</v>
      </c>
      <c r="G24" s="15"/>
      <c r="H24" s="15"/>
      <c r="I24" s="15"/>
      <c r="J24" s="15"/>
      <c r="K24" s="15"/>
      <c r="L24" s="17" t="s">
        <v>453</v>
      </c>
      <c r="M24" s="17">
        <v>0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ht="12" customHeight="1" x14ac:dyDescent="0.2">
      <c r="A25" s="85"/>
      <c r="B25" s="85"/>
      <c r="C25" s="16" t="s">
        <v>411</v>
      </c>
      <c r="D25" s="13">
        <f>$M$14*$M$10</f>
        <v>0</v>
      </c>
      <c r="E25" s="13">
        <f>$M$16*$M$10/$M$12</f>
        <v>0</v>
      </c>
      <c r="F25" s="13">
        <f>$M$17*$M$10/$M$12</f>
        <v>0</v>
      </c>
      <c r="G25" s="15"/>
      <c r="H25" s="15"/>
      <c r="I25" s="15"/>
      <c r="J25" s="15"/>
      <c r="K25" s="15"/>
      <c r="L25" s="17" t="s">
        <v>454</v>
      </c>
      <c r="M25" s="17">
        <v>0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ht="12" customHeight="1" x14ac:dyDescent="0.2">
      <c r="A26" s="85"/>
      <c r="B26" s="85"/>
      <c r="C26" s="16" t="s">
        <v>412</v>
      </c>
      <c r="D26" s="13">
        <f>$M$14*$M$9</f>
        <v>0</v>
      </c>
      <c r="E26" s="13">
        <f>$M$16*$M$9/$M$12</f>
        <v>0</v>
      </c>
      <c r="F26" s="13">
        <f>$M$17*$M$9/$M$12</f>
        <v>0</v>
      </c>
      <c r="G26" s="15"/>
      <c r="H26" s="15"/>
      <c r="I26" s="15"/>
      <c r="J26" s="15"/>
      <c r="K26" s="15"/>
      <c r="L26" s="17" t="s">
        <v>455</v>
      </c>
      <c r="M26" s="17">
        <v>0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2" customHeight="1" x14ac:dyDescent="0.2">
      <c r="A27" s="85"/>
      <c r="B27" s="85"/>
      <c r="C27" s="16" t="s">
        <v>413</v>
      </c>
      <c r="D27" s="13"/>
      <c r="E27" s="13"/>
      <c r="F27" s="13"/>
      <c r="G27" s="15"/>
      <c r="H27" s="15"/>
      <c r="I27" s="15"/>
      <c r="J27" s="15"/>
      <c r="K27" s="15"/>
      <c r="L27" s="17" t="s">
        <v>456</v>
      </c>
      <c r="M27" s="17">
        <v>0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12" customHeight="1" x14ac:dyDescent="0.2">
      <c r="A28" s="85"/>
      <c r="B28" s="84"/>
      <c r="C28" s="16" t="s">
        <v>395</v>
      </c>
      <c r="D28" s="13">
        <f>SUM(D$24:D27)</f>
        <v>1287955.9653249066</v>
      </c>
      <c r="E28" s="13">
        <f>SUM(E$24:E27)</f>
        <v>74044.85200701881</v>
      </c>
      <c r="F28" s="13">
        <f>SUM(F$24:F27)</f>
        <v>0</v>
      </c>
      <c r="G28" s="15"/>
      <c r="H28" s="15"/>
      <c r="I28" s="15"/>
      <c r="J28" s="15"/>
      <c r="K28" s="15"/>
      <c r="L28" s="17" t="s">
        <v>457</v>
      </c>
      <c r="M28" s="17">
        <v>0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2" customHeight="1" x14ac:dyDescent="0.2">
      <c r="A29" s="84"/>
      <c r="B29" s="88" t="s">
        <v>395</v>
      </c>
      <c r="C29" s="89"/>
      <c r="D29" s="13">
        <f>SUMIF(C$2:C28,"SUBTOTAL",D$2:D28)</f>
        <v>46670673.964825176</v>
      </c>
      <c r="E29" s="13">
        <f>SUMIF(C$2:C28,"SUBTOTAL",E$2:E28)</f>
        <v>-12933726.545238497</v>
      </c>
      <c r="F29" s="13">
        <f>SUMIF(C$2:C28,"SUBTOTAL",F$2:F28)</f>
        <v>0</v>
      </c>
      <c r="G29" s="15"/>
      <c r="H29" s="15"/>
      <c r="I29" s="15"/>
      <c r="J29" s="15"/>
      <c r="K29" s="15"/>
      <c r="L29" s="17" t="s">
        <v>458</v>
      </c>
      <c r="M29" s="17">
        <v>0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2" customHeight="1" x14ac:dyDescent="0.2">
      <c r="A30" s="83" t="s">
        <v>414</v>
      </c>
      <c r="B30" s="83" t="s">
        <v>387</v>
      </c>
      <c r="C30" s="16" t="s">
        <v>389</v>
      </c>
      <c r="D30" s="13">
        <f>IFERROR($M$5*(+D$31+D$32+D$33+D$34+D$36+D$38+D$39+D$40+D$44)+($M$5^2)*(+D$31+D$32+D$33+D$34+D$36+D$38+D$39+D$40+D$44)/$M$22*(+$E$2+$F$2+$E$3+$F$3+$E$8+$F$8+$E$9+$F$9+$E$11+$F$11+$E$12+$F$12+$E$13+$F$13+$E$14+$F$14+$E$15+$F$15+$E$16+$F$16+$E$17+$F$17+$E$19+$F$19+$E$22+$F$22+$E$24+$F$24+$E$25+$F$25+$E$26+$F$26+$E$27+$F$27+$E$31+$F$31+$E$32+$F$32+$E$33+$F$33+$E$34+$F$34+$E$36+$F$36+$E$38+$F$38+$E$39+$F$39+$E$40+$F$40+$E$44+$F$44),0)</f>
        <v>0</v>
      </c>
      <c r="E30" s="13">
        <f>IF((D30+D$4)&lt;&gt;0,$M$20*D30/(D30+D$4),0)</f>
        <v>0</v>
      </c>
      <c r="F30" s="13">
        <f>IF((D30+D$4)&lt;&gt;0,$M$21*D30/(D30+D$4),0)</f>
        <v>0</v>
      </c>
      <c r="G30" s="15"/>
      <c r="H30" s="15"/>
      <c r="I30" s="15"/>
      <c r="J30" s="15"/>
      <c r="K30" s="15"/>
      <c r="L30" s="17" t="s">
        <v>459</v>
      </c>
      <c r="M30" s="17">
        <v>0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ht="12" customHeight="1" x14ac:dyDescent="0.2">
      <c r="A31" s="85"/>
      <c r="B31" s="85"/>
      <c r="C31" s="16" t="s">
        <v>415</v>
      </c>
      <c r="D31" s="13">
        <v>0</v>
      </c>
      <c r="E31" s="13">
        <v>0</v>
      </c>
      <c r="F31" s="13">
        <v>0</v>
      </c>
      <c r="G31" s="15"/>
      <c r="H31" s="15"/>
      <c r="I31" s="15"/>
      <c r="J31" s="15"/>
      <c r="K31" s="15"/>
      <c r="L31" s="17" t="s">
        <v>460</v>
      </c>
      <c r="M31" s="17">
        <v>0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ht="12" customHeight="1" x14ac:dyDescent="0.2">
      <c r="A32" s="85"/>
      <c r="B32" s="85"/>
      <c r="C32" s="16" t="s">
        <v>416</v>
      </c>
      <c r="D32" s="13">
        <v>0</v>
      </c>
      <c r="E32" s="13">
        <v>0</v>
      </c>
      <c r="F32" s="13">
        <v>0</v>
      </c>
      <c r="G32" s="15"/>
      <c r="H32" s="15"/>
      <c r="I32" s="15"/>
      <c r="J32" s="15"/>
      <c r="K32" s="15"/>
      <c r="L32" s="17" t="s">
        <v>461</v>
      </c>
      <c r="M32" s="17">
        <v>0.45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ht="12" customHeight="1" x14ac:dyDescent="0.2">
      <c r="A33" s="85"/>
      <c r="B33" s="85"/>
      <c r="C33" s="16" t="s">
        <v>475</v>
      </c>
      <c r="D33" s="13"/>
      <c r="E33" s="13">
        <v>0</v>
      </c>
      <c r="F33" s="13">
        <v>0</v>
      </c>
      <c r="G33" s="15"/>
      <c r="H33" s="15"/>
      <c r="I33" s="15"/>
      <c r="J33" s="15"/>
      <c r="K33" s="15"/>
      <c r="L33" s="17" t="s">
        <v>462</v>
      </c>
      <c r="M33" s="17">
        <v>0.4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12" customHeight="1" x14ac:dyDescent="0.2">
      <c r="A34" s="85"/>
      <c r="B34" s="85"/>
      <c r="C34" s="16" t="s">
        <v>417</v>
      </c>
      <c r="D34" s="13">
        <v>0</v>
      </c>
      <c r="E34" s="13">
        <v>0</v>
      </c>
      <c r="F34" s="13">
        <v>0</v>
      </c>
      <c r="G34" s="15"/>
      <c r="H34" s="15"/>
      <c r="I34" s="15"/>
      <c r="J34" s="15"/>
      <c r="K34" s="15"/>
      <c r="L34" s="17" t="s">
        <v>463</v>
      </c>
      <c r="M34" s="17">
        <v>0.65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ht="12" customHeight="1" x14ac:dyDescent="0.2">
      <c r="A35" s="85"/>
      <c r="B35" s="84"/>
      <c r="C35" s="16" t="s">
        <v>395</v>
      </c>
      <c r="D35" s="13">
        <f>SUM(D$30:D34)</f>
        <v>0</v>
      </c>
      <c r="E35" s="13">
        <f>SUM(E$30:E34)</f>
        <v>0</v>
      </c>
      <c r="F35" s="13">
        <f>SUM(F$30:F34)</f>
        <v>0</v>
      </c>
      <c r="G35" s="15"/>
      <c r="H35" s="15"/>
      <c r="I35" s="15"/>
      <c r="J35" s="15"/>
      <c r="K35" s="15"/>
      <c r="L35" s="17" t="s">
        <v>464</v>
      </c>
      <c r="M35" s="17">
        <v>0.4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ht="12" customHeight="1" x14ac:dyDescent="0.2">
      <c r="A36" s="85"/>
      <c r="B36" s="83" t="s">
        <v>418</v>
      </c>
      <c r="C36" s="16" t="s">
        <v>419</v>
      </c>
      <c r="D36" s="13">
        <f>$M$14*($M$12-$M$7)</f>
        <v>11703750.588352593</v>
      </c>
      <c r="E36" s="13">
        <f>$M$16*($M$12-$M$7)/$M$12</f>
        <v>672851.01631794788</v>
      </c>
      <c r="F36" s="13">
        <f>$M$17*($M$12-$M$7)/$M$12</f>
        <v>0</v>
      </c>
      <c r="G36" s="15"/>
      <c r="H36" s="15"/>
      <c r="I36" s="15"/>
      <c r="J36" s="15"/>
      <c r="K36" s="15"/>
      <c r="L36" s="17" t="s">
        <v>465</v>
      </c>
      <c r="M36" s="17">
        <v>0.1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ht="12" customHeight="1" x14ac:dyDescent="0.2">
      <c r="A37" s="85"/>
      <c r="B37" s="84"/>
      <c r="C37" s="16" t="s">
        <v>395</v>
      </c>
      <c r="D37" s="13">
        <f>SUM(D$36:D36)</f>
        <v>11703750.588352593</v>
      </c>
      <c r="E37" s="13">
        <f>SUM(E$36:E36)</f>
        <v>672851.01631794788</v>
      </c>
      <c r="F37" s="13">
        <f>SUM(F$36:F36)</f>
        <v>0</v>
      </c>
      <c r="G37" s="15"/>
      <c r="H37" s="15"/>
      <c r="I37" s="15"/>
      <c r="J37" s="15"/>
      <c r="K37" s="15"/>
      <c r="L37" s="17" t="s">
        <v>466</v>
      </c>
      <c r="M37" s="17">
        <v>0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2" customHeight="1" x14ac:dyDescent="0.2">
      <c r="A38" s="85"/>
      <c r="B38" s="83" t="s">
        <v>396</v>
      </c>
      <c r="C38" s="16" t="s">
        <v>420</v>
      </c>
      <c r="D38" s="13">
        <v>0</v>
      </c>
      <c r="E38" s="13">
        <v>0</v>
      </c>
      <c r="F38" s="13">
        <v>0</v>
      </c>
      <c r="G38" s="15"/>
      <c r="H38" s="15"/>
      <c r="I38" s="15"/>
      <c r="J38" s="15"/>
      <c r="K38" s="15"/>
      <c r="L38" s="17" t="s">
        <v>467</v>
      </c>
      <c r="M38" s="17">
        <f>IFERROR(VLOOKUP("Convencional1RuralNão se aplicaRURALB2",Descontos!B1:U88,VLOOKUP("Convencional1RuralNão se aplicaRURALB2",Descontos!B1:U88,20,FALSE)+12,FALSE),100)</f>
        <v>0.06</v>
      </c>
      <c r="N38" s="15" t="s">
        <v>518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2" customHeight="1" x14ac:dyDescent="0.2">
      <c r="A39" s="85"/>
      <c r="B39" s="85"/>
      <c r="C39" s="16" t="s">
        <v>421</v>
      </c>
      <c r="D39" s="13">
        <v>0</v>
      </c>
      <c r="E39" s="13"/>
      <c r="F39" s="13">
        <f>IF((+$D$11+$D$12+$D$16+$D$17+$D$39)&lt;&gt;0,$M$19*$D$39/(+$D$11+$D$12+$D$16+$D$17+$D$39),0)</f>
        <v>0</v>
      </c>
      <c r="G39" s="15"/>
      <c r="H39" s="15"/>
      <c r="I39" s="15"/>
      <c r="J39" s="15"/>
      <c r="K39" s="15"/>
      <c r="L39" s="17" t="s">
        <v>468</v>
      </c>
      <c r="M39" s="17">
        <f>IFERROR(VLOOKUP("Convencional1RuralCooperativa de eletrificação ruralPlanilha CUSTOB2",Descontos!B1:U88,VLOOKUP("Convencional1RuralCooperativa de eletrificação ruralPlanilha CUSTOB2",Descontos!B1:U88,20,FALSE)+12,FALSE),100)</f>
        <v>0.06</v>
      </c>
      <c r="N39" s="15"/>
      <c r="O39" s="15" t="s">
        <v>542</v>
      </c>
      <c r="P39" s="15" t="s">
        <v>543</v>
      </c>
      <c r="Q39" s="15" t="s">
        <v>544</v>
      </c>
      <c r="R39" s="15" t="s">
        <v>545</v>
      </c>
      <c r="S39" s="15" t="s">
        <v>1</v>
      </c>
      <c r="T39" s="15" t="s">
        <v>546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ht="12" customHeight="1" x14ac:dyDescent="0.25">
      <c r="A40" s="85"/>
      <c r="B40" s="85"/>
      <c r="C40" s="16" t="s">
        <v>422</v>
      </c>
      <c r="D40" s="13"/>
      <c r="E40" s="13"/>
      <c r="F40" s="13"/>
      <c r="G40" s="15"/>
      <c r="H40" s="15"/>
      <c r="I40" s="15"/>
      <c r="J40" s="15"/>
      <c r="K40" s="15"/>
      <c r="L40" s="17" t="s">
        <v>469</v>
      </c>
      <c r="M40" s="17">
        <f>IFERROR(VLOOKUP("Convencional1RuralServiço público de irrigação ruralPlanilha CUSTOB2",Descontos!B1:U88,VLOOKUP("Convencional1RuralServiço público de irrigação ruralPlanilha CUSTOB2",Descontos!B1:U88,20,FALSE)+12,FALSE),100)</f>
        <v>0.08</v>
      </c>
      <c r="N40" s="15"/>
      <c r="O40" s="42"/>
      <c r="P40" s="42"/>
      <c r="Q40" s="42"/>
      <c r="R40" s="42"/>
      <c r="S40" s="42"/>
      <c r="T40" s="42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2" customHeight="1" x14ac:dyDescent="0.25">
      <c r="A41" s="85"/>
      <c r="B41" s="84"/>
      <c r="C41" s="16" t="s">
        <v>395</v>
      </c>
      <c r="D41" s="13">
        <f>SUM(D$38:D40)</f>
        <v>0</v>
      </c>
      <c r="E41" s="13">
        <f>SUM(E$38:E40)</f>
        <v>0</v>
      </c>
      <c r="F41" s="13">
        <f>SUM(F$38:F40)</f>
        <v>0</v>
      </c>
      <c r="G41" s="15"/>
      <c r="H41" s="15"/>
      <c r="I41" s="15"/>
      <c r="J41" s="15"/>
      <c r="K41" s="15"/>
      <c r="L41" s="15"/>
      <c r="M41" s="15"/>
      <c r="N41" s="15"/>
      <c r="O41" s="42"/>
      <c r="P41" s="42"/>
      <c r="Q41" s="42"/>
      <c r="R41" s="42"/>
      <c r="S41" s="42"/>
      <c r="T41" s="42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ht="12" customHeight="1" x14ac:dyDescent="0.25">
      <c r="A42" s="85"/>
      <c r="B42" s="83" t="s">
        <v>406</v>
      </c>
      <c r="C42" s="16" t="s">
        <v>407</v>
      </c>
      <c r="D42" s="13"/>
      <c r="E42" s="13">
        <f>IF($D$47&lt;&gt;0,($D$46/$D$47)* 0,0)+0</f>
        <v>0</v>
      </c>
      <c r="F42" s="13"/>
      <c r="G42" s="15"/>
      <c r="H42" s="15"/>
      <c r="I42" s="15"/>
      <c r="J42" s="15"/>
      <c r="K42" s="15"/>
      <c r="L42" s="15"/>
      <c r="M42" s="15"/>
      <c r="N42" s="15"/>
      <c r="O42" s="42"/>
      <c r="P42" s="42"/>
      <c r="Q42" s="42"/>
      <c r="R42" s="42"/>
      <c r="S42" s="42"/>
      <c r="T42" s="42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ht="12" customHeight="1" x14ac:dyDescent="0.25">
      <c r="A43" s="85"/>
      <c r="B43" s="84"/>
      <c r="C43" s="16" t="s">
        <v>395</v>
      </c>
      <c r="D43" s="13">
        <f>SUM(D$42:D42)</f>
        <v>0</v>
      </c>
      <c r="E43" s="13">
        <f>SUM(E$42:E42)</f>
        <v>0</v>
      </c>
      <c r="F43" s="13">
        <f>SUM(F$42:F42)</f>
        <v>0</v>
      </c>
      <c r="G43" s="15"/>
      <c r="H43" s="15"/>
      <c r="I43" s="15"/>
      <c r="J43" s="15"/>
      <c r="K43" s="15"/>
      <c r="L43" s="15"/>
      <c r="M43" s="15"/>
      <c r="N43" s="15"/>
      <c r="O43" s="42"/>
      <c r="P43" s="42"/>
      <c r="Q43" s="42"/>
      <c r="R43" s="42"/>
      <c r="S43" s="42"/>
      <c r="T43" s="42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ht="12" customHeight="1" x14ac:dyDescent="0.25">
      <c r="A44" s="85"/>
      <c r="B44" s="83" t="s">
        <v>409</v>
      </c>
      <c r="C44" s="16" t="s">
        <v>423</v>
      </c>
      <c r="D44" s="13">
        <f>$M$14*$M$11</f>
        <v>0</v>
      </c>
      <c r="E44" s="13">
        <f>$M$16*$M$11/$M$12</f>
        <v>0</v>
      </c>
      <c r="F44" s="13">
        <f>$M$17*$M$11/$M$12</f>
        <v>0</v>
      </c>
      <c r="G44" s="15"/>
      <c r="H44" s="15"/>
      <c r="I44" s="15"/>
      <c r="J44" s="15"/>
      <c r="K44" s="15"/>
      <c r="L44" s="15"/>
      <c r="M44" s="15"/>
      <c r="N44" s="15"/>
      <c r="O44" s="42"/>
      <c r="P44" s="42"/>
      <c r="Q44" s="42"/>
      <c r="R44" s="42"/>
      <c r="S44" s="42"/>
      <c r="T44" s="42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ht="12" customHeight="1" x14ac:dyDescent="0.25">
      <c r="A45" s="85"/>
      <c r="B45" s="84"/>
      <c r="C45" s="16" t="s">
        <v>395</v>
      </c>
      <c r="D45" s="13">
        <f>SUM(D$44:D44)</f>
        <v>0</v>
      </c>
      <c r="E45" s="13">
        <f>SUM(E$44:E44)</f>
        <v>0</v>
      </c>
      <c r="F45" s="13">
        <f>SUM(F$44:F44)</f>
        <v>0</v>
      </c>
      <c r="G45" s="15"/>
      <c r="H45" s="15"/>
      <c r="I45" s="15"/>
      <c r="J45" s="15"/>
      <c r="K45" s="15"/>
      <c r="L45" s="15"/>
      <c r="M45" s="15"/>
      <c r="N45" s="15"/>
      <c r="O45" s="42"/>
      <c r="P45" s="42"/>
      <c r="Q45" s="42"/>
      <c r="R45" s="42"/>
      <c r="S45" s="42"/>
      <c r="T45" s="42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ht="12" customHeight="1" x14ac:dyDescent="0.25">
      <c r="A46" s="84"/>
      <c r="B46" s="88" t="s">
        <v>395</v>
      </c>
      <c r="C46" s="89"/>
      <c r="D46" s="13">
        <f>SUMIF(C$30:C45,"SUBTOTAL",D$30:D45)</f>
        <v>11703750.588352593</v>
      </c>
      <c r="E46" s="13">
        <f>SUMIF(C$30:C45,"SUBTOTAL",E$30:E45)</f>
        <v>672851.01631794788</v>
      </c>
      <c r="F46" s="13">
        <f>SUMIF(C$30:C45,"SUBTOTAL",F$30:F45)</f>
        <v>0</v>
      </c>
      <c r="G46" s="15"/>
      <c r="H46" s="15"/>
      <c r="I46" s="15"/>
      <c r="J46" s="15"/>
      <c r="K46" s="15"/>
      <c r="L46" s="15"/>
      <c r="M46" s="15"/>
      <c r="N46" s="15"/>
      <c r="O46" s="42"/>
      <c r="P46" s="42"/>
      <c r="Q46" s="42"/>
      <c r="R46" s="42"/>
      <c r="S46" s="42"/>
      <c r="T46" s="42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ht="12" customHeight="1" x14ac:dyDescent="0.25">
      <c r="A47" s="88" t="s">
        <v>424</v>
      </c>
      <c r="B47" s="92"/>
      <c r="C47" s="89"/>
      <c r="D47" s="13">
        <f>SUMIF(C$2:C46,"SUBTOTAL",D$2:D46)</f>
        <v>58374424.553177767</v>
      </c>
      <c r="E47" s="13">
        <f>SUMIF(C$2:C46,"SUBTOTAL",E$2:E46)</f>
        <v>-12260875.528920548</v>
      </c>
      <c r="F47" s="13">
        <f>SUMIF(C$2:C46,"SUBTOTAL",F$2:F46)</f>
        <v>0</v>
      </c>
      <c r="G47" s="15"/>
      <c r="H47" s="15"/>
      <c r="I47" s="15"/>
      <c r="J47" s="15"/>
      <c r="K47" s="15"/>
      <c r="L47" s="15"/>
      <c r="M47" s="15"/>
      <c r="N47" s="15"/>
      <c r="O47" s="42"/>
      <c r="P47" s="42"/>
      <c r="Q47" s="42"/>
      <c r="R47" s="42"/>
      <c r="S47" s="42"/>
      <c r="T47" s="42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12" customHeight="1" x14ac:dyDescent="0.25">
      <c r="A48" s="86" t="s">
        <v>510</v>
      </c>
      <c r="B48" s="87"/>
      <c r="C48" s="87"/>
      <c r="D48" s="35">
        <f ca="1">'TUSD BE'!$AM$53+'TUSD BE'!$AM$57+'TE BE'!$AB$43</f>
        <v>58374424.553177774</v>
      </c>
      <c r="E48" s="35">
        <f ca="1">'TUSD BF'!$AM$53+'TE BF'!$AB$43</f>
        <v>-12260875.52892055</v>
      </c>
      <c r="F48" s="35">
        <f ca="1">'TUSD CVA'!$AM$53+'TE CVA'!$AB$43</f>
        <v>0</v>
      </c>
      <c r="L48" s="18"/>
      <c r="M48" s="17"/>
      <c r="O48" s="42"/>
      <c r="P48" s="42"/>
      <c r="Q48" s="42"/>
      <c r="R48" s="42"/>
      <c r="S48" s="42"/>
      <c r="T48" s="42"/>
    </row>
    <row r="49" spans="1:20" ht="12" customHeight="1" x14ac:dyDescent="0.25">
      <c r="A49" s="86" t="s">
        <v>511</v>
      </c>
      <c r="B49" s="87"/>
      <c r="C49" s="87"/>
      <c r="D49" s="36" t="str">
        <f ca="1">IF(ABS(D48-D47)&gt;1,"ERRO","OK")</f>
        <v>OK</v>
      </c>
      <c r="E49" s="36" t="str">
        <f ca="1">IF(ABS(E48-E47)&gt;1,"ERRO","OK")</f>
        <v>OK</v>
      </c>
      <c r="F49" s="36" t="str">
        <f ca="1">IF(ABS(F48-F47)&gt;1,"ERRO","OK")</f>
        <v>OK</v>
      </c>
      <c r="L49" s="18"/>
      <c r="M49" s="17"/>
      <c r="O49" s="42"/>
      <c r="P49" s="42"/>
      <c r="Q49" s="42"/>
      <c r="R49" s="42"/>
      <c r="S49" s="42"/>
      <c r="T49" s="42"/>
    </row>
    <row r="50" spans="1:20" ht="12" customHeight="1" x14ac:dyDescent="0.25">
      <c r="L50" s="18"/>
      <c r="M50" s="17"/>
      <c r="O50" s="42"/>
      <c r="P50" s="42"/>
      <c r="Q50" s="42"/>
      <c r="R50" s="42"/>
      <c r="S50" s="42"/>
      <c r="T50" s="42"/>
    </row>
    <row r="51" spans="1:20" ht="12" customHeight="1" x14ac:dyDescent="0.25">
      <c r="L51" s="23" t="s">
        <v>470</v>
      </c>
      <c r="M51" s="24">
        <v>0</v>
      </c>
      <c r="O51" s="42"/>
      <c r="P51" s="42"/>
      <c r="Q51" s="42"/>
      <c r="R51" s="42"/>
      <c r="S51" s="42"/>
      <c r="T51" s="42"/>
    </row>
    <row r="52" spans="1:20" ht="12" customHeight="1" x14ac:dyDescent="0.25">
      <c r="O52" s="42"/>
      <c r="P52" s="42"/>
      <c r="Q52" s="42"/>
      <c r="R52" s="42"/>
      <c r="S52" s="42"/>
      <c r="T52" s="42"/>
    </row>
    <row r="53" spans="1:20" ht="12" customHeight="1" x14ac:dyDescent="0.25">
      <c r="O53" s="42"/>
      <c r="P53" s="42"/>
      <c r="Q53" s="42"/>
      <c r="R53" s="42"/>
      <c r="S53" s="42"/>
      <c r="T53" s="42"/>
    </row>
    <row r="54" spans="1:20" ht="12" customHeight="1" x14ac:dyDescent="0.25">
      <c r="O54" s="42"/>
      <c r="P54" s="42"/>
      <c r="Q54" s="42"/>
      <c r="R54" s="42"/>
      <c r="S54" s="42"/>
      <c r="T54" s="42"/>
    </row>
    <row r="55" spans="1:20" ht="12" customHeight="1" x14ac:dyDescent="0.25">
      <c r="O55" s="42"/>
      <c r="P55" s="42"/>
      <c r="Q55" s="42"/>
      <c r="R55" s="42"/>
      <c r="S55" s="42"/>
      <c r="T55" s="42"/>
    </row>
    <row r="56" spans="1:20" ht="12" customHeight="1" x14ac:dyDescent="0.25">
      <c r="O56" s="42"/>
      <c r="P56" s="42"/>
      <c r="Q56" s="42"/>
      <c r="R56" s="42"/>
      <c r="S56" s="42"/>
      <c r="T56" s="42"/>
    </row>
    <row r="57" spans="1:20" ht="12" customHeight="1" x14ac:dyDescent="0.25">
      <c r="O57" s="42"/>
      <c r="P57" s="42"/>
      <c r="Q57" s="42"/>
      <c r="R57" s="42"/>
      <c r="S57" s="42"/>
      <c r="T57" s="42"/>
    </row>
    <row r="58" spans="1:20" ht="12" customHeight="1" x14ac:dyDescent="0.25">
      <c r="O58" s="42"/>
      <c r="P58" s="42"/>
      <c r="Q58" s="42"/>
      <c r="R58" s="42"/>
      <c r="S58" s="42"/>
      <c r="T58" s="42"/>
    </row>
    <row r="59" spans="1:20" ht="12" customHeight="1" x14ac:dyDescent="0.25">
      <c r="O59" s="42"/>
      <c r="P59" s="42"/>
      <c r="Q59" s="42"/>
      <c r="R59" s="42"/>
      <c r="S59" s="42"/>
      <c r="T59" s="42"/>
    </row>
    <row r="60" spans="1:20" ht="12" customHeight="1" x14ac:dyDescent="0.25">
      <c r="O60" s="42"/>
      <c r="P60" s="42"/>
      <c r="Q60" s="42"/>
      <c r="R60" s="42"/>
      <c r="S60" s="42"/>
      <c r="T60" s="42"/>
    </row>
    <row r="61" spans="1:20" ht="12" customHeight="1" x14ac:dyDescent="0.25">
      <c r="O61" s="42"/>
      <c r="P61" s="42"/>
      <c r="Q61" s="42"/>
      <c r="R61" s="42"/>
      <c r="S61" s="42"/>
      <c r="T61" s="42"/>
    </row>
    <row r="62" spans="1:20" ht="12" customHeight="1" x14ac:dyDescent="0.25">
      <c r="O62" s="42"/>
      <c r="P62" s="42"/>
      <c r="Q62" s="42"/>
      <c r="R62" s="42"/>
      <c r="S62" s="42"/>
      <c r="T62" s="42"/>
    </row>
    <row r="63" spans="1:20" ht="12" customHeight="1" x14ac:dyDescent="0.25">
      <c r="O63" s="42"/>
      <c r="P63" s="42"/>
      <c r="Q63" s="42"/>
      <c r="R63" s="42"/>
      <c r="S63" s="42"/>
      <c r="T63" s="42"/>
    </row>
    <row r="64" spans="1:20" ht="12" customHeight="1" x14ac:dyDescent="0.25">
      <c r="O64" s="42"/>
      <c r="P64" s="42"/>
      <c r="Q64" s="42"/>
      <c r="R64" s="42"/>
      <c r="S64" s="42"/>
      <c r="T64" s="42"/>
    </row>
    <row r="65" spans="15:20" ht="12" customHeight="1" x14ac:dyDescent="0.25">
      <c r="O65" s="42"/>
      <c r="P65" s="42"/>
      <c r="Q65" s="42"/>
      <c r="R65" s="42"/>
      <c r="S65" s="42"/>
      <c r="T65" s="42"/>
    </row>
    <row r="66" spans="15:20" ht="12" customHeight="1" x14ac:dyDescent="0.25">
      <c r="O66" s="42"/>
      <c r="P66" s="42"/>
      <c r="Q66" s="42"/>
      <c r="R66" s="42"/>
      <c r="S66" s="42"/>
      <c r="T66" s="42"/>
    </row>
    <row r="67" spans="15:20" ht="12" customHeight="1" x14ac:dyDescent="0.25">
      <c r="O67" s="42"/>
      <c r="P67" s="42"/>
      <c r="Q67" s="42"/>
      <c r="R67" s="42"/>
      <c r="S67" s="42"/>
      <c r="T67" s="42"/>
    </row>
    <row r="68" spans="15:20" ht="12" customHeight="1" x14ac:dyDescent="0.25">
      <c r="O68" s="42"/>
      <c r="P68" s="42"/>
      <c r="Q68" s="42"/>
      <c r="R68" s="42"/>
      <c r="S68" s="42"/>
      <c r="T68" s="42"/>
    </row>
    <row r="69" spans="15:20" ht="12" customHeight="1" x14ac:dyDescent="0.25">
      <c r="O69" s="42"/>
      <c r="P69" s="42"/>
      <c r="Q69" s="42"/>
      <c r="R69" s="42"/>
      <c r="S69" s="42"/>
      <c r="T69" s="42"/>
    </row>
    <row r="70" spans="15:20" ht="12" customHeight="1" x14ac:dyDescent="0.25">
      <c r="O70" s="42"/>
      <c r="P70" s="42"/>
      <c r="Q70" s="42"/>
      <c r="R70" s="42"/>
      <c r="S70" s="42"/>
      <c r="T70" s="42"/>
    </row>
    <row r="71" spans="15:20" ht="12" customHeight="1" x14ac:dyDescent="0.25">
      <c r="O71" s="42"/>
      <c r="P71" s="42"/>
      <c r="Q71" s="42"/>
      <c r="R71" s="42"/>
      <c r="S71" s="42"/>
      <c r="T71" s="42"/>
    </row>
    <row r="72" spans="15:20" ht="12" customHeight="1" x14ac:dyDescent="0.25">
      <c r="O72" s="42"/>
      <c r="P72" s="42"/>
      <c r="Q72" s="42"/>
      <c r="R72" s="42"/>
      <c r="S72" s="42"/>
      <c r="T72" s="42"/>
    </row>
    <row r="73" spans="15:20" ht="12" customHeight="1" x14ac:dyDescent="0.25">
      <c r="O73" s="42"/>
      <c r="P73" s="42"/>
      <c r="Q73" s="42"/>
      <c r="R73" s="42"/>
      <c r="S73" s="42"/>
      <c r="T73" s="42"/>
    </row>
    <row r="74" spans="15:20" ht="12" customHeight="1" x14ac:dyDescent="0.25">
      <c r="O74" s="42"/>
      <c r="P74" s="42"/>
      <c r="Q74" s="42"/>
      <c r="R74" s="42"/>
      <c r="S74" s="42"/>
      <c r="T74" s="42"/>
    </row>
    <row r="75" spans="15:20" ht="12" customHeight="1" x14ac:dyDescent="0.25">
      <c r="O75" s="42"/>
      <c r="P75" s="42"/>
      <c r="Q75" s="42"/>
      <c r="R75" s="42"/>
      <c r="S75" s="42"/>
      <c r="T75" s="42"/>
    </row>
    <row r="76" spans="15:20" ht="12" customHeight="1" x14ac:dyDescent="0.25">
      <c r="O76" s="42"/>
      <c r="P76" s="42"/>
      <c r="Q76" s="42"/>
      <c r="R76" s="42"/>
      <c r="S76" s="42"/>
      <c r="T76" s="42"/>
    </row>
    <row r="77" spans="15:20" ht="12" customHeight="1" x14ac:dyDescent="0.25">
      <c r="O77" s="42"/>
      <c r="P77" s="42"/>
      <c r="Q77" s="42"/>
      <c r="R77" s="42"/>
      <c r="S77" s="42"/>
      <c r="T77" s="42"/>
    </row>
    <row r="78" spans="15:20" ht="12" customHeight="1" x14ac:dyDescent="0.25">
      <c r="O78" s="42"/>
      <c r="P78" s="42"/>
      <c r="Q78" s="42"/>
      <c r="R78" s="42"/>
      <c r="S78" s="42"/>
      <c r="T78" s="42"/>
    </row>
    <row r="79" spans="15:20" ht="12" customHeight="1" x14ac:dyDescent="0.25">
      <c r="O79" s="42"/>
      <c r="P79" s="42"/>
      <c r="Q79" s="42"/>
      <c r="R79" s="42"/>
      <c r="S79" s="42"/>
      <c r="T79" s="42"/>
    </row>
    <row r="80" spans="15:20" ht="12" customHeight="1" x14ac:dyDescent="0.25">
      <c r="O80" s="42"/>
      <c r="P80" s="42"/>
      <c r="Q80" s="42"/>
      <c r="R80" s="42"/>
      <c r="S80" s="42"/>
      <c r="T80" s="42"/>
    </row>
    <row r="81" spans="15:20" ht="12" customHeight="1" x14ac:dyDescent="0.25">
      <c r="O81" s="42"/>
      <c r="P81" s="42"/>
      <c r="Q81" s="42"/>
      <c r="R81" s="42"/>
      <c r="S81" s="42"/>
      <c r="T81" s="42"/>
    </row>
    <row r="82" spans="15:20" ht="12" customHeight="1" x14ac:dyDescent="0.25">
      <c r="O82" s="42"/>
      <c r="P82" s="42"/>
      <c r="Q82" s="42"/>
      <c r="R82" s="42"/>
      <c r="S82" s="42"/>
      <c r="T82" s="42"/>
    </row>
    <row r="83" spans="15:20" ht="12" customHeight="1" x14ac:dyDescent="0.25">
      <c r="O83" s="42"/>
      <c r="P83" s="42"/>
      <c r="Q83" s="42"/>
      <c r="R83" s="42"/>
      <c r="S83" s="42"/>
      <c r="T83" s="42"/>
    </row>
    <row r="84" spans="15:20" ht="12" customHeight="1" x14ac:dyDescent="0.25">
      <c r="O84" s="42"/>
      <c r="P84" s="42"/>
      <c r="Q84" s="42"/>
      <c r="R84" s="42"/>
      <c r="S84" s="42"/>
      <c r="T84" s="42"/>
    </row>
    <row r="85" spans="15:20" ht="12" customHeight="1" x14ac:dyDescent="0.25">
      <c r="O85" s="42"/>
      <c r="P85" s="42"/>
      <c r="Q85" s="42"/>
      <c r="R85" s="42"/>
      <c r="S85" s="42"/>
      <c r="T85" s="42"/>
    </row>
    <row r="86" spans="15:20" ht="12" customHeight="1" x14ac:dyDescent="0.25">
      <c r="O86" s="42"/>
      <c r="P86" s="42"/>
      <c r="Q86" s="42"/>
      <c r="R86" s="42"/>
      <c r="S86" s="42"/>
      <c r="T86" s="42"/>
    </row>
    <row r="87" spans="15:20" ht="12" customHeight="1" x14ac:dyDescent="0.25">
      <c r="O87" s="42"/>
      <c r="P87" s="42"/>
      <c r="Q87" s="42"/>
      <c r="R87" s="42"/>
      <c r="S87" s="42"/>
      <c r="T87" s="42"/>
    </row>
    <row r="88" spans="15:20" ht="12" customHeight="1" x14ac:dyDescent="0.25">
      <c r="O88" s="42"/>
      <c r="P88" s="42"/>
      <c r="Q88" s="42"/>
      <c r="R88" s="42"/>
      <c r="S88" s="42"/>
      <c r="T88" s="42"/>
    </row>
    <row r="89" spans="15:20" ht="12" customHeight="1" x14ac:dyDescent="0.25">
      <c r="O89" s="42"/>
      <c r="P89" s="42"/>
      <c r="Q89" s="42"/>
      <c r="R89" s="42"/>
      <c r="S89" s="42"/>
      <c r="T89" s="42"/>
    </row>
    <row r="90" spans="15:20" ht="12" customHeight="1" x14ac:dyDescent="0.25">
      <c r="O90" s="42"/>
      <c r="P90" s="42"/>
      <c r="Q90" s="42"/>
      <c r="R90" s="42"/>
      <c r="S90" s="42"/>
      <c r="T90" s="42"/>
    </row>
    <row r="91" spans="15:20" ht="12" customHeight="1" x14ac:dyDescent="0.25">
      <c r="O91" s="42"/>
      <c r="P91" s="42"/>
      <c r="Q91" s="42"/>
      <c r="R91" s="42"/>
      <c r="S91" s="42"/>
      <c r="T91" s="42"/>
    </row>
    <row r="92" spans="15:20" ht="12" customHeight="1" x14ac:dyDescent="0.25">
      <c r="O92" s="42"/>
      <c r="P92" s="42"/>
      <c r="Q92" s="42"/>
      <c r="R92" s="42"/>
      <c r="S92" s="42"/>
      <c r="T92" s="42"/>
    </row>
    <row r="93" spans="15:20" ht="12" customHeight="1" x14ac:dyDescent="0.25">
      <c r="O93" s="42"/>
      <c r="P93" s="42"/>
      <c r="Q93" s="42"/>
      <c r="R93" s="42"/>
      <c r="S93" s="42"/>
      <c r="T93" s="42"/>
    </row>
    <row r="94" spans="15:20" ht="12" customHeight="1" x14ac:dyDescent="0.25">
      <c r="O94" s="42"/>
      <c r="P94" s="42"/>
      <c r="Q94" s="42"/>
      <c r="R94" s="42"/>
      <c r="S94" s="42"/>
      <c r="T94" s="42"/>
    </row>
    <row r="95" spans="15:20" ht="12" customHeight="1" x14ac:dyDescent="0.25">
      <c r="O95" s="42"/>
      <c r="P95" s="42"/>
      <c r="Q95" s="42"/>
      <c r="R95" s="42"/>
      <c r="S95" s="42"/>
      <c r="T95" s="42"/>
    </row>
    <row r="96" spans="15:20" ht="12" customHeight="1" x14ac:dyDescent="0.25">
      <c r="O96" s="42"/>
      <c r="P96" s="42"/>
      <c r="Q96" s="42"/>
      <c r="R96" s="42"/>
      <c r="S96" s="42"/>
      <c r="T96" s="42"/>
    </row>
    <row r="97" spans="15:30" ht="12" customHeight="1" x14ac:dyDescent="0.25">
      <c r="O97" s="42"/>
      <c r="P97" s="42"/>
      <c r="Q97" s="42"/>
      <c r="R97" s="42"/>
      <c r="S97" s="42"/>
      <c r="T97" s="42"/>
    </row>
    <row r="98" spans="15:30" ht="12" customHeight="1" x14ac:dyDescent="0.25">
      <c r="O98" s="42"/>
      <c r="P98" s="42"/>
      <c r="Q98" s="42"/>
      <c r="R98" s="42"/>
      <c r="S98" s="42"/>
      <c r="T98" s="42"/>
    </row>
    <row r="99" spans="15:30" ht="12" customHeight="1" x14ac:dyDescent="0.25">
      <c r="O99" s="41"/>
      <c r="P99" s="41"/>
      <c r="Q99" s="41"/>
      <c r="R99" s="41"/>
      <c r="S99" s="41"/>
      <c r="T99" s="41"/>
    </row>
    <row r="100" spans="15:30" ht="12" customHeight="1" x14ac:dyDescent="0.25"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</row>
    <row r="101" spans="15:30" ht="12" customHeight="1" x14ac:dyDescent="0.25">
      <c r="O101" s="42" t="s">
        <v>542</v>
      </c>
      <c r="P101" s="42" t="s">
        <v>547</v>
      </c>
      <c r="Q101" s="42" t="s">
        <v>548</v>
      </c>
      <c r="R101" s="42" t="s">
        <v>549</v>
      </c>
      <c r="S101" s="42" t="s">
        <v>550</v>
      </c>
      <c r="T101" s="42" t="s">
        <v>551</v>
      </c>
      <c r="U101" s="42" t="s">
        <v>552</v>
      </c>
      <c r="V101" s="42" t="s">
        <v>553</v>
      </c>
      <c r="W101" s="42"/>
      <c r="X101" s="42"/>
      <c r="Y101" s="42"/>
      <c r="Z101" s="42"/>
      <c r="AA101" s="42"/>
      <c r="AB101" s="42"/>
      <c r="AC101" s="42"/>
      <c r="AD101" s="42"/>
    </row>
    <row r="102" spans="15:30" ht="12" customHeight="1" x14ac:dyDescent="0.25">
      <c r="O102" s="42" t="s">
        <v>34</v>
      </c>
      <c r="P102" s="42" t="s">
        <v>48</v>
      </c>
      <c r="Q102" s="42" t="s">
        <v>35</v>
      </c>
      <c r="R102" s="42" t="s">
        <v>41</v>
      </c>
      <c r="S102" s="42" t="s">
        <v>25</v>
      </c>
      <c r="T102" s="42" t="s">
        <v>554</v>
      </c>
      <c r="U102" s="42">
        <v>4</v>
      </c>
      <c r="V102" s="42">
        <v>0.1</v>
      </c>
      <c r="W102" s="42">
        <v>0.08</v>
      </c>
      <c r="X102" s="42">
        <v>0.06</v>
      </c>
      <c r="Y102" s="42">
        <v>0.04</v>
      </c>
      <c r="Z102" s="42">
        <v>0.02</v>
      </c>
      <c r="AA102" s="42">
        <v>0</v>
      </c>
      <c r="AB102" s="42"/>
      <c r="AC102" s="42"/>
      <c r="AD102" s="42"/>
    </row>
    <row r="103" spans="15:30" ht="12" customHeight="1" x14ac:dyDescent="0.25">
      <c r="O103" s="42" t="s">
        <v>34</v>
      </c>
      <c r="P103" s="42" t="s">
        <v>48</v>
      </c>
      <c r="Q103" s="42" t="s">
        <v>35</v>
      </c>
      <c r="R103" s="42" t="s">
        <v>46</v>
      </c>
      <c r="S103" s="42" t="s">
        <v>47</v>
      </c>
      <c r="T103" s="42" t="s">
        <v>555</v>
      </c>
      <c r="U103" s="42">
        <v>4</v>
      </c>
      <c r="V103" s="42">
        <v>0.15</v>
      </c>
      <c r="W103" s="42">
        <v>0.12</v>
      </c>
      <c r="X103" s="42">
        <v>0.09</v>
      </c>
      <c r="Y103" s="42">
        <v>0.06</v>
      </c>
      <c r="Z103" s="42">
        <v>0.03</v>
      </c>
      <c r="AA103" s="42">
        <v>0</v>
      </c>
      <c r="AB103" s="42"/>
      <c r="AC103" s="42"/>
      <c r="AD103" s="42"/>
    </row>
    <row r="104" spans="15:30" ht="12" customHeight="1" x14ac:dyDescent="0.25">
      <c r="O104" s="42" t="s">
        <v>34</v>
      </c>
      <c r="P104" s="42" t="s">
        <v>556</v>
      </c>
      <c r="Q104" s="42" t="s">
        <v>40</v>
      </c>
      <c r="R104" s="42" t="s">
        <v>41</v>
      </c>
      <c r="S104" s="42" t="s">
        <v>88</v>
      </c>
      <c r="T104" s="42" t="s">
        <v>555</v>
      </c>
      <c r="U104" s="42">
        <v>4</v>
      </c>
      <c r="V104" s="42">
        <v>0.3</v>
      </c>
      <c r="W104" s="42">
        <v>0.24</v>
      </c>
      <c r="X104" s="42">
        <v>0.18</v>
      </c>
      <c r="Y104" s="42">
        <v>0.12</v>
      </c>
      <c r="Z104" s="42">
        <v>0.06</v>
      </c>
      <c r="AA104" s="42">
        <v>0</v>
      </c>
      <c r="AB104" s="42"/>
      <c r="AC104" s="42"/>
      <c r="AD104" s="42"/>
    </row>
    <row r="105" spans="15:30" ht="12" customHeight="1" x14ac:dyDescent="0.25">
      <c r="O105" s="42" t="s">
        <v>34</v>
      </c>
      <c r="P105" s="42" t="s">
        <v>85</v>
      </c>
      <c r="Q105" s="42" t="s">
        <v>40</v>
      </c>
      <c r="R105" s="42" t="s">
        <v>41</v>
      </c>
      <c r="S105" s="42" t="s">
        <v>25</v>
      </c>
      <c r="T105" s="42" t="s">
        <v>41</v>
      </c>
      <c r="U105" s="42">
        <v>4</v>
      </c>
      <c r="V105" s="42">
        <v>0.3</v>
      </c>
      <c r="W105" s="42">
        <v>0.24</v>
      </c>
      <c r="X105" s="42">
        <v>0.18</v>
      </c>
      <c r="Y105" s="42">
        <v>0.12</v>
      </c>
      <c r="Z105" s="42">
        <v>0.06</v>
      </c>
      <c r="AA105" s="42">
        <v>0</v>
      </c>
      <c r="AB105" s="42"/>
      <c r="AC105" s="42"/>
      <c r="AD105" s="42"/>
    </row>
    <row r="106" spans="15:30" ht="12" customHeight="1" x14ac:dyDescent="0.25">
      <c r="O106" s="42" t="s">
        <v>34</v>
      </c>
      <c r="P106" s="42" t="s">
        <v>556</v>
      </c>
      <c r="Q106" s="42" t="s">
        <v>40</v>
      </c>
      <c r="R106" s="42" t="s">
        <v>41</v>
      </c>
      <c r="S106" s="42" t="s">
        <v>89</v>
      </c>
      <c r="T106" s="42" t="s">
        <v>555</v>
      </c>
      <c r="U106" s="42">
        <v>4</v>
      </c>
      <c r="V106" s="42">
        <v>0.4</v>
      </c>
      <c r="W106" s="42">
        <v>0.32</v>
      </c>
      <c r="X106" s="42">
        <v>0.24</v>
      </c>
      <c r="Y106" s="42">
        <v>0.16</v>
      </c>
      <c r="Z106" s="42">
        <v>0.08</v>
      </c>
      <c r="AA106" s="42">
        <v>0</v>
      </c>
      <c r="AB106" s="42"/>
      <c r="AC106" s="42"/>
      <c r="AD106" s="42"/>
    </row>
    <row r="107" spans="15:30" ht="12" customHeight="1" x14ac:dyDescent="0.25">
      <c r="O107" s="42" t="s">
        <v>34</v>
      </c>
      <c r="P107" s="42" t="s">
        <v>85</v>
      </c>
      <c r="Q107" s="42" t="s">
        <v>33</v>
      </c>
      <c r="R107" s="42" t="s">
        <v>46</v>
      </c>
      <c r="S107" s="42" t="s">
        <v>47</v>
      </c>
      <c r="T107" s="42" t="s">
        <v>555</v>
      </c>
      <c r="U107" s="42">
        <v>4</v>
      </c>
      <c r="V107" s="42">
        <v>0.15</v>
      </c>
      <c r="W107" s="42">
        <v>0.12</v>
      </c>
      <c r="X107" s="42">
        <v>0.09</v>
      </c>
      <c r="Y107" s="42">
        <v>0.06</v>
      </c>
      <c r="Z107" s="42">
        <v>0.03</v>
      </c>
      <c r="AA107" s="42">
        <v>0</v>
      </c>
      <c r="AB107" s="42"/>
      <c r="AC107" s="42"/>
      <c r="AD107" s="42"/>
    </row>
    <row r="108" spans="15:30" ht="12" customHeight="1" x14ac:dyDescent="0.25">
      <c r="O108" s="42" t="s">
        <v>34</v>
      </c>
      <c r="P108" s="42" t="s">
        <v>23</v>
      </c>
      <c r="Q108" s="42" t="s">
        <v>35</v>
      </c>
      <c r="R108" s="42" t="s">
        <v>41</v>
      </c>
      <c r="S108" s="42" t="s">
        <v>25</v>
      </c>
      <c r="T108" s="42" t="s">
        <v>554</v>
      </c>
      <c r="U108" s="42">
        <v>4</v>
      </c>
      <c r="V108" s="42">
        <v>0.1</v>
      </c>
      <c r="W108" s="42">
        <v>0.08</v>
      </c>
      <c r="X108" s="42">
        <v>0.06</v>
      </c>
      <c r="Y108" s="42">
        <v>0.04</v>
      </c>
      <c r="Z108" s="42">
        <v>0.02</v>
      </c>
      <c r="AA108" s="42">
        <v>0</v>
      </c>
      <c r="AB108" s="42"/>
      <c r="AC108" s="42"/>
      <c r="AD108" s="42"/>
    </row>
    <row r="109" spans="15:30" ht="12" customHeight="1" x14ac:dyDescent="0.25">
      <c r="O109" s="42" t="s">
        <v>34</v>
      </c>
      <c r="P109" s="42" t="s">
        <v>557</v>
      </c>
      <c r="Q109" s="42" t="s">
        <v>35</v>
      </c>
      <c r="R109" s="42" t="s">
        <v>46</v>
      </c>
      <c r="S109" s="42" t="s">
        <v>47</v>
      </c>
      <c r="T109" s="42" t="s">
        <v>555</v>
      </c>
      <c r="U109" s="42">
        <v>4</v>
      </c>
      <c r="V109" s="42">
        <v>0.15</v>
      </c>
      <c r="W109" s="42">
        <v>0.12</v>
      </c>
      <c r="X109" s="42">
        <v>0.09</v>
      </c>
      <c r="Y109" s="42">
        <v>0.06</v>
      </c>
      <c r="Z109" s="42">
        <v>0.03</v>
      </c>
      <c r="AA109" s="42">
        <v>0</v>
      </c>
      <c r="AB109" s="42"/>
      <c r="AC109" s="42"/>
      <c r="AD109" s="42"/>
    </row>
    <row r="110" spans="15:30" ht="12" customHeight="1" x14ac:dyDescent="0.25">
      <c r="O110" s="42" t="s">
        <v>34</v>
      </c>
      <c r="P110" s="42" t="s">
        <v>23</v>
      </c>
      <c r="Q110" s="42" t="s">
        <v>40</v>
      </c>
      <c r="R110" s="42" t="s">
        <v>41</v>
      </c>
      <c r="S110" s="42" t="s">
        <v>88</v>
      </c>
      <c r="T110" s="42" t="s">
        <v>555</v>
      </c>
      <c r="U110" s="42">
        <v>4</v>
      </c>
      <c r="V110" s="42">
        <v>0.3</v>
      </c>
      <c r="W110" s="42">
        <v>0.24</v>
      </c>
      <c r="X110" s="42">
        <v>0.18</v>
      </c>
      <c r="Y110" s="42">
        <v>0.12</v>
      </c>
      <c r="Z110" s="42">
        <v>0.06</v>
      </c>
      <c r="AA110" s="42">
        <v>0</v>
      </c>
      <c r="AB110" s="42"/>
      <c r="AC110" s="42"/>
      <c r="AD110" s="42"/>
    </row>
    <row r="111" spans="15:30" ht="12" customHeight="1" x14ac:dyDescent="0.25">
      <c r="O111" s="42" t="s">
        <v>34</v>
      </c>
      <c r="P111" s="42" t="s">
        <v>23</v>
      </c>
      <c r="Q111" s="42" t="s">
        <v>40</v>
      </c>
      <c r="R111" s="42" t="s">
        <v>41</v>
      </c>
      <c r="S111" s="42" t="s">
        <v>25</v>
      </c>
      <c r="T111" s="42" t="s">
        <v>41</v>
      </c>
      <c r="U111" s="42">
        <v>4</v>
      </c>
      <c r="V111" s="42">
        <v>0.3</v>
      </c>
      <c r="W111" s="42">
        <v>0.24</v>
      </c>
      <c r="X111" s="42">
        <v>0.18</v>
      </c>
      <c r="Y111" s="42">
        <v>0.12</v>
      </c>
      <c r="Z111" s="42">
        <v>0.06</v>
      </c>
      <c r="AA111" s="42">
        <v>0</v>
      </c>
      <c r="AB111" s="42"/>
      <c r="AC111" s="42"/>
      <c r="AD111" s="42"/>
    </row>
    <row r="112" spans="15:30" ht="12" customHeight="1" x14ac:dyDescent="0.25">
      <c r="O112" s="42" t="s">
        <v>34</v>
      </c>
      <c r="P112" s="42" t="s">
        <v>23</v>
      </c>
      <c r="Q112" s="42" t="s">
        <v>40</v>
      </c>
      <c r="R112" s="42" t="s">
        <v>41</v>
      </c>
      <c r="S112" s="42" t="s">
        <v>89</v>
      </c>
      <c r="T112" s="42" t="s">
        <v>555</v>
      </c>
      <c r="U112" s="42">
        <v>4</v>
      </c>
      <c r="V112" s="42">
        <v>0.4</v>
      </c>
      <c r="W112" s="42">
        <v>0.32</v>
      </c>
      <c r="X112" s="42">
        <v>0.24</v>
      </c>
      <c r="Y112" s="42">
        <v>0.16</v>
      </c>
      <c r="Z112" s="42">
        <v>0.08</v>
      </c>
      <c r="AA112" s="42">
        <v>0</v>
      </c>
      <c r="AB112" s="42"/>
      <c r="AC112" s="42"/>
      <c r="AD112" s="42"/>
    </row>
    <row r="113" spans="15:30" ht="12" customHeight="1" x14ac:dyDescent="0.25">
      <c r="O113" s="42" t="s">
        <v>34</v>
      </c>
      <c r="P113" s="42" t="s">
        <v>23</v>
      </c>
      <c r="Q113" s="42" t="s">
        <v>33</v>
      </c>
      <c r="R113" s="42" t="s">
        <v>46</v>
      </c>
      <c r="S113" s="42" t="s">
        <v>47</v>
      </c>
      <c r="T113" s="42" t="s">
        <v>555</v>
      </c>
      <c r="U113" s="42">
        <v>4</v>
      </c>
      <c r="V113" s="42">
        <v>0.15</v>
      </c>
      <c r="W113" s="42">
        <v>0.12</v>
      </c>
      <c r="X113" s="42">
        <v>0.09</v>
      </c>
      <c r="Y113" s="42">
        <v>0.06</v>
      </c>
      <c r="Z113" s="42">
        <v>0.03</v>
      </c>
      <c r="AA113" s="42">
        <v>0</v>
      </c>
      <c r="AB113" s="42"/>
      <c r="AC113" s="42"/>
      <c r="AD113" s="42"/>
    </row>
    <row r="114" spans="15:30" ht="12" customHeight="1" x14ac:dyDescent="0.25">
      <c r="O114" s="42" t="s">
        <v>34</v>
      </c>
      <c r="P114" s="42" t="s">
        <v>36</v>
      </c>
      <c r="Q114" s="42" t="s">
        <v>35</v>
      </c>
      <c r="R114" s="42" t="s">
        <v>41</v>
      </c>
      <c r="S114" s="42" t="s">
        <v>25</v>
      </c>
      <c r="T114" s="42" t="s">
        <v>554</v>
      </c>
      <c r="U114" s="42">
        <v>4</v>
      </c>
      <c r="V114" s="42">
        <v>0.1</v>
      </c>
      <c r="W114" s="42">
        <v>0.08</v>
      </c>
      <c r="X114" s="42">
        <v>0.06</v>
      </c>
      <c r="Y114" s="42">
        <v>0.04</v>
      </c>
      <c r="Z114" s="42">
        <v>0.02</v>
      </c>
      <c r="AA114" s="42">
        <v>0</v>
      </c>
      <c r="AB114" s="42"/>
      <c r="AC114" s="42"/>
      <c r="AD114" s="42"/>
    </row>
    <row r="115" spans="15:30" ht="12" customHeight="1" x14ac:dyDescent="0.25">
      <c r="O115" s="42" t="s">
        <v>34</v>
      </c>
      <c r="P115" s="42" t="s">
        <v>36</v>
      </c>
      <c r="Q115" s="42" t="s">
        <v>35</v>
      </c>
      <c r="R115" s="42" t="s">
        <v>46</v>
      </c>
      <c r="S115" s="42" t="s">
        <v>47</v>
      </c>
      <c r="T115" s="42" t="s">
        <v>555</v>
      </c>
      <c r="U115" s="42">
        <v>4</v>
      </c>
      <c r="V115" s="42">
        <v>0.15</v>
      </c>
      <c r="W115" s="42">
        <v>0.12</v>
      </c>
      <c r="X115" s="42">
        <v>0.09</v>
      </c>
      <c r="Y115" s="42">
        <v>0.06</v>
      </c>
      <c r="Z115" s="42">
        <v>0.03</v>
      </c>
      <c r="AA115" s="42">
        <v>0</v>
      </c>
      <c r="AB115" s="42"/>
      <c r="AC115" s="42"/>
      <c r="AD115" s="42"/>
    </row>
    <row r="116" spans="15:30" ht="12" customHeight="1" x14ac:dyDescent="0.25"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</row>
    <row r="117" spans="15:30" ht="12" customHeight="1" x14ac:dyDescent="0.25"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</row>
    <row r="118" spans="15:30" ht="12" customHeight="1" x14ac:dyDescent="0.25"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</row>
    <row r="119" spans="15:30" ht="12" customHeight="1" x14ac:dyDescent="0.25"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</row>
    <row r="120" spans="15:30" ht="12" customHeight="1" x14ac:dyDescent="0.25"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</row>
    <row r="121" spans="15:30" ht="12" customHeight="1" x14ac:dyDescent="0.25"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</row>
    <row r="122" spans="15:30" ht="12" customHeight="1" x14ac:dyDescent="0.25"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</row>
    <row r="123" spans="15:30" ht="12" customHeight="1" x14ac:dyDescent="0.25"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</row>
    <row r="124" spans="15:30" ht="12" customHeight="1" x14ac:dyDescent="0.25"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</row>
    <row r="125" spans="15:30" ht="12" customHeight="1" x14ac:dyDescent="0.25"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</row>
    <row r="126" spans="15:30" ht="12" customHeight="1" x14ac:dyDescent="0.25"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</row>
    <row r="127" spans="15:30" ht="12" customHeight="1" x14ac:dyDescent="0.25"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</row>
    <row r="128" spans="15:30" ht="12" customHeight="1" x14ac:dyDescent="0.25"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</row>
    <row r="129" spans="15:30" ht="12" customHeight="1" x14ac:dyDescent="0.25"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</row>
    <row r="130" spans="15:30" ht="12" customHeight="1" x14ac:dyDescent="0.25"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</row>
    <row r="131" spans="15:30" ht="12" customHeight="1" x14ac:dyDescent="0.25"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</row>
    <row r="132" spans="15:30" ht="12" customHeight="1" x14ac:dyDescent="0.25"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</row>
    <row r="133" spans="15:30" ht="12" customHeight="1" x14ac:dyDescent="0.25"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</row>
    <row r="134" spans="15:30" ht="12" customHeight="1" x14ac:dyDescent="0.25"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</row>
    <row r="135" spans="15:30" ht="12" customHeight="1" x14ac:dyDescent="0.25"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</row>
    <row r="136" spans="15:30" ht="12" customHeight="1" x14ac:dyDescent="0.25"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</row>
    <row r="137" spans="15:30" ht="12" customHeight="1" x14ac:dyDescent="0.25"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</row>
    <row r="138" spans="15:30" ht="12" customHeight="1" x14ac:dyDescent="0.25"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</row>
    <row r="139" spans="15:30" ht="12" customHeight="1" x14ac:dyDescent="0.25"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</row>
    <row r="140" spans="15:30" ht="12" customHeight="1" x14ac:dyDescent="0.25"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</row>
    <row r="141" spans="15:30" ht="12" customHeight="1" x14ac:dyDescent="0.25"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</row>
    <row r="142" spans="15:30" ht="12" customHeight="1" x14ac:dyDescent="0.25"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</row>
    <row r="143" spans="15:30" ht="12" customHeight="1" x14ac:dyDescent="0.25"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</row>
    <row r="144" spans="15:30" ht="12" customHeight="1" x14ac:dyDescent="0.25"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</row>
    <row r="145" spans="15:30" ht="12" customHeight="1" x14ac:dyDescent="0.25"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</row>
    <row r="146" spans="15:30" ht="12" customHeight="1" x14ac:dyDescent="0.25"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</row>
    <row r="147" spans="15:30" ht="12" customHeight="1" x14ac:dyDescent="0.25"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</row>
    <row r="148" spans="15:30" ht="12" customHeight="1" x14ac:dyDescent="0.25"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</row>
    <row r="149" spans="15:30" ht="12" customHeight="1" x14ac:dyDescent="0.25"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</row>
    <row r="150" spans="15:30" ht="12" customHeight="1" x14ac:dyDescent="0.25"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</row>
    <row r="151" spans="15:30" ht="12" customHeight="1" x14ac:dyDescent="0.25"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</row>
    <row r="152" spans="15:30" ht="12" customHeight="1" x14ac:dyDescent="0.25"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</row>
    <row r="153" spans="15:30" ht="12" customHeight="1" x14ac:dyDescent="0.25"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</row>
    <row r="154" spans="15:30" ht="12" customHeight="1" x14ac:dyDescent="0.25"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</row>
    <row r="155" spans="15:30" ht="12" customHeight="1" x14ac:dyDescent="0.25"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</row>
    <row r="156" spans="15:30" ht="12" customHeight="1" x14ac:dyDescent="0.25"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</row>
    <row r="157" spans="15:30" ht="12" customHeight="1" x14ac:dyDescent="0.25"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</row>
    <row r="158" spans="15:30" ht="12" customHeight="1" x14ac:dyDescent="0.25"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</row>
    <row r="159" spans="15:30" ht="12" customHeight="1" x14ac:dyDescent="0.25"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</row>
    <row r="160" spans="15:30" ht="12" customHeight="1" x14ac:dyDescent="0.25"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</row>
    <row r="161" spans="15:30" ht="12" customHeight="1" x14ac:dyDescent="0.25"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</row>
    <row r="162" spans="15:30" ht="12" customHeight="1" x14ac:dyDescent="0.25"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</row>
    <row r="163" spans="15:30" ht="12" customHeight="1" x14ac:dyDescent="0.25"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</row>
    <row r="164" spans="15:30" ht="12" customHeight="1" x14ac:dyDescent="0.25"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</row>
    <row r="165" spans="15:30" ht="12" customHeight="1" x14ac:dyDescent="0.25"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</row>
    <row r="166" spans="15:30" ht="12" customHeight="1" x14ac:dyDescent="0.25"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</row>
    <row r="167" spans="15:30" ht="12" customHeight="1" x14ac:dyDescent="0.25"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</row>
    <row r="168" spans="15:30" ht="12" customHeight="1" x14ac:dyDescent="0.25"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</row>
    <row r="169" spans="15:30" ht="12" customHeight="1" x14ac:dyDescent="0.25"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</row>
    <row r="170" spans="15:30" ht="12" customHeight="1" x14ac:dyDescent="0.25"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</row>
    <row r="171" spans="15:30" ht="12" customHeight="1" x14ac:dyDescent="0.25"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</row>
    <row r="172" spans="15:30" ht="12" customHeight="1" x14ac:dyDescent="0.25"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</row>
    <row r="173" spans="15:30" ht="12" customHeight="1" x14ac:dyDescent="0.25"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</row>
    <row r="174" spans="15:30" ht="12" customHeight="1" x14ac:dyDescent="0.25"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</row>
    <row r="175" spans="15:30" ht="12" customHeight="1" x14ac:dyDescent="0.25"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</row>
    <row r="176" spans="15:30" ht="12" customHeight="1" x14ac:dyDescent="0.25"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</row>
    <row r="177" spans="15:30" ht="12" customHeight="1" x14ac:dyDescent="0.25"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</row>
    <row r="178" spans="15:30" ht="12" customHeight="1" x14ac:dyDescent="0.25"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</row>
    <row r="179" spans="15:30" ht="12" customHeight="1" x14ac:dyDescent="0.25"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</row>
    <row r="180" spans="15:30" ht="12" customHeight="1" x14ac:dyDescent="0.25"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</row>
    <row r="181" spans="15:30" ht="12" customHeight="1" x14ac:dyDescent="0.25"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</row>
    <row r="182" spans="15:30" ht="12" customHeight="1" x14ac:dyDescent="0.25"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</row>
    <row r="183" spans="15:30" ht="12" customHeight="1" x14ac:dyDescent="0.25"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</row>
    <row r="184" spans="15:30" ht="12" customHeight="1" x14ac:dyDescent="0.25"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</row>
    <row r="185" spans="15:30" ht="12" customHeight="1" x14ac:dyDescent="0.25"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</row>
    <row r="186" spans="15:30" ht="12" customHeight="1" x14ac:dyDescent="0.25"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</row>
    <row r="187" spans="15:30" ht="12" customHeight="1" x14ac:dyDescent="0.25"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</row>
    <row r="188" spans="15:30" ht="12" customHeight="1" x14ac:dyDescent="0.25"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</row>
    <row r="189" spans="15:30" ht="12" customHeight="1" x14ac:dyDescent="0.25"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</row>
    <row r="190" spans="15:30" ht="12" customHeight="1" x14ac:dyDescent="0.25"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</row>
    <row r="191" spans="15:30" ht="12" customHeight="1" x14ac:dyDescent="0.25"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</row>
    <row r="192" spans="15:30" ht="12" customHeight="1" x14ac:dyDescent="0.25"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</row>
    <row r="193" spans="15:30" ht="12" customHeight="1" x14ac:dyDescent="0.25"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</row>
    <row r="194" spans="15:30" ht="12" customHeight="1" x14ac:dyDescent="0.25"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</row>
    <row r="195" spans="15:30" ht="12" customHeight="1" x14ac:dyDescent="0.25"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</row>
    <row r="196" spans="15:30" ht="12" customHeight="1" x14ac:dyDescent="0.25"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</row>
    <row r="197" spans="15:30" ht="12" customHeight="1" x14ac:dyDescent="0.25"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</row>
    <row r="198" spans="15:30" ht="12" customHeight="1" x14ac:dyDescent="0.25"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</row>
    <row r="199" spans="15:30" ht="12" customHeight="1" x14ac:dyDescent="0.25"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</row>
    <row r="200" spans="15:30" ht="12" customHeight="1" x14ac:dyDescent="0.25"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</row>
  </sheetData>
  <mergeCells count="19">
    <mergeCell ref="O1:U1"/>
    <mergeCell ref="A47:C47"/>
    <mergeCell ref="L1:M1"/>
    <mergeCell ref="A2:A29"/>
    <mergeCell ref="A30:A46"/>
    <mergeCell ref="B2:B10"/>
    <mergeCell ref="B11:B18"/>
    <mergeCell ref="B19:B20"/>
    <mergeCell ref="B21:B23"/>
    <mergeCell ref="B24:B28"/>
    <mergeCell ref="B29:C29"/>
    <mergeCell ref="B30:B35"/>
    <mergeCell ref="B36:B37"/>
    <mergeCell ref="B38:B41"/>
    <mergeCell ref="B42:B43"/>
    <mergeCell ref="A48:C48"/>
    <mergeCell ref="A49:C49"/>
    <mergeCell ref="B44:B45"/>
    <mergeCell ref="B46:C46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6265-A824-4DD7-9C09-FF81D57AE25A}">
  <sheetPr codeName="Planilha7"/>
  <dimension ref="A1:AP51"/>
  <sheetViews>
    <sheetView showGridLines="0" topLeftCell="C34" workbookViewId="0">
      <selection activeCell="K62" sqref="K62:P62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8" width="10" style="9" bestFit="1" customWidth="1"/>
    <col min="19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.855468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1.4257812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95" t="s">
        <v>62</v>
      </c>
      <c r="B1" s="95" t="s">
        <v>63</v>
      </c>
      <c r="C1" s="95" t="s">
        <v>64</v>
      </c>
      <c r="D1" s="95" t="s">
        <v>65</v>
      </c>
      <c r="E1" s="95" t="s">
        <v>66</v>
      </c>
      <c r="F1" s="95" t="s">
        <v>15</v>
      </c>
      <c r="G1" s="95" t="s">
        <v>68</v>
      </c>
      <c r="H1" s="95" t="s">
        <v>69</v>
      </c>
      <c r="I1" s="95" t="s">
        <v>487</v>
      </c>
      <c r="J1" s="90"/>
      <c r="L1" s="96" t="s">
        <v>488</v>
      </c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P1" s="96" t="s">
        <v>489</v>
      </c>
    </row>
    <row r="2" spans="1:42" ht="11.25" customHeight="1" x14ac:dyDescent="0.25">
      <c r="A2" s="95"/>
      <c r="B2" s="95"/>
      <c r="C2" s="95"/>
      <c r="D2" s="95"/>
      <c r="E2" s="95"/>
      <c r="F2" s="95"/>
      <c r="G2" s="95"/>
      <c r="H2" s="95"/>
      <c r="I2" s="95"/>
      <c r="J2" s="90"/>
      <c r="L2" s="96" t="s">
        <v>386</v>
      </c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P2" s="97"/>
    </row>
    <row r="3" spans="1:42" ht="11.25" customHeight="1" x14ac:dyDescent="0.25">
      <c r="A3" s="95"/>
      <c r="B3" s="95"/>
      <c r="C3" s="95"/>
      <c r="D3" s="95"/>
      <c r="E3" s="95"/>
      <c r="F3" s="95"/>
      <c r="G3" s="95"/>
      <c r="H3" s="95"/>
      <c r="I3" s="95"/>
      <c r="J3" s="90"/>
      <c r="L3" s="96" t="s">
        <v>387</v>
      </c>
      <c r="M3" s="96"/>
      <c r="N3" s="96"/>
      <c r="O3" s="96"/>
      <c r="P3" s="96"/>
      <c r="Q3" s="96"/>
      <c r="R3" s="96"/>
      <c r="S3" s="96"/>
      <c r="T3" s="96"/>
      <c r="U3" s="96" t="s">
        <v>396</v>
      </c>
      <c r="V3" s="96"/>
      <c r="W3" s="96"/>
      <c r="X3" s="96"/>
      <c r="Y3" s="96"/>
      <c r="Z3" s="96"/>
      <c r="AA3" s="96"/>
      <c r="AB3" s="96"/>
      <c r="AC3" s="96" t="s">
        <v>404</v>
      </c>
      <c r="AD3" s="96"/>
      <c r="AE3" s="96" t="s">
        <v>406</v>
      </c>
      <c r="AF3" s="96"/>
      <c r="AG3" s="96"/>
      <c r="AH3" s="96" t="s">
        <v>409</v>
      </c>
      <c r="AI3" s="96"/>
      <c r="AJ3" s="96"/>
      <c r="AK3" s="96"/>
      <c r="AL3" s="96"/>
      <c r="AM3" s="96" t="s">
        <v>395</v>
      </c>
      <c r="AP3" s="97"/>
    </row>
    <row r="4" spans="1:42" ht="11.25" customHeight="1" x14ac:dyDescent="0.25">
      <c r="A4" s="95"/>
      <c r="B4" s="95"/>
      <c r="C4" s="95"/>
      <c r="D4" s="95"/>
      <c r="E4" s="95"/>
      <c r="F4" s="95"/>
      <c r="G4" s="95"/>
      <c r="H4" s="95"/>
      <c r="I4" s="95"/>
      <c r="J4" s="90"/>
      <c r="L4" s="25" t="s">
        <v>472</v>
      </c>
      <c r="M4" s="25" t="s">
        <v>388</v>
      </c>
      <c r="N4" s="25" t="s">
        <v>389</v>
      </c>
      <c r="O4" s="25" t="s">
        <v>390</v>
      </c>
      <c r="P4" s="25" t="s">
        <v>391</v>
      </c>
      <c r="Q4" s="25" t="s">
        <v>392</v>
      </c>
      <c r="R4" s="25" t="s">
        <v>393</v>
      </c>
      <c r="S4" s="25" t="s">
        <v>394</v>
      </c>
      <c r="T4" s="25" t="s">
        <v>395</v>
      </c>
      <c r="U4" s="25" t="s">
        <v>397</v>
      </c>
      <c r="V4" s="25" t="s">
        <v>398</v>
      </c>
      <c r="W4" s="25" t="s">
        <v>399</v>
      </c>
      <c r="X4" s="25" t="s">
        <v>400</v>
      </c>
      <c r="Y4" s="25" t="s">
        <v>401</v>
      </c>
      <c r="Z4" s="25" t="s">
        <v>402</v>
      </c>
      <c r="AA4" s="25" t="s">
        <v>403</v>
      </c>
      <c r="AB4" s="25" t="s">
        <v>395</v>
      </c>
      <c r="AC4" s="25" t="s">
        <v>405</v>
      </c>
      <c r="AD4" s="25" t="s">
        <v>395</v>
      </c>
      <c r="AE4" s="25" t="s">
        <v>407</v>
      </c>
      <c r="AF4" s="25" t="s">
        <v>408</v>
      </c>
      <c r="AG4" s="25" t="s">
        <v>395</v>
      </c>
      <c r="AH4" s="25" t="s">
        <v>410</v>
      </c>
      <c r="AI4" s="25" t="s">
        <v>411</v>
      </c>
      <c r="AJ4" s="25" t="s">
        <v>412</v>
      </c>
      <c r="AK4" s="25" t="s">
        <v>413</v>
      </c>
      <c r="AL4" s="25" t="s">
        <v>395</v>
      </c>
      <c r="AM4" s="98"/>
      <c r="AP4" s="97"/>
    </row>
    <row r="5" spans="1:42" ht="11.25" customHeight="1" x14ac:dyDescent="0.25">
      <c r="A5" s="94" t="s">
        <v>35</v>
      </c>
      <c r="B5" s="94" t="s">
        <v>48</v>
      </c>
      <c r="C5" s="94" t="s">
        <v>25</v>
      </c>
      <c r="D5" s="94" t="s">
        <v>25</v>
      </c>
      <c r="E5" s="94" t="s">
        <v>25</v>
      </c>
      <c r="F5" s="94" t="s">
        <v>25</v>
      </c>
      <c r="G5" s="27" t="s">
        <v>76</v>
      </c>
      <c r="H5" s="27" t="s">
        <v>75</v>
      </c>
      <c r="I5" s="27">
        <f>'MERCADO TUSD'!$U$2</f>
        <v>5811</v>
      </c>
      <c r="J5" s="15"/>
      <c r="L5" s="17"/>
      <c r="M5" s="17"/>
      <c r="N5" s="17"/>
      <c r="O5" s="17"/>
      <c r="P5" s="17"/>
      <c r="Q5" s="17"/>
      <c r="R5" s="17"/>
      <c r="S5" s="17"/>
      <c r="T5" s="17"/>
      <c r="U5" s="17">
        <v>0</v>
      </c>
      <c r="V5" s="17">
        <v>0</v>
      </c>
      <c r="W5" s="17">
        <v>0</v>
      </c>
      <c r="X5" s="17">
        <v>0</v>
      </c>
      <c r="Y5" s="17">
        <v>32.983199999999997</v>
      </c>
      <c r="Z5" s="17">
        <v>0</v>
      </c>
      <c r="AA5" s="17">
        <v>0</v>
      </c>
      <c r="AB5" s="17"/>
      <c r="AC5" s="17">
        <v>78.079300000000003</v>
      </c>
      <c r="AD5" s="17"/>
      <c r="AE5" s="17"/>
      <c r="AF5" s="17"/>
      <c r="AG5" s="17"/>
      <c r="AH5" s="17"/>
      <c r="AI5" s="17"/>
      <c r="AJ5" s="17"/>
      <c r="AK5" s="17"/>
      <c r="AL5" s="17"/>
      <c r="AM5" s="17"/>
      <c r="AP5" s="17">
        <v>1</v>
      </c>
    </row>
    <row r="6" spans="1:42" ht="11.25" customHeight="1" x14ac:dyDescent="0.25">
      <c r="A6" s="94"/>
      <c r="B6" s="94"/>
      <c r="C6" s="94"/>
      <c r="D6" s="94"/>
      <c r="E6" s="94"/>
      <c r="F6" s="94"/>
      <c r="G6" s="27" t="s">
        <v>77</v>
      </c>
      <c r="H6" s="27" t="s">
        <v>75</v>
      </c>
      <c r="I6" s="27">
        <f>'MERCADO TUSD'!$U$3</f>
        <v>5810</v>
      </c>
      <c r="J6" s="15"/>
      <c r="L6" s="17"/>
      <c r="M6" s="17"/>
      <c r="N6" s="17"/>
      <c r="O6" s="17"/>
      <c r="P6" s="17"/>
      <c r="Q6" s="17"/>
      <c r="R6" s="17"/>
      <c r="S6" s="17"/>
      <c r="T6" s="17"/>
      <c r="U6" s="17">
        <v>0</v>
      </c>
      <c r="V6" s="17">
        <v>0</v>
      </c>
      <c r="W6" s="17">
        <v>0</v>
      </c>
      <c r="X6" s="17">
        <v>0</v>
      </c>
      <c r="Y6" s="17">
        <v>13.3314</v>
      </c>
      <c r="Z6" s="17">
        <v>0</v>
      </c>
      <c r="AA6" s="17">
        <v>0</v>
      </c>
      <c r="AB6" s="17"/>
      <c r="AC6" s="17">
        <v>21.818000000000001</v>
      </c>
      <c r="AD6" s="17"/>
      <c r="AE6" s="17"/>
      <c r="AF6" s="17"/>
      <c r="AG6" s="17"/>
      <c r="AH6" s="17"/>
      <c r="AI6" s="17"/>
      <c r="AJ6" s="17"/>
      <c r="AK6" s="17"/>
      <c r="AL6" s="17"/>
      <c r="AM6" s="17"/>
      <c r="AP6" s="17">
        <v>1</v>
      </c>
    </row>
    <row r="7" spans="1:42" ht="11.25" customHeight="1" x14ac:dyDescent="0.25">
      <c r="A7" s="94"/>
      <c r="B7" s="94"/>
      <c r="C7" s="94"/>
      <c r="D7" s="94"/>
      <c r="E7" s="94"/>
      <c r="F7" s="94"/>
      <c r="G7" s="27" t="s">
        <v>78</v>
      </c>
      <c r="H7" s="27" t="s">
        <v>72</v>
      </c>
      <c r="I7" s="27">
        <f>'MERCADO TUSD'!$U$4</f>
        <v>2834.2459999999996</v>
      </c>
      <c r="J7" s="15"/>
      <c r="L7" s="17"/>
      <c r="M7" s="17"/>
      <c r="N7" s="17"/>
      <c r="O7" s="17"/>
      <c r="P7" s="17"/>
      <c r="Q7" s="17"/>
      <c r="R7" s="17"/>
      <c r="S7" s="17"/>
      <c r="T7" s="17"/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/>
      <c r="AC7" s="17">
        <v>0</v>
      </c>
      <c r="AD7" s="17"/>
      <c r="AE7" s="17"/>
      <c r="AF7" s="17"/>
      <c r="AG7" s="17"/>
      <c r="AH7" s="17"/>
      <c r="AI7" s="17"/>
      <c r="AJ7" s="17"/>
      <c r="AK7" s="17"/>
      <c r="AL7" s="17"/>
      <c r="AM7" s="17"/>
      <c r="AP7" s="17">
        <v>1</v>
      </c>
    </row>
    <row r="8" spans="1:42" ht="11.25" customHeight="1" x14ac:dyDescent="0.25">
      <c r="A8" s="94"/>
      <c r="B8" s="94"/>
      <c r="C8" s="94"/>
      <c r="D8" s="94"/>
      <c r="E8" s="26" t="s">
        <v>79</v>
      </c>
      <c r="F8" s="26" t="s">
        <v>25</v>
      </c>
      <c r="G8" s="27" t="s">
        <v>78</v>
      </c>
      <c r="H8" s="27" t="s">
        <v>72</v>
      </c>
      <c r="I8" s="27">
        <f>'MERCADO TUSD'!$U$5</f>
        <v>0</v>
      </c>
      <c r="J8" s="15"/>
      <c r="L8" s="17"/>
      <c r="M8" s="17"/>
      <c r="N8" s="17"/>
      <c r="O8" s="17"/>
      <c r="P8" s="17"/>
      <c r="Q8" s="17"/>
      <c r="R8" s="17"/>
      <c r="S8" s="17"/>
      <c r="T8" s="17"/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/>
      <c r="AC8" s="17">
        <v>0</v>
      </c>
      <c r="AD8" s="17"/>
      <c r="AE8" s="17"/>
      <c r="AF8" s="17"/>
      <c r="AG8" s="17"/>
      <c r="AH8" s="17"/>
      <c r="AI8" s="17"/>
      <c r="AJ8" s="17"/>
      <c r="AK8" s="17"/>
      <c r="AL8" s="17"/>
      <c r="AM8" s="17"/>
      <c r="AP8" s="17">
        <v>1</v>
      </c>
    </row>
    <row r="9" spans="1:42" ht="11.25" customHeight="1" x14ac:dyDescent="0.25">
      <c r="A9" s="94"/>
      <c r="B9" s="26" t="s">
        <v>53</v>
      </c>
      <c r="C9" s="26" t="s">
        <v>25</v>
      </c>
      <c r="D9" s="26" t="s">
        <v>25</v>
      </c>
      <c r="E9" s="26" t="s">
        <v>25</v>
      </c>
      <c r="F9" s="26" t="s">
        <v>25</v>
      </c>
      <c r="G9" s="27" t="s">
        <v>9</v>
      </c>
      <c r="H9" s="27" t="s">
        <v>75</v>
      </c>
      <c r="I9" s="27">
        <f>'MERCADO TUSD'!$U$6</f>
        <v>10908</v>
      </c>
      <c r="J9" s="15"/>
      <c r="L9" s="17"/>
      <c r="M9" s="17"/>
      <c r="N9" s="17"/>
      <c r="O9" s="17"/>
      <c r="P9" s="17"/>
      <c r="Q9" s="17"/>
      <c r="R9" s="17"/>
      <c r="S9" s="17"/>
      <c r="T9" s="17"/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/>
      <c r="AC9" s="17">
        <v>5.9222999999999999</v>
      </c>
      <c r="AD9" s="17"/>
      <c r="AE9" s="17"/>
      <c r="AF9" s="17"/>
      <c r="AG9" s="17"/>
      <c r="AH9" s="17"/>
      <c r="AI9" s="17"/>
      <c r="AJ9" s="17"/>
      <c r="AK9" s="17"/>
      <c r="AL9" s="17"/>
      <c r="AM9" s="17"/>
      <c r="AP9" s="17"/>
    </row>
    <row r="10" spans="1:42" ht="11.25" customHeight="1" x14ac:dyDescent="0.25">
      <c r="A10" s="94"/>
      <c r="B10" s="94" t="s">
        <v>36</v>
      </c>
      <c r="C10" s="94" t="s">
        <v>25</v>
      </c>
      <c r="D10" s="94" t="s">
        <v>25</v>
      </c>
      <c r="E10" s="94" t="s">
        <v>25</v>
      </c>
      <c r="F10" s="94" t="s">
        <v>25</v>
      </c>
      <c r="G10" s="27" t="s">
        <v>9</v>
      </c>
      <c r="H10" s="27" t="s">
        <v>75</v>
      </c>
      <c r="I10" s="27">
        <f>'MERCADO TUSD'!$U$7</f>
        <v>139673</v>
      </c>
      <c r="J10" s="15"/>
      <c r="L10" s="17"/>
      <c r="M10" s="17"/>
      <c r="N10" s="17"/>
      <c r="O10" s="17"/>
      <c r="P10" s="17"/>
      <c r="Q10" s="17"/>
      <c r="R10" s="17"/>
      <c r="S10" s="17"/>
      <c r="T10" s="17"/>
      <c r="U10" s="17">
        <v>0</v>
      </c>
      <c r="V10" s="17">
        <v>0</v>
      </c>
      <c r="W10" s="17">
        <v>0</v>
      </c>
      <c r="X10" s="17">
        <v>0</v>
      </c>
      <c r="Y10" s="17">
        <v>13.3314</v>
      </c>
      <c r="Z10" s="17">
        <v>0</v>
      </c>
      <c r="AA10" s="17">
        <v>0</v>
      </c>
      <c r="AB10" s="17"/>
      <c r="AC10" s="17">
        <v>21.818000000000001</v>
      </c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P10" s="17">
        <v>1</v>
      </c>
    </row>
    <row r="11" spans="1:42" ht="11.25" customHeight="1" x14ac:dyDescent="0.25">
      <c r="A11" s="94"/>
      <c r="B11" s="94"/>
      <c r="C11" s="94"/>
      <c r="D11" s="94"/>
      <c r="E11" s="94"/>
      <c r="F11" s="94"/>
      <c r="G11" s="27" t="s">
        <v>73</v>
      </c>
      <c r="H11" s="27" t="s">
        <v>72</v>
      </c>
      <c r="I11" s="27">
        <f>'MERCADO TUSD'!$U$8</f>
        <v>1014.939</v>
      </c>
      <c r="J11" s="15"/>
      <c r="L11" s="17"/>
      <c r="M11" s="17"/>
      <c r="N11" s="17"/>
      <c r="O11" s="17"/>
      <c r="P11" s="17"/>
      <c r="Q11" s="17"/>
      <c r="R11" s="17"/>
      <c r="S11" s="17"/>
      <c r="T11" s="17"/>
      <c r="U11" s="17">
        <v>0</v>
      </c>
      <c r="V11" s="17">
        <v>0</v>
      </c>
      <c r="W11" s="17">
        <v>0</v>
      </c>
      <c r="X11" s="17">
        <v>0</v>
      </c>
      <c r="Y11" s="17">
        <v>793.56150000000002</v>
      </c>
      <c r="Z11" s="17">
        <v>0</v>
      </c>
      <c r="AA11" s="17">
        <v>0</v>
      </c>
      <c r="AB11" s="17"/>
      <c r="AC11" s="17">
        <v>1877.8087</v>
      </c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P11" s="17">
        <v>1</v>
      </c>
    </row>
    <row r="12" spans="1:42" ht="11.25" customHeight="1" x14ac:dyDescent="0.25">
      <c r="A12" s="94"/>
      <c r="B12" s="94"/>
      <c r="C12" s="94"/>
      <c r="D12" s="94"/>
      <c r="E12" s="94"/>
      <c r="F12" s="94"/>
      <c r="G12" s="27" t="s">
        <v>74</v>
      </c>
      <c r="H12" s="27" t="s">
        <v>72</v>
      </c>
      <c r="I12" s="27">
        <f>'MERCADO TUSD'!$U$9</f>
        <v>28226.924000000003</v>
      </c>
      <c r="J12" s="15"/>
      <c r="L12" s="17"/>
      <c r="M12" s="17"/>
      <c r="N12" s="17"/>
      <c r="O12" s="17"/>
      <c r="P12" s="17"/>
      <c r="Q12" s="17"/>
      <c r="R12" s="17"/>
      <c r="S12" s="17"/>
      <c r="T12" s="17"/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/>
      <c r="AC12" s="17">
        <v>0</v>
      </c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P12" s="17">
        <v>1</v>
      </c>
    </row>
    <row r="13" spans="1:42" ht="11.25" customHeight="1" x14ac:dyDescent="0.25">
      <c r="A13" s="94"/>
      <c r="B13" s="94"/>
      <c r="C13" s="94"/>
      <c r="D13" s="94"/>
      <c r="E13" s="94" t="s">
        <v>79</v>
      </c>
      <c r="F13" s="94" t="s">
        <v>25</v>
      </c>
      <c r="G13" s="27" t="s">
        <v>73</v>
      </c>
      <c r="H13" s="27" t="s">
        <v>72</v>
      </c>
      <c r="I13" s="27">
        <f>'MERCADO TUSD'!$U$10</f>
        <v>0</v>
      </c>
      <c r="J13" s="15"/>
      <c r="L13" s="17"/>
      <c r="M13" s="17"/>
      <c r="N13" s="17"/>
      <c r="O13" s="17"/>
      <c r="P13" s="17"/>
      <c r="Q13" s="17"/>
      <c r="R13" s="17"/>
      <c r="S13" s="17"/>
      <c r="T13" s="17"/>
      <c r="U13" s="17">
        <v>0</v>
      </c>
      <c r="V13" s="17">
        <v>0</v>
      </c>
      <c r="W13" s="17">
        <v>0</v>
      </c>
      <c r="X13" s="17">
        <v>0</v>
      </c>
      <c r="Y13" s="17">
        <v>793.56150000000002</v>
      </c>
      <c r="Z13" s="17">
        <v>0</v>
      </c>
      <c r="AA13" s="17">
        <v>0</v>
      </c>
      <c r="AB13" s="17"/>
      <c r="AC13" s="17">
        <v>1877.8087</v>
      </c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P13" s="17">
        <v>1</v>
      </c>
    </row>
    <row r="14" spans="1:42" ht="11.25" customHeight="1" x14ac:dyDescent="0.25">
      <c r="A14" s="94"/>
      <c r="B14" s="94"/>
      <c r="C14" s="94"/>
      <c r="D14" s="94"/>
      <c r="E14" s="94"/>
      <c r="F14" s="94"/>
      <c r="G14" s="27" t="s">
        <v>74</v>
      </c>
      <c r="H14" s="27" t="s">
        <v>72</v>
      </c>
      <c r="I14" s="27">
        <f>'MERCADO TUSD'!$U$11</f>
        <v>0</v>
      </c>
      <c r="J14" s="15"/>
      <c r="L14" s="17"/>
      <c r="M14" s="17"/>
      <c r="N14" s="17"/>
      <c r="O14" s="17"/>
      <c r="P14" s="17"/>
      <c r="Q14" s="17"/>
      <c r="R14" s="17"/>
      <c r="S14" s="17"/>
      <c r="T14" s="17"/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/>
      <c r="AC14" s="17">
        <v>0</v>
      </c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P14" s="17">
        <v>1</v>
      </c>
    </row>
    <row r="15" spans="1:42" ht="11.25" customHeight="1" x14ac:dyDescent="0.25">
      <c r="A15" s="94" t="s">
        <v>80</v>
      </c>
      <c r="B15" s="94" t="s">
        <v>53</v>
      </c>
      <c r="C15" s="94" t="s">
        <v>25</v>
      </c>
      <c r="D15" s="94" t="s">
        <v>25</v>
      </c>
      <c r="E15" s="26" t="s">
        <v>81</v>
      </c>
      <c r="F15" s="26" t="s">
        <v>25</v>
      </c>
      <c r="G15" s="27" t="s">
        <v>9</v>
      </c>
      <c r="H15" s="27" t="s">
        <v>75</v>
      </c>
      <c r="I15" s="27">
        <f>'MERCADO TUSD'!$U$12+0.00000001</f>
        <v>1E-8</v>
      </c>
      <c r="J15" s="15"/>
      <c r="L15" s="17"/>
      <c r="M15" s="17"/>
      <c r="N15" s="17"/>
      <c r="O15" s="17"/>
      <c r="P15" s="17"/>
      <c r="Q15" s="17"/>
      <c r="R15" s="17"/>
      <c r="S15" s="17"/>
      <c r="T15" s="17"/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/>
      <c r="AC15" s="17">
        <v>10.1813</v>
      </c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P15" s="17"/>
    </row>
    <row r="16" spans="1:42" ht="11.25" customHeight="1" x14ac:dyDescent="0.25">
      <c r="A16" s="94"/>
      <c r="B16" s="94"/>
      <c r="C16" s="94"/>
      <c r="D16" s="94"/>
      <c r="E16" s="26" t="s">
        <v>82</v>
      </c>
      <c r="F16" s="26" t="s">
        <v>25</v>
      </c>
      <c r="G16" s="27" t="s">
        <v>9</v>
      </c>
      <c r="H16" s="27" t="s">
        <v>75</v>
      </c>
      <c r="I16" s="27">
        <f>'MERCADO TUSD'!$U$13+0.00000001</f>
        <v>1E-8</v>
      </c>
      <c r="J16" s="15"/>
      <c r="L16" s="17"/>
      <c r="M16" s="17"/>
      <c r="N16" s="17"/>
      <c r="O16" s="17"/>
      <c r="P16" s="17"/>
      <c r="Q16" s="17"/>
      <c r="R16" s="17"/>
      <c r="S16" s="17"/>
      <c r="T16" s="17"/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/>
      <c r="AC16" s="17">
        <v>20.714300000000001</v>
      </c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P16" s="17"/>
    </row>
    <row r="17" spans="1:42" ht="11.25" customHeight="1" x14ac:dyDescent="0.25">
      <c r="A17" s="94" t="s">
        <v>22</v>
      </c>
      <c r="B17" s="94" t="s">
        <v>85</v>
      </c>
      <c r="C17" s="94" t="s">
        <v>24</v>
      </c>
      <c r="D17" s="94" t="s">
        <v>24</v>
      </c>
      <c r="E17" s="94" t="s">
        <v>25</v>
      </c>
      <c r="F17" s="94" t="s">
        <v>25</v>
      </c>
      <c r="G17" s="27" t="s">
        <v>73</v>
      </c>
      <c r="H17" s="27" t="s">
        <v>72</v>
      </c>
      <c r="I17" s="27">
        <f>'MERCADO TUSD'!$U$14</f>
        <v>0</v>
      </c>
      <c r="J17" s="15"/>
      <c r="L17" s="17"/>
      <c r="M17" s="17"/>
      <c r="N17" s="17"/>
      <c r="O17" s="17"/>
      <c r="P17" s="17"/>
      <c r="Q17" s="17"/>
      <c r="R17" s="17"/>
      <c r="S17" s="17"/>
      <c r="T17" s="17"/>
      <c r="U17" s="17">
        <v>0</v>
      </c>
      <c r="V17" s="17">
        <v>0</v>
      </c>
      <c r="W17" s="17">
        <v>0</v>
      </c>
      <c r="X17" s="17">
        <v>0</v>
      </c>
      <c r="Y17" s="17">
        <v>290.52809999999999</v>
      </c>
      <c r="Z17" s="17">
        <v>0</v>
      </c>
      <c r="AA17" s="17">
        <v>0</v>
      </c>
      <c r="AB17" s="17"/>
      <c r="AC17" s="17">
        <v>877.36699999999996</v>
      </c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P17" s="17">
        <v>1</v>
      </c>
    </row>
    <row r="18" spans="1:42" ht="11.25" customHeight="1" x14ac:dyDescent="0.25">
      <c r="A18" s="94"/>
      <c r="B18" s="94"/>
      <c r="C18" s="94"/>
      <c r="D18" s="94"/>
      <c r="E18" s="94"/>
      <c r="F18" s="94"/>
      <c r="G18" s="27" t="s">
        <v>83</v>
      </c>
      <c r="H18" s="27" t="s">
        <v>72</v>
      </c>
      <c r="I18" s="27">
        <f>'MERCADO TUSD'!$U$15</f>
        <v>0</v>
      </c>
      <c r="J18" s="15"/>
      <c r="L18" s="17"/>
      <c r="M18" s="17"/>
      <c r="N18" s="17"/>
      <c r="O18" s="17"/>
      <c r="P18" s="17"/>
      <c r="Q18" s="17"/>
      <c r="R18" s="17"/>
      <c r="S18" s="17"/>
      <c r="T18" s="17"/>
      <c r="U18" s="17">
        <v>0</v>
      </c>
      <c r="V18" s="17">
        <v>0</v>
      </c>
      <c r="W18" s="17">
        <v>0</v>
      </c>
      <c r="X18" s="17">
        <v>0</v>
      </c>
      <c r="Y18" s="17">
        <v>174.3169</v>
      </c>
      <c r="Z18" s="17">
        <v>0</v>
      </c>
      <c r="AA18" s="17">
        <v>0</v>
      </c>
      <c r="AB18" s="17"/>
      <c r="AC18" s="17">
        <v>526.42039999999997</v>
      </c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P18" s="17">
        <v>1</v>
      </c>
    </row>
    <row r="19" spans="1:42" ht="11.25" customHeight="1" x14ac:dyDescent="0.25">
      <c r="A19" s="94"/>
      <c r="B19" s="94"/>
      <c r="C19" s="94"/>
      <c r="D19" s="94"/>
      <c r="E19" s="94"/>
      <c r="F19" s="94"/>
      <c r="G19" s="27" t="s">
        <v>74</v>
      </c>
      <c r="H19" s="27" t="s">
        <v>72</v>
      </c>
      <c r="I19" s="27">
        <f>'MERCADO TUSD'!$U$16</f>
        <v>0</v>
      </c>
      <c r="J19" s="15"/>
      <c r="L19" s="17"/>
      <c r="M19" s="17"/>
      <c r="N19" s="17"/>
      <c r="O19" s="17"/>
      <c r="P19" s="17"/>
      <c r="Q19" s="17"/>
      <c r="R19" s="17"/>
      <c r="S19" s="17"/>
      <c r="T19" s="17"/>
      <c r="U19" s="17">
        <v>0</v>
      </c>
      <c r="V19" s="17">
        <v>0</v>
      </c>
      <c r="W19" s="17">
        <v>0</v>
      </c>
      <c r="X19" s="17">
        <v>0</v>
      </c>
      <c r="Y19" s="17">
        <v>58.158799999999999</v>
      </c>
      <c r="Z19" s="17">
        <v>0</v>
      </c>
      <c r="AA19" s="17">
        <v>0</v>
      </c>
      <c r="AB19" s="17"/>
      <c r="AC19" s="17">
        <v>175.47319999999999</v>
      </c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P19" s="17">
        <v>1</v>
      </c>
    </row>
    <row r="20" spans="1:42" ht="11.25" customHeight="1" x14ac:dyDescent="0.25">
      <c r="A20" s="94"/>
      <c r="B20" s="94" t="s">
        <v>23</v>
      </c>
      <c r="C20" s="94" t="s">
        <v>24</v>
      </c>
      <c r="D20" s="26" t="s">
        <v>24</v>
      </c>
      <c r="E20" s="26" t="s">
        <v>25</v>
      </c>
      <c r="F20" s="26" t="s">
        <v>25</v>
      </c>
      <c r="G20" s="27" t="s">
        <v>78</v>
      </c>
      <c r="H20" s="27" t="s">
        <v>72</v>
      </c>
      <c r="I20" s="27">
        <f>'MERCADO TUSD'!$U$17</f>
        <v>11694.771999999999</v>
      </c>
      <c r="J20" s="15"/>
      <c r="L20" s="17"/>
      <c r="M20" s="17"/>
      <c r="N20" s="17"/>
      <c r="O20" s="17"/>
      <c r="P20" s="17"/>
      <c r="Q20" s="17"/>
      <c r="R20" s="17"/>
      <c r="S20" s="17"/>
      <c r="T20" s="17"/>
      <c r="U20" s="17">
        <v>0</v>
      </c>
      <c r="V20" s="17">
        <v>0</v>
      </c>
      <c r="W20" s="17">
        <v>0</v>
      </c>
      <c r="X20" s="17">
        <v>0</v>
      </c>
      <c r="Y20" s="17">
        <v>107.5538</v>
      </c>
      <c r="Z20" s="17">
        <v>0</v>
      </c>
      <c r="AA20" s="17">
        <v>0</v>
      </c>
      <c r="AB20" s="17"/>
      <c r="AC20" s="17">
        <v>324.95080000000002</v>
      </c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P20" s="17">
        <v>1</v>
      </c>
    </row>
    <row r="21" spans="1:42" ht="11.25" customHeight="1" x14ac:dyDescent="0.25">
      <c r="A21" s="94"/>
      <c r="B21" s="94"/>
      <c r="C21" s="94"/>
      <c r="D21" s="26" t="s">
        <v>29</v>
      </c>
      <c r="E21" s="26" t="s">
        <v>25</v>
      </c>
      <c r="F21" s="26" t="s">
        <v>25</v>
      </c>
      <c r="G21" s="27" t="s">
        <v>78</v>
      </c>
      <c r="H21" s="27" t="s">
        <v>72</v>
      </c>
      <c r="I21" s="27">
        <f>'MERCADO TUSD'!$U$18</f>
        <v>30.416</v>
      </c>
      <c r="J21" s="15"/>
      <c r="L21" s="17"/>
      <c r="M21" s="17"/>
      <c r="N21" s="17"/>
      <c r="O21" s="17"/>
      <c r="P21" s="17"/>
      <c r="Q21" s="17"/>
      <c r="R21" s="17"/>
      <c r="S21" s="17"/>
      <c r="T21" s="17"/>
      <c r="U21" s="17">
        <v>0</v>
      </c>
      <c r="V21" s="17">
        <v>0</v>
      </c>
      <c r="W21" s="17">
        <v>0</v>
      </c>
      <c r="X21" s="17">
        <v>0</v>
      </c>
      <c r="Y21" s="17">
        <f>(1 - CUSTOS!$M$24)*107.5538</f>
        <v>107.5538</v>
      </c>
      <c r="Z21" s="17">
        <v>0</v>
      </c>
      <c r="AA21" s="17">
        <v>0</v>
      </c>
      <c r="AB21" s="17"/>
      <c r="AC21" s="17">
        <f>(1 - CUSTOS!$M$24)*324.9508</f>
        <v>324.95080000000002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P21" s="17">
        <f>IF((1 - CUSTOS!$M$24)&lt;&gt;0,1/(1 - CUSTOS!$M$24),1)</f>
        <v>1</v>
      </c>
    </row>
    <row r="22" spans="1:42" ht="11.25" customHeight="1" x14ac:dyDescent="0.25">
      <c r="A22" s="94"/>
      <c r="B22" s="94"/>
      <c r="C22" s="94"/>
      <c r="D22" s="26" t="s">
        <v>30</v>
      </c>
      <c r="E22" s="26" t="s">
        <v>25</v>
      </c>
      <c r="F22" s="26" t="s">
        <v>25</v>
      </c>
      <c r="G22" s="27" t="s">
        <v>78</v>
      </c>
      <c r="H22" s="27" t="s">
        <v>72</v>
      </c>
      <c r="I22" s="27">
        <f>'MERCADO TUSD'!$U$19</f>
        <v>60.935000000000002</v>
      </c>
      <c r="J22" s="15"/>
      <c r="L22" s="17"/>
      <c r="M22" s="17"/>
      <c r="N22" s="17"/>
      <c r="O22" s="17"/>
      <c r="P22" s="17"/>
      <c r="Q22" s="17"/>
      <c r="R22" s="17"/>
      <c r="S22" s="17"/>
      <c r="T22" s="17"/>
      <c r="U22" s="17">
        <v>0</v>
      </c>
      <c r="V22" s="17">
        <v>0</v>
      </c>
      <c r="W22" s="17">
        <v>0</v>
      </c>
      <c r="X22" s="17">
        <v>0</v>
      </c>
      <c r="Y22" s="17">
        <f>(1 - CUSTOS!$M$25)*107.5538</f>
        <v>107.5538</v>
      </c>
      <c r="Z22" s="17">
        <v>0</v>
      </c>
      <c r="AA22" s="17">
        <v>0</v>
      </c>
      <c r="AB22" s="17"/>
      <c r="AC22" s="17">
        <f>(1 - CUSTOS!$M$25)*324.9508</f>
        <v>324.95080000000002</v>
      </c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P22" s="17">
        <f>IF((1 - CUSTOS!$M$25)&lt;&gt;0,1/(1 - CUSTOS!$M$25),1)</f>
        <v>1</v>
      </c>
    </row>
    <row r="23" spans="1:42" ht="11.25" customHeight="1" x14ac:dyDescent="0.25">
      <c r="A23" s="94"/>
      <c r="B23" s="94"/>
      <c r="C23" s="94"/>
      <c r="D23" s="26" t="s">
        <v>31</v>
      </c>
      <c r="E23" s="26" t="s">
        <v>25</v>
      </c>
      <c r="F23" s="26" t="s">
        <v>25</v>
      </c>
      <c r="G23" s="27" t="s">
        <v>78</v>
      </c>
      <c r="H23" s="27" t="s">
        <v>72</v>
      </c>
      <c r="I23" s="27">
        <f>'MERCADO TUSD'!$U$20</f>
        <v>58.873999999999995</v>
      </c>
      <c r="J23" s="15"/>
      <c r="L23" s="17"/>
      <c r="M23" s="17"/>
      <c r="N23" s="17"/>
      <c r="O23" s="17"/>
      <c r="P23" s="17"/>
      <c r="Q23" s="17"/>
      <c r="R23" s="17"/>
      <c r="S23" s="17"/>
      <c r="T23" s="17"/>
      <c r="U23" s="17">
        <v>0</v>
      </c>
      <c r="V23" s="17">
        <v>0</v>
      </c>
      <c r="W23" s="17">
        <v>0</v>
      </c>
      <c r="X23" s="17">
        <v>0</v>
      </c>
      <c r="Y23" s="17">
        <f>(1 - CUSTOS!$M$26)*107.5538</f>
        <v>107.5538</v>
      </c>
      <c r="Z23" s="17">
        <v>0</v>
      </c>
      <c r="AA23" s="17">
        <v>0</v>
      </c>
      <c r="AB23" s="17"/>
      <c r="AC23" s="17">
        <f>(1 - CUSTOS!$M$26)*324.9508</f>
        <v>324.95080000000002</v>
      </c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P23" s="17">
        <f>IF((1 - CUSTOS!$M$26)&lt;&gt;0,1/(1 - CUSTOS!$M$26),1)</f>
        <v>1</v>
      </c>
    </row>
    <row r="24" spans="1:42" ht="11.25" customHeight="1" x14ac:dyDescent="0.25">
      <c r="A24" s="94"/>
      <c r="B24" s="94"/>
      <c r="C24" s="94"/>
      <c r="D24" s="26" t="s">
        <v>32</v>
      </c>
      <c r="E24" s="26" t="s">
        <v>25</v>
      </c>
      <c r="F24" s="26" t="s">
        <v>25</v>
      </c>
      <c r="G24" s="27" t="s">
        <v>78</v>
      </c>
      <c r="H24" s="27" t="s">
        <v>72</v>
      </c>
      <c r="I24" s="27">
        <f>'MERCADO TUSD'!$U$21</f>
        <v>22.426000000000002</v>
      </c>
      <c r="J24" s="15"/>
      <c r="L24" s="17"/>
      <c r="M24" s="17"/>
      <c r="N24" s="17"/>
      <c r="O24" s="17"/>
      <c r="P24" s="17"/>
      <c r="Q24" s="17"/>
      <c r="R24" s="17"/>
      <c r="S24" s="17"/>
      <c r="T24" s="17"/>
      <c r="U24" s="17">
        <v>0</v>
      </c>
      <c r="V24" s="17">
        <v>0</v>
      </c>
      <c r="W24" s="17">
        <v>0</v>
      </c>
      <c r="X24" s="17">
        <v>0</v>
      </c>
      <c r="Y24" s="17">
        <f>(1 - CUSTOS!$M$27)*107.5538</f>
        <v>107.5538</v>
      </c>
      <c r="Z24" s="17">
        <v>0</v>
      </c>
      <c r="AA24" s="17">
        <v>0</v>
      </c>
      <c r="AB24" s="17"/>
      <c r="AC24" s="17">
        <f>(1 - CUSTOS!$M$27)*324.9508</f>
        <v>324.95080000000002</v>
      </c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P24" s="17">
        <f>IF((1 - CUSTOS!$M$27)&lt;&gt;0,1/(1 - CUSTOS!$M$27),1)</f>
        <v>1</v>
      </c>
    </row>
    <row r="25" spans="1:42" ht="11.25" customHeight="1" x14ac:dyDescent="0.25">
      <c r="A25" s="94"/>
      <c r="B25" s="94" t="s">
        <v>87</v>
      </c>
      <c r="C25" s="94" t="s">
        <v>24</v>
      </c>
      <c r="D25" s="26" t="s">
        <v>24</v>
      </c>
      <c r="E25" s="26" t="s">
        <v>25</v>
      </c>
      <c r="F25" s="26" t="s">
        <v>25</v>
      </c>
      <c r="G25" s="27" t="s">
        <v>78</v>
      </c>
      <c r="H25" s="27" t="s">
        <v>72</v>
      </c>
      <c r="I25" s="27">
        <f>'MERCADO TUSD'!$U$22</f>
        <v>0</v>
      </c>
      <c r="J25" s="15"/>
      <c r="L25" s="17"/>
      <c r="M25" s="17"/>
      <c r="N25" s="17"/>
      <c r="O25" s="17"/>
      <c r="P25" s="17"/>
      <c r="Q25" s="17"/>
      <c r="R25" s="17"/>
      <c r="S25" s="17"/>
      <c r="T25" s="17"/>
      <c r="U25" s="17">
        <v>0</v>
      </c>
      <c r="V25" s="17">
        <v>0</v>
      </c>
      <c r="W25" s="17">
        <v>0</v>
      </c>
      <c r="X25" s="17">
        <v>0</v>
      </c>
      <c r="Y25" s="17">
        <v>107.5538</v>
      </c>
      <c r="Z25" s="17">
        <v>0</v>
      </c>
      <c r="AA25" s="17">
        <v>0</v>
      </c>
      <c r="AB25" s="17"/>
      <c r="AC25" s="17">
        <v>324.95080000000002</v>
      </c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P25" s="17">
        <v>1</v>
      </c>
    </row>
    <row r="26" spans="1:42" ht="11.25" customHeight="1" x14ac:dyDescent="0.25">
      <c r="A26" s="94"/>
      <c r="B26" s="94"/>
      <c r="C26" s="94"/>
      <c r="D26" s="26" t="s">
        <v>29</v>
      </c>
      <c r="E26" s="26" t="s">
        <v>25</v>
      </c>
      <c r="F26" s="26" t="s">
        <v>25</v>
      </c>
      <c r="G26" s="27" t="s">
        <v>78</v>
      </c>
      <c r="H26" s="27" t="s">
        <v>72</v>
      </c>
      <c r="I26" s="27">
        <f>'MERCADO TUSD'!$U$23</f>
        <v>0</v>
      </c>
      <c r="J26" s="15"/>
      <c r="L26" s="17"/>
      <c r="M26" s="17"/>
      <c r="N26" s="17"/>
      <c r="O26" s="17"/>
      <c r="P26" s="17"/>
      <c r="Q26" s="17"/>
      <c r="R26" s="17"/>
      <c r="S26" s="17"/>
      <c r="T26" s="17"/>
      <c r="U26" s="17">
        <v>0</v>
      </c>
      <c r="V26" s="17">
        <v>0</v>
      </c>
      <c r="W26" s="17">
        <v>0</v>
      </c>
      <c r="X26" s="17">
        <v>0</v>
      </c>
      <c r="Y26" s="17">
        <f>(1 - CUSTOS!$M$24)*107.5538</f>
        <v>107.5538</v>
      </c>
      <c r="Z26" s="17">
        <v>0</v>
      </c>
      <c r="AA26" s="17">
        <v>0</v>
      </c>
      <c r="AB26" s="17"/>
      <c r="AC26" s="17">
        <f>(1 - CUSTOS!$M$24)*324.9508</f>
        <v>324.95080000000002</v>
      </c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P26" s="17">
        <f>IF((1 - CUSTOS!$M$24)&lt;&gt;0,1/(1 - CUSTOS!$M$24),1)</f>
        <v>1</v>
      </c>
    </row>
    <row r="27" spans="1:42" ht="11.25" customHeight="1" x14ac:dyDescent="0.25">
      <c r="A27" s="94"/>
      <c r="B27" s="94"/>
      <c r="C27" s="94"/>
      <c r="D27" s="26" t="s">
        <v>30</v>
      </c>
      <c r="E27" s="26" t="s">
        <v>25</v>
      </c>
      <c r="F27" s="26" t="s">
        <v>25</v>
      </c>
      <c r="G27" s="27" t="s">
        <v>78</v>
      </c>
      <c r="H27" s="27" t="s">
        <v>72</v>
      </c>
      <c r="I27" s="27">
        <f>'MERCADO TUSD'!$U$24</f>
        <v>0</v>
      </c>
      <c r="J27" s="15"/>
      <c r="L27" s="17"/>
      <c r="M27" s="17"/>
      <c r="N27" s="17"/>
      <c r="O27" s="17"/>
      <c r="P27" s="17"/>
      <c r="Q27" s="17"/>
      <c r="R27" s="17"/>
      <c r="S27" s="17"/>
      <c r="T27" s="17"/>
      <c r="U27" s="17">
        <v>0</v>
      </c>
      <c r="V27" s="17">
        <v>0</v>
      </c>
      <c r="W27" s="17">
        <v>0</v>
      </c>
      <c r="X27" s="17">
        <v>0</v>
      </c>
      <c r="Y27" s="17">
        <f>(1 - CUSTOS!$M$25)*107.5538</f>
        <v>107.5538</v>
      </c>
      <c r="Z27" s="17">
        <v>0</v>
      </c>
      <c r="AA27" s="17">
        <v>0</v>
      </c>
      <c r="AB27" s="17"/>
      <c r="AC27" s="17">
        <f>(1 - CUSTOS!$M$25)*324.9508</f>
        <v>324.95080000000002</v>
      </c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P27" s="17">
        <f>IF((1 - CUSTOS!$M$25)&lt;&gt;0,1/(1 - CUSTOS!$M$25),1)</f>
        <v>1</v>
      </c>
    </row>
    <row r="28" spans="1:42" ht="11.25" customHeight="1" x14ac:dyDescent="0.25">
      <c r="A28" s="94"/>
      <c r="B28" s="94"/>
      <c r="C28" s="94"/>
      <c r="D28" s="26" t="s">
        <v>31</v>
      </c>
      <c r="E28" s="26" t="s">
        <v>25</v>
      </c>
      <c r="F28" s="26" t="s">
        <v>25</v>
      </c>
      <c r="G28" s="27" t="s">
        <v>78</v>
      </c>
      <c r="H28" s="27" t="s">
        <v>72</v>
      </c>
      <c r="I28" s="27">
        <f>'MERCADO TUSD'!$U$25</f>
        <v>0</v>
      </c>
      <c r="J28" s="15"/>
      <c r="L28" s="17"/>
      <c r="M28" s="17"/>
      <c r="N28" s="17"/>
      <c r="O28" s="17"/>
      <c r="P28" s="17"/>
      <c r="Q28" s="17"/>
      <c r="R28" s="17"/>
      <c r="S28" s="17"/>
      <c r="T28" s="17"/>
      <c r="U28" s="17">
        <v>0</v>
      </c>
      <c r="V28" s="17">
        <v>0</v>
      </c>
      <c r="W28" s="17">
        <v>0</v>
      </c>
      <c r="X28" s="17">
        <v>0</v>
      </c>
      <c r="Y28" s="17">
        <f>(1 - CUSTOS!$M$26)*107.5538</f>
        <v>107.5538</v>
      </c>
      <c r="Z28" s="17">
        <v>0</v>
      </c>
      <c r="AA28" s="17">
        <v>0</v>
      </c>
      <c r="AB28" s="17"/>
      <c r="AC28" s="17">
        <f>(1 - CUSTOS!$M$26)*324.9508</f>
        <v>324.95080000000002</v>
      </c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P28" s="17">
        <f>IF((1 - CUSTOS!$M$26)&lt;&gt;0,1/(1 - CUSTOS!$M$26),1)</f>
        <v>1</v>
      </c>
    </row>
    <row r="29" spans="1:42" ht="11.25" customHeight="1" x14ac:dyDescent="0.25">
      <c r="A29" s="94"/>
      <c r="B29" s="94"/>
      <c r="C29" s="94"/>
      <c r="D29" s="26" t="s">
        <v>32</v>
      </c>
      <c r="E29" s="26" t="s">
        <v>25</v>
      </c>
      <c r="F29" s="26" t="s">
        <v>25</v>
      </c>
      <c r="G29" s="27" t="s">
        <v>78</v>
      </c>
      <c r="H29" s="27" t="s">
        <v>72</v>
      </c>
      <c r="I29" s="27">
        <f>'MERCADO TUSD'!$U$26</f>
        <v>0</v>
      </c>
      <c r="J29" s="15"/>
      <c r="L29" s="17"/>
      <c r="M29" s="17"/>
      <c r="N29" s="17"/>
      <c r="O29" s="17"/>
      <c r="P29" s="17"/>
      <c r="Q29" s="17"/>
      <c r="R29" s="17"/>
      <c r="S29" s="17"/>
      <c r="T29" s="17"/>
      <c r="U29" s="17">
        <v>0</v>
      </c>
      <c r="V29" s="17">
        <v>0</v>
      </c>
      <c r="W29" s="17">
        <v>0</v>
      </c>
      <c r="X29" s="17">
        <v>0</v>
      </c>
      <c r="Y29" s="17">
        <f>(1 - CUSTOS!$M$27)*107.5538</f>
        <v>107.5538</v>
      </c>
      <c r="Z29" s="17">
        <v>0</v>
      </c>
      <c r="AA29" s="17">
        <v>0</v>
      </c>
      <c r="AB29" s="17"/>
      <c r="AC29" s="17">
        <f>(1 - CUSTOS!$M$27)*324.9508</f>
        <v>324.95080000000002</v>
      </c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P29" s="17">
        <f>IF((1 - CUSTOS!$M$27)&lt;&gt;0,1/(1 - CUSTOS!$M$27),1)</f>
        <v>1</v>
      </c>
    </row>
    <row r="30" spans="1:42" ht="11.25" customHeight="1" x14ac:dyDescent="0.25">
      <c r="A30" s="94" t="s">
        <v>40</v>
      </c>
      <c r="B30" s="94" t="s">
        <v>85</v>
      </c>
      <c r="C30" s="94" t="s">
        <v>41</v>
      </c>
      <c r="D30" s="94" t="s">
        <v>25</v>
      </c>
      <c r="E30" s="94" t="s">
        <v>25</v>
      </c>
      <c r="F30" s="94" t="s">
        <v>25</v>
      </c>
      <c r="G30" s="27" t="s">
        <v>73</v>
      </c>
      <c r="H30" s="27" t="s">
        <v>72</v>
      </c>
      <c r="I30" s="27">
        <f>'MERCADO TUSD'!$U$27</f>
        <v>0</v>
      </c>
      <c r="J30" s="15"/>
      <c r="L30" s="17"/>
      <c r="M30" s="17"/>
      <c r="N30" s="17"/>
      <c r="O30" s="17"/>
      <c r="P30" s="17"/>
      <c r="Q30" s="17"/>
      <c r="R30" s="17"/>
      <c r="S30" s="17"/>
      <c r="T30" s="17"/>
      <c r="U30" s="17">
        <v>0</v>
      </c>
      <c r="V30" s="17">
        <v>0</v>
      </c>
      <c r="W30" s="17">
        <v>0</v>
      </c>
      <c r="X30" s="17">
        <v>0</v>
      </c>
      <c r="Y30" s="17">
        <f>(1 - CUSTOS!$M$28)*317.2971</f>
        <v>317.2971</v>
      </c>
      <c r="Z30" s="17">
        <v>0</v>
      </c>
      <c r="AA30" s="17">
        <v>0</v>
      </c>
      <c r="AB30" s="17"/>
      <c r="AC30" s="17">
        <f>(1 - CUSTOS!$M$28)*958.6049</f>
        <v>958.60490000000004</v>
      </c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P30" s="17">
        <f>IF((1 - CUSTOS!$M$28)&lt;&gt;0,1/(1 - CUSTOS!$M$28),1)</f>
        <v>1</v>
      </c>
    </row>
    <row r="31" spans="1:42" ht="11.25" customHeight="1" x14ac:dyDescent="0.25">
      <c r="A31" s="94"/>
      <c r="B31" s="94"/>
      <c r="C31" s="94"/>
      <c r="D31" s="94"/>
      <c r="E31" s="94"/>
      <c r="F31" s="94"/>
      <c r="G31" s="27" t="s">
        <v>83</v>
      </c>
      <c r="H31" s="27" t="s">
        <v>72</v>
      </c>
      <c r="I31" s="27">
        <f>'MERCADO TUSD'!$U$28</f>
        <v>0</v>
      </c>
      <c r="J31" s="15"/>
      <c r="L31" s="17"/>
      <c r="M31" s="17"/>
      <c r="N31" s="17"/>
      <c r="O31" s="17"/>
      <c r="P31" s="17"/>
      <c r="Q31" s="17"/>
      <c r="R31" s="17"/>
      <c r="S31" s="17"/>
      <c r="T31" s="17"/>
      <c r="U31" s="17">
        <v>0</v>
      </c>
      <c r="V31" s="17">
        <v>0</v>
      </c>
      <c r="W31" s="17">
        <v>0</v>
      </c>
      <c r="X31" s="17">
        <v>0</v>
      </c>
      <c r="Y31" s="17">
        <f>(1 - CUSTOS!$M$28)*190.357</f>
        <v>190.357</v>
      </c>
      <c r="Z31" s="17">
        <v>0</v>
      </c>
      <c r="AA31" s="17">
        <v>0</v>
      </c>
      <c r="AB31" s="17"/>
      <c r="AC31" s="17">
        <f>(1 - CUSTOS!$M$28)*575.1627</f>
        <v>575.16269999999997</v>
      </c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P31" s="17">
        <f>IF((1 - CUSTOS!$M$28)&lt;&gt;0,1/(1 - CUSTOS!$M$28),1)</f>
        <v>1</v>
      </c>
    </row>
    <row r="32" spans="1:42" ht="11.25" customHeight="1" x14ac:dyDescent="0.25">
      <c r="A32" s="94"/>
      <c r="B32" s="94"/>
      <c r="C32" s="94"/>
      <c r="D32" s="94"/>
      <c r="E32" s="94"/>
      <c r="F32" s="94"/>
      <c r="G32" s="27" t="s">
        <v>74</v>
      </c>
      <c r="H32" s="27" t="s">
        <v>72</v>
      </c>
      <c r="I32" s="27">
        <f>'MERCADO TUSD'!$U$29</f>
        <v>0</v>
      </c>
      <c r="J32" s="15"/>
      <c r="L32" s="17"/>
      <c r="M32" s="17"/>
      <c r="N32" s="17"/>
      <c r="O32" s="17"/>
      <c r="P32" s="17"/>
      <c r="Q32" s="17"/>
      <c r="R32" s="17"/>
      <c r="S32" s="17"/>
      <c r="T32" s="17"/>
      <c r="U32" s="17">
        <v>0</v>
      </c>
      <c r="V32" s="17">
        <v>0</v>
      </c>
      <c r="W32" s="17">
        <v>0</v>
      </c>
      <c r="X32" s="17">
        <v>0</v>
      </c>
      <c r="Y32" s="17">
        <f>(1 - CUSTOS!$M$28)*63.4169</f>
        <v>63.416899999999998</v>
      </c>
      <c r="Z32" s="17">
        <v>0</v>
      </c>
      <c r="AA32" s="17">
        <v>0</v>
      </c>
      <c r="AB32" s="17"/>
      <c r="AC32" s="17">
        <f>(1 - CUSTOS!$M$28)*191.7209</f>
        <v>191.7209</v>
      </c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P32" s="17">
        <f>IF((1 - CUSTOS!$M$28)&lt;&gt;0,1/(1 - CUSTOS!$M$28),1)</f>
        <v>1</v>
      </c>
    </row>
    <row r="33" spans="1:42" ht="11.25" customHeight="1" x14ac:dyDescent="0.25">
      <c r="A33" s="94"/>
      <c r="B33" s="26" t="s">
        <v>23</v>
      </c>
      <c r="C33" s="26" t="s">
        <v>41</v>
      </c>
      <c r="D33" s="26" t="s">
        <v>25</v>
      </c>
      <c r="E33" s="26" t="s">
        <v>25</v>
      </c>
      <c r="F33" s="26" t="s">
        <v>25</v>
      </c>
      <c r="G33" s="27" t="s">
        <v>78</v>
      </c>
      <c r="H33" s="27" t="s">
        <v>72</v>
      </c>
      <c r="I33" s="27">
        <f>'MERCADO TUSD'!$U$30</f>
        <v>40057.667999999998</v>
      </c>
      <c r="J33" s="15"/>
      <c r="L33" s="17"/>
      <c r="M33" s="17"/>
      <c r="N33" s="17"/>
      <c r="O33" s="17"/>
      <c r="P33" s="17"/>
      <c r="Q33" s="17"/>
      <c r="R33" s="17"/>
      <c r="S33" s="17"/>
      <c r="T33" s="17"/>
      <c r="U33" s="17">
        <v>0</v>
      </c>
      <c r="V33" s="17">
        <v>0</v>
      </c>
      <c r="W33" s="17">
        <v>0</v>
      </c>
      <c r="X33" s="17">
        <v>0</v>
      </c>
      <c r="Y33" s="17">
        <f>(1 - CUSTOS!$M$28)*107.5538</f>
        <v>107.5538</v>
      </c>
      <c r="Z33" s="17">
        <v>0</v>
      </c>
      <c r="AA33" s="17">
        <v>0</v>
      </c>
      <c r="AB33" s="17"/>
      <c r="AC33" s="17">
        <f>(1 - CUSTOS!$M$28)*324.9508</f>
        <v>324.95080000000002</v>
      </c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P33" s="17">
        <f>IF((1 - CUSTOS!$M$28)&lt;&gt;0,1/(1 - CUSTOS!$M$28),1)</f>
        <v>1</v>
      </c>
    </row>
    <row r="34" spans="1:42" ht="11.25" customHeight="1" x14ac:dyDescent="0.25">
      <c r="A34" s="94"/>
      <c r="B34" s="94" t="s">
        <v>85</v>
      </c>
      <c r="C34" s="94" t="s">
        <v>41</v>
      </c>
      <c r="D34" s="94" t="s">
        <v>88</v>
      </c>
      <c r="E34" s="94" t="s">
        <v>25</v>
      </c>
      <c r="F34" s="94" t="s">
        <v>25</v>
      </c>
      <c r="G34" s="27" t="s">
        <v>73</v>
      </c>
      <c r="H34" s="27" t="s">
        <v>72</v>
      </c>
      <c r="I34" s="27">
        <f>'MERCADO TUSD'!$U$31</f>
        <v>0</v>
      </c>
      <c r="J34" s="15"/>
      <c r="L34" s="17"/>
      <c r="M34" s="17"/>
      <c r="N34" s="17"/>
      <c r="O34" s="17"/>
      <c r="P34" s="17"/>
      <c r="Q34" s="17"/>
      <c r="R34" s="17"/>
      <c r="S34" s="17"/>
      <c r="T34" s="17"/>
      <c r="U34" s="17">
        <v>0</v>
      </c>
      <c r="V34" s="17">
        <v>0</v>
      </c>
      <c r="W34" s="17">
        <v>0</v>
      </c>
      <c r="X34" s="17">
        <v>0</v>
      </c>
      <c r="Y34" s="17">
        <f>(1 - CUSTOS!$M$29)*317.2971</f>
        <v>317.2971</v>
      </c>
      <c r="Z34" s="17">
        <v>0</v>
      </c>
      <c r="AA34" s="17">
        <v>0</v>
      </c>
      <c r="AB34" s="17"/>
      <c r="AC34" s="17">
        <f>(1 - CUSTOS!$M$29)*958.6049</f>
        <v>958.60490000000004</v>
      </c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P34" s="17">
        <f>IF((1 - CUSTOS!$M$29)&lt;&gt;0,1/(1 - CUSTOS!$M$29),1)</f>
        <v>1</v>
      </c>
    </row>
    <row r="35" spans="1:42" ht="11.25" customHeight="1" x14ac:dyDescent="0.25">
      <c r="A35" s="94"/>
      <c r="B35" s="94"/>
      <c r="C35" s="94"/>
      <c r="D35" s="94"/>
      <c r="E35" s="94"/>
      <c r="F35" s="94"/>
      <c r="G35" s="27" t="s">
        <v>83</v>
      </c>
      <c r="H35" s="27" t="s">
        <v>72</v>
      </c>
      <c r="I35" s="27">
        <f>'MERCADO TUSD'!$U$32</f>
        <v>0</v>
      </c>
      <c r="J35" s="15"/>
      <c r="L35" s="17"/>
      <c r="M35" s="17"/>
      <c r="N35" s="17"/>
      <c r="O35" s="17"/>
      <c r="P35" s="17"/>
      <c r="Q35" s="17"/>
      <c r="R35" s="17"/>
      <c r="S35" s="17"/>
      <c r="T35" s="17"/>
      <c r="U35" s="17">
        <v>0</v>
      </c>
      <c r="V35" s="17">
        <v>0</v>
      </c>
      <c r="W35" s="17">
        <v>0</v>
      </c>
      <c r="X35" s="17">
        <v>0</v>
      </c>
      <c r="Y35" s="17">
        <f>(1 - CUSTOS!$M$29)*190.357</f>
        <v>190.357</v>
      </c>
      <c r="Z35" s="17">
        <v>0</v>
      </c>
      <c r="AA35" s="17">
        <v>0</v>
      </c>
      <c r="AB35" s="17"/>
      <c r="AC35" s="17">
        <f>(1 - CUSTOS!$M$29)*575.1627</f>
        <v>575.16269999999997</v>
      </c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P35" s="17">
        <f>IF((1 - CUSTOS!$M$29)&lt;&gt;0,1/(1 - CUSTOS!$M$29),1)</f>
        <v>1</v>
      </c>
    </row>
    <row r="36" spans="1:42" ht="11.25" customHeight="1" x14ac:dyDescent="0.25">
      <c r="A36" s="94"/>
      <c r="B36" s="94"/>
      <c r="C36" s="94"/>
      <c r="D36" s="94"/>
      <c r="E36" s="94"/>
      <c r="F36" s="94"/>
      <c r="G36" s="27" t="s">
        <v>74</v>
      </c>
      <c r="H36" s="27" t="s">
        <v>72</v>
      </c>
      <c r="I36" s="27">
        <f>'MERCADO TUSD'!$U$33</f>
        <v>0</v>
      </c>
      <c r="J36" s="15"/>
      <c r="L36" s="17"/>
      <c r="M36" s="17"/>
      <c r="N36" s="17"/>
      <c r="O36" s="17"/>
      <c r="P36" s="17"/>
      <c r="Q36" s="17"/>
      <c r="R36" s="17"/>
      <c r="S36" s="17"/>
      <c r="T36" s="17"/>
      <c r="U36" s="17">
        <v>0</v>
      </c>
      <c r="V36" s="17">
        <v>0</v>
      </c>
      <c r="W36" s="17">
        <v>0</v>
      </c>
      <c r="X36" s="17">
        <v>0</v>
      </c>
      <c r="Y36" s="17">
        <f>(1 - CUSTOS!$M$29)*63.4169</f>
        <v>63.416899999999998</v>
      </c>
      <c r="Z36" s="17">
        <v>0</v>
      </c>
      <c r="AA36" s="17">
        <v>0</v>
      </c>
      <c r="AB36" s="17"/>
      <c r="AC36" s="17">
        <f>(1 - CUSTOS!$M$29)*191.7209</f>
        <v>191.7209</v>
      </c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P36" s="17">
        <f>IF((1 - CUSTOS!$M$29)&lt;&gt;0,1/(1 - CUSTOS!$M$29),1)</f>
        <v>1</v>
      </c>
    </row>
    <row r="37" spans="1:42" ht="11.25" customHeight="1" x14ac:dyDescent="0.25">
      <c r="A37" s="94"/>
      <c r="B37" s="26" t="s">
        <v>23</v>
      </c>
      <c r="C37" s="26" t="s">
        <v>41</v>
      </c>
      <c r="D37" s="26" t="s">
        <v>88</v>
      </c>
      <c r="E37" s="26" t="s">
        <v>25</v>
      </c>
      <c r="F37" s="26" t="s">
        <v>25</v>
      </c>
      <c r="G37" s="27" t="s">
        <v>78</v>
      </c>
      <c r="H37" s="27" t="s">
        <v>72</v>
      </c>
      <c r="I37" s="27">
        <f>'MERCADO TUSD'!$U$34</f>
        <v>0</v>
      </c>
      <c r="J37" s="15"/>
      <c r="L37" s="17"/>
      <c r="M37" s="17"/>
      <c r="N37" s="17"/>
      <c r="O37" s="17"/>
      <c r="P37" s="17"/>
      <c r="Q37" s="17"/>
      <c r="R37" s="17"/>
      <c r="S37" s="17"/>
      <c r="T37" s="17"/>
      <c r="U37" s="17">
        <v>0</v>
      </c>
      <c r="V37" s="17">
        <v>0</v>
      </c>
      <c r="W37" s="17">
        <v>0</v>
      </c>
      <c r="X37" s="17">
        <v>0</v>
      </c>
      <c r="Y37" s="17">
        <f>(1 - CUSTOS!$M$29)*107.5538</f>
        <v>107.5538</v>
      </c>
      <c r="Z37" s="17">
        <v>0</v>
      </c>
      <c r="AA37" s="17">
        <v>0</v>
      </c>
      <c r="AB37" s="17"/>
      <c r="AC37" s="17">
        <f>(1 - CUSTOS!$M$29)*324.9508</f>
        <v>324.95080000000002</v>
      </c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P37" s="17">
        <f>IF((1 - CUSTOS!$M$29)&lt;&gt;0,1/(1 - CUSTOS!$M$29),1)</f>
        <v>1</v>
      </c>
    </row>
    <row r="38" spans="1:42" ht="11.25" customHeight="1" x14ac:dyDescent="0.25">
      <c r="A38" s="94"/>
      <c r="B38" s="94" t="s">
        <v>85</v>
      </c>
      <c r="C38" s="94" t="s">
        <v>41</v>
      </c>
      <c r="D38" s="94" t="s">
        <v>89</v>
      </c>
      <c r="E38" s="94" t="s">
        <v>25</v>
      </c>
      <c r="F38" s="94" t="s">
        <v>25</v>
      </c>
      <c r="G38" s="27" t="s">
        <v>73</v>
      </c>
      <c r="H38" s="27" t="s">
        <v>72</v>
      </c>
      <c r="I38" s="27">
        <f>'MERCADO TUSD'!$U$35</f>
        <v>0</v>
      </c>
      <c r="J38" s="15"/>
      <c r="L38" s="17"/>
      <c r="M38" s="17"/>
      <c r="N38" s="17"/>
      <c r="O38" s="17"/>
      <c r="P38" s="17"/>
      <c r="Q38" s="17"/>
      <c r="R38" s="17"/>
      <c r="S38" s="17"/>
      <c r="T38" s="17"/>
      <c r="U38" s="17">
        <v>0</v>
      </c>
      <c r="V38" s="17">
        <v>0</v>
      </c>
      <c r="W38" s="17">
        <v>0</v>
      </c>
      <c r="X38" s="17">
        <v>0</v>
      </c>
      <c r="Y38" s="17">
        <f>(1 - CUSTOS!$M$30)*317.2971</f>
        <v>317.2971</v>
      </c>
      <c r="Z38" s="17">
        <v>0</v>
      </c>
      <c r="AA38" s="17">
        <v>0</v>
      </c>
      <c r="AB38" s="17"/>
      <c r="AC38" s="17">
        <f>(1 - CUSTOS!$M$30)*958.6049</f>
        <v>958.60490000000004</v>
      </c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P38" s="17">
        <f>IF((1 - CUSTOS!$M$30)&lt;&gt;0,1/(1 - CUSTOS!$M$30),1)</f>
        <v>1</v>
      </c>
    </row>
    <row r="39" spans="1:42" ht="11.25" customHeight="1" x14ac:dyDescent="0.25">
      <c r="A39" s="94"/>
      <c r="B39" s="94"/>
      <c r="C39" s="94"/>
      <c r="D39" s="94"/>
      <c r="E39" s="94"/>
      <c r="F39" s="94"/>
      <c r="G39" s="27" t="s">
        <v>83</v>
      </c>
      <c r="H39" s="27" t="s">
        <v>72</v>
      </c>
      <c r="I39" s="27">
        <f>'MERCADO TUSD'!$U$36</f>
        <v>0</v>
      </c>
      <c r="J39" s="15"/>
      <c r="L39" s="17"/>
      <c r="M39" s="17"/>
      <c r="N39" s="17"/>
      <c r="O39" s="17"/>
      <c r="P39" s="17"/>
      <c r="Q39" s="17"/>
      <c r="R39" s="17"/>
      <c r="S39" s="17"/>
      <c r="T39" s="17"/>
      <c r="U39" s="17">
        <v>0</v>
      </c>
      <c r="V39" s="17">
        <v>0</v>
      </c>
      <c r="W39" s="17">
        <v>0</v>
      </c>
      <c r="X39" s="17">
        <v>0</v>
      </c>
      <c r="Y39" s="17">
        <f>(1 - CUSTOS!$M$30)*190.357</f>
        <v>190.357</v>
      </c>
      <c r="Z39" s="17">
        <v>0</v>
      </c>
      <c r="AA39" s="17">
        <v>0</v>
      </c>
      <c r="AB39" s="17"/>
      <c r="AC39" s="17">
        <f>(1 - CUSTOS!$M$30)*575.1627</f>
        <v>575.16269999999997</v>
      </c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P39" s="17">
        <f>IF((1 - CUSTOS!$M$30)&lt;&gt;0,1/(1 - CUSTOS!$M$30),1)</f>
        <v>1</v>
      </c>
    </row>
    <row r="40" spans="1:42" ht="11.25" customHeight="1" x14ac:dyDescent="0.25">
      <c r="A40" s="94"/>
      <c r="B40" s="94"/>
      <c r="C40" s="94"/>
      <c r="D40" s="94"/>
      <c r="E40" s="94"/>
      <c r="F40" s="94"/>
      <c r="G40" s="27" t="s">
        <v>74</v>
      </c>
      <c r="H40" s="27" t="s">
        <v>72</v>
      </c>
      <c r="I40" s="27">
        <f>'MERCADO TUSD'!$U$37</f>
        <v>0</v>
      </c>
      <c r="J40" s="15"/>
      <c r="L40" s="17"/>
      <c r="M40" s="17"/>
      <c r="N40" s="17"/>
      <c r="O40" s="17"/>
      <c r="P40" s="17"/>
      <c r="Q40" s="17"/>
      <c r="R40" s="17"/>
      <c r="S40" s="17"/>
      <c r="T40" s="17"/>
      <c r="U40" s="17">
        <v>0</v>
      </c>
      <c r="V40" s="17">
        <v>0</v>
      </c>
      <c r="W40" s="17">
        <v>0</v>
      </c>
      <c r="X40" s="17">
        <v>0</v>
      </c>
      <c r="Y40" s="17">
        <f>(1 - CUSTOS!$M$30)*63.4169</f>
        <v>63.416899999999998</v>
      </c>
      <c r="Z40" s="17">
        <v>0</v>
      </c>
      <c r="AA40" s="17">
        <v>0</v>
      </c>
      <c r="AB40" s="17"/>
      <c r="AC40" s="17">
        <f>(1 - CUSTOS!$M$30)*191.7209</f>
        <v>191.7209</v>
      </c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P40" s="17">
        <f>IF((1 - CUSTOS!$M$30)&lt;&gt;0,1/(1 - CUSTOS!$M$30),1)</f>
        <v>1</v>
      </c>
    </row>
    <row r="41" spans="1:42" ht="11.25" customHeight="1" x14ac:dyDescent="0.25">
      <c r="A41" s="94"/>
      <c r="B41" s="26" t="s">
        <v>23</v>
      </c>
      <c r="C41" s="26" t="s">
        <v>41</v>
      </c>
      <c r="D41" s="26" t="s">
        <v>89</v>
      </c>
      <c r="E41" s="26" t="s">
        <v>25</v>
      </c>
      <c r="F41" s="26" t="s">
        <v>25</v>
      </c>
      <c r="G41" s="27" t="s">
        <v>78</v>
      </c>
      <c r="H41" s="27" t="s">
        <v>72</v>
      </c>
      <c r="I41" s="27">
        <f>'MERCADO TUSD'!$U$38</f>
        <v>0</v>
      </c>
      <c r="J41" s="15"/>
      <c r="L41" s="17"/>
      <c r="M41" s="17"/>
      <c r="N41" s="17"/>
      <c r="O41" s="17"/>
      <c r="P41" s="17"/>
      <c r="Q41" s="17"/>
      <c r="R41" s="17"/>
      <c r="S41" s="17"/>
      <c r="T41" s="17"/>
      <c r="U41" s="17">
        <v>0</v>
      </c>
      <c r="V41" s="17">
        <v>0</v>
      </c>
      <c r="W41" s="17">
        <v>0</v>
      </c>
      <c r="X41" s="17">
        <v>0</v>
      </c>
      <c r="Y41" s="17">
        <f>(1 - CUSTOS!$M$30)*107.5538</f>
        <v>107.5538</v>
      </c>
      <c r="Z41" s="17">
        <v>0</v>
      </c>
      <c r="AA41" s="17">
        <v>0</v>
      </c>
      <c r="AB41" s="17"/>
      <c r="AC41" s="17">
        <f>(1 - CUSTOS!$M$30)*324.9508</f>
        <v>324.95080000000002</v>
      </c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P41" s="17">
        <f>IF((1 - CUSTOS!$M$30)&lt;&gt;0,1/(1 - CUSTOS!$M$30),1)</f>
        <v>1</v>
      </c>
    </row>
    <row r="42" spans="1:42" ht="11.25" customHeight="1" x14ac:dyDescent="0.25">
      <c r="A42" s="94"/>
      <c r="B42" s="94" t="s">
        <v>87</v>
      </c>
      <c r="C42" s="94" t="s">
        <v>41</v>
      </c>
      <c r="D42" s="26" t="s">
        <v>25</v>
      </c>
      <c r="E42" s="26" t="s">
        <v>25</v>
      </c>
      <c r="F42" s="26" t="s">
        <v>25</v>
      </c>
      <c r="G42" s="27" t="s">
        <v>78</v>
      </c>
      <c r="H42" s="27" t="s">
        <v>72</v>
      </c>
      <c r="I42" s="27">
        <f>'MERCADO TUSD'!$U$39</f>
        <v>0</v>
      </c>
      <c r="J42" s="15"/>
      <c r="L42" s="17"/>
      <c r="M42" s="17"/>
      <c r="N42" s="17"/>
      <c r="O42" s="17"/>
      <c r="P42" s="17"/>
      <c r="Q42" s="17"/>
      <c r="R42" s="17"/>
      <c r="S42" s="17"/>
      <c r="T42" s="17"/>
      <c r="U42" s="17">
        <v>0</v>
      </c>
      <c r="V42" s="17">
        <v>0</v>
      </c>
      <c r="W42" s="17">
        <v>0</v>
      </c>
      <c r="X42" s="17">
        <v>0</v>
      </c>
      <c r="Y42" s="17">
        <f>(1 - CUSTOS!$M$28)*107.5538</f>
        <v>107.5538</v>
      </c>
      <c r="Z42" s="17">
        <v>0</v>
      </c>
      <c r="AA42" s="17">
        <v>0</v>
      </c>
      <c r="AB42" s="17"/>
      <c r="AC42" s="17">
        <f>(1 - CUSTOS!$M$28)*324.9508</f>
        <v>324.95080000000002</v>
      </c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P42" s="17">
        <f>IF((1 - CUSTOS!$M$28)&lt;&gt;0,1/(1 - CUSTOS!$M$28),1)</f>
        <v>1</v>
      </c>
    </row>
    <row r="43" spans="1:42" ht="11.25" customHeight="1" x14ac:dyDescent="0.25">
      <c r="A43" s="94"/>
      <c r="B43" s="94"/>
      <c r="C43" s="94"/>
      <c r="D43" s="26" t="s">
        <v>88</v>
      </c>
      <c r="E43" s="26" t="s">
        <v>25</v>
      </c>
      <c r="F43" s="26" t="s">
        <v>25</v>
      </c>
      <c r="G43" s="27" t="s">
        <v>78</v>
      </c>
      <c r="H43" s="27" t="s">
        <v>72</v>
      </c>
      <c r="I43" s="27">
        <f>'MERCADO TUSD'!$U$40</f>
        <v>0</v>
      </c>
      <c r="J43" s="15"/>
      <c r="L43" s="17"/>
      <c r="M43" s="17"/>
      <c r="N43" s="17"/>
      <c r="O43" s="17"/>
      <c r="P43" s="17"/>
      <c r="Q43" s="17"/>
      <c r="R43" s="17"/>
      <c r="S43" s="17"/>
      <c r="T43" s="17"/>
      <c r="U43" s="17">
        <v>0</v>
      </c>
      <c r="V43" s="17">
        <v>0</v>
      </c>
      <c r="W43" s="17">
        <v>0</v>
      </c>
      <c r="X43" s="17">
        <v>0</v>
      </c>
      <c r="Y43" s="17">
        <f>(1 - CUSTOS!$M$29)*107.5538</f>
        <v>107.5538</v>
      </c>
      <c r="Z43" s="17">
        <v>0</v>
      </c>
      <c r="AA43" s="17">
        <v>0</v>
      </c>
      <c r="AB43" s="17"/>
      <c r="AC43" s="17">
        <f>(1 - CUSTOS!$M$29)*324.9508</f>
        <v>324.95080000000002</v>
      </c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P43" s="17">
        <f>IF((1 - CUSTOS!$M$29)&lt;&gt;0,1/(1 - CUSTOS!$M$29),1)</f>
        <v>1</v>
      </c>
    </row>
    <row r="44" spans="1:42" ht="11.25" customHeight="1" x14ac:dyDescent="0.25">
      <c r="A44" s="94"/>
      <c r="B44" s="94"/>
      <c r="C44" s="94"/>
      <c r="D44" s="26" t="s">
        <v>89</v>
      </c>
      <c r="E44" s="26" t="s">
        <v>25</v>
      </c>
      <c r="F44" s="26" t="s">
        <v>25</v>
      </c>
      <c r="G44" s="27" t="s">
        <v>78</v>
      </c>
      <c r="H44" s="27" t="s">
        <v>72</v>
      </c>
      <c r="I44" s="27">
        <f>'MERCADO TUSD'!$U$41</f>
        <v>0</v>
      </c>
      <c r="J44" s="15"/>
      <c r="L44" s="17"/>
      <c r="M44" s="17"/>
      <c r="N44" s="17"/>
      <c r="O44" s="17"/>
      <c r="P44" s="17"/>
      <c r="Q44" s="17"/>
      <c r="R44" s="17"/>
      <c r="S44" s="17"/>
      <c r="T44" s="17"/>
      <c r="U44" s="17">
        <v>0</v>
      </c>
      <c r="V44" s="17">
        <v>0</v>
      </c>
      <c r="W44" s="17">
        <v>0</v>
      </c>
      <c r="X44" s="17">
        <v>0</v>
      </c>
      <c r="Y44" s="17">
        <f>(1 - CUSTOS!$M$30)*107.5538</f>
        <v>107.5538</v>
      </c>
      <c r="Z44" s="17">
        <v>0</v>
      </c>
      <c r="AA44" s="17">
        <v>0</v>
      </c>
      <c r="AB44" s="17"/>
      <c r="AC44" s="17">
        <f>(1 - CUSTOS!$M$30)*324.9508</f>
        <v>324.95080000000002</v>
      </c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P44" s="17">
        <f>IF((1 - CUSTOS!$M$30)&lt;&gt;0,1/(1 - CUSTOS!$M$30),1)</f>
        <v>1</v>
      </c>
    </row>
    <row r="45" spans="1:42" ht="11.25" customHeight="1" x14ac:dyDescent="0.25">
      <c r="A45" s="94" t="s">
        <v>33</v>
      </c>
      <c r="B45" s="94" t="s">
        <v>85</v>
      </c>
      <c r="C45" s="94" t="s">
        <v>25</v>
      </c>
      <c r="D45" s="94" t="s">
        <v>25</v>
      </c>
      <c r="E45" s="94" t="s">
        <v>25</v>
      </c>
      <c r="F45" s="94" t="s">
        <v>25</v>
      </c>
      <c r="G45" s="27" t="s">
        <v>73</v>
      </c>
      <c r="H45" s="27" t="s">
        <v>72</v>
      </c>
      <c r="I45" s="27">
        <f>'MERCADO TUSD'!$U$42</f>
        <v>0</v>
      </c>
      <c r="J45" s="15"/>
      <c r="L45" s="17"/>
      <c r="M45" s="17"/>
      <c r="N45" s="17"/>
      <c r="O45" s="17"/>
      <c r="P45" s="17"/>
      <c r="Q45" s="17"/>
      <c r="R45" s="17"/>
      <c r="S45" s="17"/>
      <c r="T45" s="17"/>
      <c r="U45" s="17">
        <v>0</v>
      </c>
      <c r="V45" s="17">
        <v>0</v>
      </c>
      <c r="W45" s="17">
        <v>0</v>
      </c>
      <c r="X45" s="17">
        <v>0</v>
      </c>
      <c r="Y45" s="17">
        <f>(1 - CUSTOS!$M$31)*371.1537</f>
        <v>371.15370000000001</v>
      </c>
      <c r="Z45" s="17">
        <v>0</v>
      </c>
      <c r="AA45" s="17">
        <v>0</v>
      </c>
      <c r="AB45" s="17"/>
      <c r="AC45" s="17">
        <f>(1 - CUSTOS!$M$31)*1121.0799</f>
        <v>1121.0799</v>
      </c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P45" s="17">
        <f>IF((1 - CUSTOS!$M$31)&lt;&gt;0,1/(1 - CUSTOS!$M$31),1)</f>
        <v>1</v>
      </c>
    </row>
    <row r="46" spans="1:42" ht="11.25" customHeight="1" x14ac:dyDescent="0.25">
      <c r="A46" s="94"/>
      <c r="B46" s="94"/>
      <c r="C46" s="94"/>
      <c r="D46" s="94"/>
      <c r="E46" s="94"/>
      <c r="F46" s="94"/>
      <c r="G46" s="27" t="s">
        <v>83</v>
      </c>
      <c r="H46" s="27" t="s">
        <v>72</v>
      </c>
      <c r="I46" s="27">
        <f>'MERCADO TUSD'!$U$43</f>
        <v>0</v>
      </c>
      <c r="J46" s="15"/>
      <c r="L46" s="17"/>
      <c r="M46" s="17"/>
      <c r="N46" s="17"/>
      <c r="O46" s="17"/>
      <c r="P46" s="17"/>
      <c r="Q46" s="17"/>
      <c r="R46" s="17"/>
      <c r="S46" s="17"/>
      <c r="T46" s="17"/>
      <c r="U46" s="17">
        <v>0</v>
      </c>
      <c r="V46" s="17">
        <v>0</v>
      </c>
      <c r="W46" s="17">
        <v>0</v>
      </c>
      <c r="X46" s="17">
        <v>0</v>
      </c>
      <c r="Y46" s="17">
        <f>(1 - CUSTOS!$M$31)*222.6497</f>
        <v>222.6497</v>
      </c>
      <c r="Z46" s="17">
        <v>0</v>
      </c>
      <c r="AA46" s="17">
        <v>0</v>
      </c>
      <c r="AB46" s="17"/>
      <c r="AC46" s="17">
        <f>(1 - CUSTOS!$M$31)*672.6479</f>
        <v>672.64790000000005</v>
      </c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P46" s="17">
        <f>IF((1 - CUSTOS!$M$31)&lt;&gt;0,1/(1 - CUSTOS!$M$31),1)</f>
        <v>1</v>
      </c>
    </row>
    <row r="47" spans="1:42" ht="11.25" customHeight="1" x14ac:dyDescent="0.25">
      <c r="A47" s="94"/>
      <c r="B47" s="94"/>
      <c r="C47" s="94"/>
      <c r="D47" s="94"/>
      <c r="E47" s="94"/>
      <c r="F47" s="94"/>
      <c r="G47" s="27" t="s">
        <v>74</v>
      </c>
      <c r="H47" s="27" t="s">
        <v>72</v>
      </c>
      <c r="I47" s="27">
        <f>'MERCADO TUSD'!$U$44</f>
        <v>0</v>
      </c>
      <c r="J47" s="15"/>
      <c r="L47" s="17"/>
      <c r="M47" s="17"/>
      <c r="N47" s="17"/>
      <c r="O47" s="17"/>
      <c r="P47" s="17"/>
      <c r="Q47" s="17"/>
      <c r="R47" s="17"/>
      <c r="S47" s="17"/>
      <c r="T47" s="17"/>
      <c r="U47" s="17">
        <v>0</v>
      </c>
      <c r="V47" s="17">
        <v>0</v>
      </c>
      <c r="W47" s="17">
        <v>0</v>
      </c>
      <c r="X47" s="17">
        <v>0</v>
      </c>
      <c r="Y47" s="17">
        <f>(1 - CUSTOS!$M$31)*74.1989</f>
        <v>74.198899999999995</v>
      </c>
      <c r="Z47" s="17">
        <v>0</v>
      </c>
      <c r="AA47" s="17">
        <v>0</v>
      </c>
      <c r="AB47" s="17"/>
      <c r="AC47" s="17">
        <f>(1 - CUSTOS!$M$31)*224.2162</f>
        <v>224.21619999999999</v>
      </c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P47" s="17">
        <f>IF((1 - CUSTOS!$M$31)&lt;&gt;0,1/(1 - CUSTOS!$M$31),1)</f>
        <v>1</v>
      </c>
    </row>
    <row r="48" spans="1:42" ht="11.25" customHeight="1" x14ac:dyDescent="0.25">
      <c r="A48" s="94"/>
      <c r="B48" s="26" t="s">
        <v>23</v>
      </c>
      <c r="C48" s="26" t="s">
        <v>25</v>
      </c>
      <c r="D48" s="26" t="s">
        <v>25</v>
      </c>
      <c r="E48" s="26" t="s">
        <v>25</v>
      </c>
      <c r="F48" s="26" t="s">
        <v>25</v>
      </c>
      <c r="G48" s="27" t="s">
        <v>78</v>
      </c>
      <c r="H48" s="27" t="s">
        <v>72</v>
      </c>
      <c r="I48" s="27">
        <f>'MERCADO TUSD'!$U$45</f>
        <v>6621.2499999999991</v>
      </c>
      <c r="J48" s="15"/>
      <c r="L48" s="17"/>
      <c r="M48" s="17"/>
      <c r="N48" s="17"/>
      <c r="O48" s="17"/>
      <c r="P48" s="17"/>
      <c r="Q48" s="17"/>
      <c r="R48" s="17"/>
      <c r="S48" s="17"/>
      <c r="T48" s="17"/>
      <c r="U48" s="17">
        <v>0</v>
      </c>
      <c r="V48" s="17">
        <v>0</v>
      </c>
      <c r="W48" s="17">
        <v>0</v>
      </c>
      <c r="X48" s="17">
        <v>0</v>
      </c>
      <c r="Y48" s="17">
        <f>(1 - CUSTOS!$M$31)*107.5538</f>
        <v>107.5538</v>
      </c>
      <c r="Z48" s="17">
        <v>0</v>
      </c>
      <c r="AA48" s="17">
        <v>0</v>
      </c>
      <c r="AB48" s="17"/>
      <c r="AC48" s="17">
        <f>(1 - CUSTOS!$M$31)*324.9508</f>
        <v>324.95080000000002</v>
      </c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P48" s="17">
        <f>IF((1 - CUSTOS!$M$31)&lt;&gt;0,1/(1 - CUSTOS!$M$31),1)</f>
        <v>1</v>
      </c>
    </row>
    <row r="49" spans="1:42" ht="11.25" customHeight="1" x14ac:dyDescent="0.25">
      <c r="A49" s="94"/>
      <c r="B49" s="26" t="s">
        <v>87</v>
      </c>
      <c r="C49" s="26" t="s">
        <v>25</v>
      </c>
      <c r="D49" s="26" t="s">
        <v>25</v>
      </c>
      <c r="E49" s="26" t="s">
        <v>25</v>
      </c>
      <c r="F49" s="26" t="s">
        <v>25</v>
      </c>
      <c r="G49" s="27" t="s">
        <v>78</v>
      </c>
      <c r="H49" s="27" t="s">
        <v>72</v>
      </c>
      <c r="I49" s="27">
        <f>'MERCADO TUSD'!$U$46</f>
        <v>0</v>
      </c>
      <c r="J49" s="15"/>
      <c r="L49" s="17"/>
      <c r="M49" s="17"/>
      <c r="N49" s="17"/>
      <c r="O49" s="17"/>
      <c r="P49" s="17"/>
      <c r="Q49" s="17"/>
      <c r="R49" s="17"/>
      <c r="S49" s="17"/>
      <c r="T49" s="17"/>
      <c r="U49" s="17">
        <v>0</v>
      </c>
      <c r="V49" s="17">
        <v>0</v>
      </c>
      <c r="W49" s="17">
        <v>0</v>
      </c>
      <c r="X49" s="17">
        <v>0</v>
      </c>
      <c r="Y49" s="17">
        <f>(1 - CUSTOS!$M$31)*107.5538</f>
        <v>107.5538</v>
      </c>
      <c r="Z49" s="17">
        <v>0</v>
      </c>
      <c r="AA49" s="17">
        <v>0</v>
      </c>
      <c r="AB49" s="17"/>
      <c r="AC49" s="17">
        <f>(1 - CUSTOS!$M$31)*324.9508</f>
        <v>324.95080000000002</v>
      </c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P49" s="17">
        <f>IF((1 - CUSTOS!$M$31)&lt;&gt;0,1/(1 - CUSTOS!$M$31),1)</f>
        <v>1</v>
      </c>
    </row>
    <row r="50" spans="1:42" ht="11.25" customHeight="1" x14ac:dyDescent="0.25">
      <c r="A50" s="94" t="s">
        <v>43</v>
      </c>
      <c r="B50" s="94" t="s">
        <v>23</v>
      </c>
      <c r="C50" s="94" t="s">
        <v>44</v>
      </c>
      <c r="D50" s="26" t="s">
        <v>45</v>
      </c>
      <c r="E50" s="26" t="s">
        <v>25</v>
      </c>
      <c r="F50" s="26" t="s">
        <v>25</v>
      </c>
      <c r="G50" s="27" t="s">
        <v>78</v>
      </c>
      <c r="H50" s="27" t="s">
        <v>72</v>
      </c>
      <c r="I50" s="27">
        <f>'MERCADO TUSD'!$U$47</f>
        <v>930.54300000000012</v>
      </c>
      <c r="J50" s="15"/>
      <c r="L50" s="17"/>
      <c r="M50" s="17"/>
      <c r="N50" s="17"/>
      <c r="O50" s="17"/>
      <c r="P50" s="17"/>
      <c r="Q50" s="17"/>
      <c r="R50" s="17"/>
      <c r="S50" s="17"/>
      <c r="T50" s="17"/>
      <c r="U50" s="17">
        <v>0</v>
      </c>
      <c r="V50" s="17">
        <v>0</v>
      </c>
      <c r="W50" s="17">
        <v>0</v>
      </c>
      <c r="X50" s="17">
        <v>0</v>
      </c>
      <c r="Y50" s="17">
        <f>(1 - CUSTOS!$M$32)*107.5538</f>
        <v>59.154589999999999</v>
      </c>
      <c r="Z50" s="17">
        <v>0</v>
      </c>
      <c r="AA50" s="17">
        <v>0</v>
      </c>
      <c r="AB50" s="17"/>
      <c r="AC50" s="17">
        <f>(1 - CUSTOS!$M$32)*324.9508</f>
        <v>178.72294000000002</v>
      </c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P50" s="17">
        <f>IF((1 - CUSTOS!$M$32)&lt;&gt;0,1/(1 - CUSTOS!$M$32),1)</f>
        <v>1.8181818181818181</v>
      </c>
    </row>
    <row r="51" spans="1:42" ht="11.25" customHeight="1" x14ac:dyDescent="0.25">
      <c r="A51" s="94"/>
      <c r="B51" s="94"/>
      <c r="C51" s="94"/>
      <c r="D51" s="27" t="s">
        <v>90</v>
      </c>
      <c r="E51" s="27" t="s">
        <v>25</v>
      </c>
      <c r="F51" s="27" t="s">
        <v>25</v>
      </c>
      <c r="G51" s="27" t="s">
        <v>78</v>
      </c>
      <c r="H51" s="27" t="s">
        <v>72</v>
      </c>
      <c r="I51" s="27">
        <f>'MERCADO TUSD'!$U$48</f>
        <v>0</v>
      </c>
      <c r="J51" s="15"/>
      <c r="L51" s="17"/>
      <c r="M51" s="17"/>
      <c r="N51" s="17"/>
      <c r="O51" s="17"/>
      <c r="P51" s="17"/>
      <c r="Q51" s="17"/>
      <c r="R51" s="17"/>
      <c r="S51" s="17"/>
      <c r="T51" s="17"/>
      <c r="U51" s="17">
        <v>0</v>
      </c>
      <c r="V51" s="17">
        <v>0</v>
      </c>
      <c r="W51" s="17">
        <v>0</v>
      </c>
      <c r="X51" s="17">
        <v>0</v>
      </c>
      <c r="Y51" s="17">
        <f>(1 - CUSTOS!$M$33)*107.5538</f>
        <v>64.53228</v>
      </c>
      <c r="Z51" s="17">
        <v>0</v>
      </c>
      <c r="AA51" s="17">
        <v>0</v>
      </c>
      <c r="AB51" s="17"/>
      <c r="AC51" s="17">
        <f>(1 - CUSTOS!$M$33)*324.9508</f>
        <v>194.97048000000001</v>
      </c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P51" s="17">
        <f>IF((1 - CUSTOS!$M$33)&lt;&gt;0,1/(1 - CUSTOS!$M$33),1)</f>
        <v>1.6666666666666667</v>
      </c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9693-376F-4A85-A007-A25E2B3B5D2F}">
  <sheetPr codeName="Planilha8"/>
  <dimension ref="A1:AP70"/>
  <sheetViews>
    <sheetView showGridLines="0" topLeftCell="C34" workbookViewId="0">
      <selection activeCell="K62" sqref="K62:P62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8" width="10" style="9" bestFit="1" customWidth="1"/>
    <col min="19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.855468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1.4257812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95" t="s">
        <v>62</v>
      </c>
      <c r="B1" s="95" t="s">
        <v>63</v>
      </c>
      <c r="C1" s="95" t="s">
        <v>64</v>
      </c>
      <c r="D1" s="95" t="s">
        <v>65</v>
      </c>
      <c r="E1" s="95" t="s">
        <v>66</v>
      </c>
      <c r="F1" s="95" t="s">
        <v>15</v>
      </c>
      <c r="G1" s="95" t="s">
        <v>68</v>
      </c>
      <c r="H1" s="95" t="s">
        <v>69</v>
      </c>
      <c r="I1" s="95" t="s">
        <v>487</v>
      </c>
      <c r="J1" s="90"/>
      <c r="L1" s="96" t="s">
        <v>488</v>
      </c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P1" s="96" t="s">
        <v>489</v>
      </c>
    </row>
    <row r="2" spans="1:42" ht="11.25" customHeight="1" x14ac:dyDescent="0.25">
      <c r="A2" s="95"/>
      <c r="B2" s="95"/>
      <c r="C2" s="95"/>
      <c r="D2" s="95"/>
      <c r="E2" s="95"/>
      <c r="F2" s="95"/>
      <c r="G2" s="95"/>
      <c r="H2" s="95"/>
      <c r="I2" s="95"/>
      <c r="J2" s="90"/>
      <c r="L2" s="96" t="s">
        <v>386</v>
      </c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P2" s="97"/>
    </row>
    <row r="3" spans="1:42" ht="11.25" customHeight="1" x14ac:dyDescent="0.25">
      <c r="A3" s="95"/>
      <c r="B3" s="95"/>
      <c r="C3" s="95"/>
      <c r="D3" s="95"/>
      <c r="E3" s="95"/>
      <c r="F3" s="95"/>
      <c r="G3" s="95"/>
      <c r="H3" s="95"/>
      <c r="I3" s="95"/>
      <c r="J3" s="90"/>
      <c r="L3" s="96" t="s">
        <v>387</v>
      </c>
      <c r="M3" s="96"/>
      <c r="N3" s="96"/>
      <c r="O3" s="96"/>
      <c r="P3" s="96"/>
      <c r="Q3" s="96"/>
      <c r="R3" s="96"/>
      <c r="S3" s="96"/>
      <c r="T3" s="96"/>
      <c r="U3" s="96" t="s">
        <v>396</v>
      </c>
      <c r="V3" s="96"/>
      <c r="W3" s="96"/>
      <c r="X3" s="96"/>
      <c r="Y3" s="96"/>
      <c r="Z3" s="96"/>
      <c r="AA3" s="96"/>
      <c r="AB3" s="96"/>
      <c r="AC3" s="96" t="s">
        <v>404</v>
      </c>
      <c r="AD3" s="96"/>
      <c r="AE3" s="96" t="s">
        <v>406</v>
      </c>
      <c r="AF3" s="96"/>
      <c r="AG3" s="96"/>
      <c r="AH3" s="96" t="s">
        <v>409</v>
      </c>
      <c r="AI3" s="96"/>
      <c r="AJ3" s="96"/>
      <c r="AK3" s="96"/>
      <c r="AL3" s="96"/>
      <c r="AM3" s="96" t="s">
        <v>395</v>
      </c>
      <c r="AP3" s="97"/>
    </row>
    <row r="4" spans="1:42" ht="11.25" customHeight="1" x14ac:dyDescent="0.25">
      <c r="A4" s="95"/>
      <c r="B4" s="95"/>
      <c r="C4" s="95"/>
      <c r="D4" s="95"/>
      <c r="E4" s="95"/>
      <c r="F4" s="95"/>
      <c r="G4" s="95"/>
      <c r="H4" s="95"/>
      <c r="I4" s="95"/>
      <c r="J4" s="90"/>
      <c r="L4" s="25" t="s">
        <v>472</v>
      </c>
      <c r="M4" s="25" t="s">
        <v>388</v>
      </c>
      <c r="N4" s="25" t="s">
        <v>389</v>
      </c>
      <c r="O4" s="25" t="s">
        <v>390</v>
      </c>
      <c r="P4" s="25" t="s">
        <v>391</v>
      </c>
      <c r="Q4" s="25" t="s">
        <v>392</v>
      </c>
      <c r="R4" s="25" t="s">
        <v>393</v>
      </c>
      <c r="S4" s="25" t="s">
        <v>394</v>
      </c>
      <c r="T4" s="25" t="s">
        <v>395</v>
      </c>
      <c r="U4" s="25" t="s">
        <v>397</v>
      </c>
      <c r="V4" s="25" t="s">
        <v>398</v>
      </c>
      <c r="W4" s="25" t="s">
        <v>399</v>
      </c>
      <c r="X4" s="25" t="s">
        <v>400</v>
      </c>
      <c r="Y4" s="25" t="s">
        <v>401</v>
      </c>
      <c r="Z4" s="25" t="s">
        <v>402</v>
      </c>
      <c r="AA4" s="25" t="s">
        <v>403</v>
      </c>
      <c r="AB4" s="25" t="s">
        <v>395</v>
      </c>
      <c r="AC4" s="25" t="s">
        <v>405</v>
      </c>
      <c r="AD4" s="25" t="s">
        <v>395</v>
      </c>
      <c r="AE4" s="25" t="s">
        <v>407</v>
      </c>
      <c r="AF4" s="25" t="s">
        <v>408</v>
      </c>
      <c r="AG4" s="25" t="s">
        <v>395</v>
      </c>
      <c r="AH4" s="25" t="s">
        <v>410</v>
      </c>
      <c r="AI4" s="25" t="s">
        <v>411</v>
      </c>
      <c r="AJ4" s="25" t="s">
        <v>412</v>
      </c>
      <c r="AK4" s="25" t="s">
        <v>413</v>
      </c>
      <c r="AL4" s="25" t="s">
        <v>395</v>
      </c>
      <c r="AM4" s="98"/>
      <c r="AP4" s="97"/>
    </row>
    <row r="5" spans="1:42" ht="11.25" customHeight="1" x14ac:dyDescent="0.25">
      <c r="A5" s="94" t="s">
        <v>35</v>
      </c>
      <c r="B5" s="94" t="s">
        <v>48</v>
      </c>
      <c r="C5" s="94" t="s">
        <v>25</v>
      </c>
      <c r="D5" s="94" t="s">
        <v>25</v>
      </c>
      <c r="E5" s="94" t="s">
        <v>25</v>
      </c>
      <c r="F5" s="94" t="s">
        <v>25</v>
      </c>
      <c r="G5" s="27" t="s">
        <v>76</v>
      </c>
      <c r="H5" s="27" t="s">
        <v>75</v>
      </c>
      <c r="I5" s="27">
        <f>'MERCADO TUSD'!$U$2</f>
        <v>5811</v>
      </c>
      <c r="J5" s="15"/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/>
      <c r="U5" s="17">
        <f>TRANSICAO!$U$5*CUSTOS!$R$3</f>
        <v>0</v>
      </c>
      <c r="V5" s="17">
        <f>TRANSICAO!$V$5*CUSTOS!$R$3</f>
        <v>0</v>
      </c>
      <c r="W5" s="17">
        <f>TRANSICAO!$W$5*CUSTOS!$R$3</f>
        <v>0</v>
      </c>
      <c r="X5" s="17">
        <f>TRANSICAO!$X$5*CUSTOS!$R$3</f>
        <v>0</v>
      </c>
      <c r="Y5" s="17">
        <f>TRANSICAO!$Y$5*CUSTOS!$R$3</f>
        <v>32.983199999999997</v>
      </c>
      <c r="Z5" s="17">
        <f>TRANSICAO!$Z$5*CUSTOS!$R$3</f>
        <v>0</v>
      </c>
      <c r="AA5" s="17">
        <f>TRANSICAO!$AA$5*CUSTOS!$R$3</f>
        <v>0</v>
      </c>
      <c r="AB5" s="17">
        <f>TRANSICAO!$AB$5*CUSTOS!$R$3</f>
        <v>0</v>
      </c>
      <c r="AC5" s="17">
        <f>TRANSICAO!$AC$5*CUSTOS!$R$3</f>
        <v>78.079300000000003</v>
      </c>
      <c r="AD5" s="17">
        <f>TRANSICAO!$AD$5*CUSTOS!$R$3</f>
        <v>0</v>
      </c>
      <c r="AE5" s="17">
        <v>0</v>
      </c>
      <c r="AF5" s="17">
        <v>0</v>
      </c>
      <c r="AG5" s="17"/>
      <c r="AH5" s="17">
        <v>0</v>
      </c>
      <c r="AI5" s="17">
        <v>0</v>
      </c>
      <c r="AJ5" s="17">
        <v>0</v>
      </c>
      <c r="AK5" s="17">
        <f t="shared" ref="AK5:AK51" si="0">AJ5</f>
        <v>0</v>
      </c>
      <c r="AL5" s="17"/>
      <c r="AM5" s="17"/>
      <c r="AP5" s="17">
        <v>1</v>
      </c>
    </row>
    <row r="6" spans="1:42" ht="11.25" customHeight="1" x14ac:dyDescent="0.25">
      <c r="A6" s="94"/>
      <c r="B6" s="94"/>
      <c r="C6" s="94"/>
      <c r="D6" s="94"/>
      <c r="E6" s="94"/>
      <c r="F6" s="94"/>
      <c r="G6" s="27" t="s">
        <v>77</v>
      </c>
      <c r="H6" s="27" t="s">
        <v>75</v>
      </c>
      <c r="I6" s="27">
        <f>'MERCADO TUSD'!$U$3</f>
        <v>5810</v>
      </c>
      <c r="J6" s="15"/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/>
      <c r="U6" s="17">
        <f>TRANSICAO!$U$6*CUSTOS!$R$3</f>
        <v>0</v>
      </c>
      <c r="V6" s="17">
        <f>TRANSICAO!$V$6*CUSTOS!$R$3</f>
        <v>0</v>
      </c>
      <c r="W6" s="17">
        <f>TRANSICAO!$W$6*CUSTOS!$R$3</f>
        <v>0</v>
      </c>
      <c r="X6" s="17">
        <f>TRANSICAO!$X$6*CUSTOS!$R$3</f>
        <v>0</v>
      </c>
      <c r="Y6" s="17">
        <f>TRANSICAO!$Y$6*CUSTOS!$R$3</f>
        <v>13.3314</v>
      </c>
      <c r="Z6" s="17">
        <f>TRANSICAO!$Z$6*CUSTOS!$R$3</f>
        <v>0</v>
      </c>
      <c r="AA6" s="17">
        <f>TRANSICAO!$AA$6*CUSTOS!$R$3</f>
        <v>0</v>
      </c>
      <c r="AB6" s="17">
        <f>TRANSICAO!$AB$6*CUSTOS!$R$3</f>
        <v>0</v>
      </c>
      <c r="AC6" s="17">
        <f>TRANSICAO!$AC$6*CUSTOS!$R$3</f>
        <v>21.818000000000001</v>
      </c>
      <c r="AD6" s="17">
        <f>TRANSICAO!$AD$6*CUSTOS!$R$3</f>
        <v>0</v>
      </c>
      <c r="AE6" s="17">
        <v>0</v>
      </c>
      <c r="AF6" s="17">
        <v>0</v>
      </c>
      <c r="AG6" s="17"/>
      <c r="AH6" s="17">
        <v>0</v>
      </c>
      <c r="AI6" s="17">
        <v>0</v>
      </c>
      <c r="AJ6" s="17">
        <v>0</v>
      </c>
      <c r="AK6" s="17">
        <f t="shared" si="0"/>
        <v>0</v>
      </c>
      <c r="AL6" s="17"/>
      <c r="AM6" s="17"/>
      <c r="AP6" s="17">
        <v>1</v>
      </c>
    </row>
    <row r="7" spans="1:42" ht="11.25" customHeight="1" x14ac:dyDescent="0.25">
      <c r="A7" s="94"/>
      <c r="B7" s="94"/>
      <c r="C7" s="94"/>
      <c r="D7" s="94"/>
      <c r="E7" s="94"/>
      <c r="F7" s="94"/>
      <c r="G7" s="27" t="s">
        <v>78</v>
      </c>
      <c r="H7" s="27" t="s">
        <v>72</v>
      </c>
      <c r="I7" s="27">
        <f>'MERCADO TUSD'!$U$4</f>
        <v>2834.2459999999996</v>
      </c>
      <c r="J7" s="15"/>
      <c r="L7" s="17">
        <f>0.84</f>
        <v>0.84</v>
      </c>
      <c r="M7" s="17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0.76219201563556538</v>
      </c>
      <c r="N7" s="17">
        <f ca="1">(+M7+O7+R7+U7+V7+W7+X7+Y7+Z7+AA7+AC7+AH7+AI7+AJ7+AK7)*CUSTOS!$M$5</f>
        <v>1.6588192015635567E-13</v>
      </c>
      <c r="O7" s="17">
        <v>1</v>
      </c>
      <c r="P7" s="17">
        <v>1</v>
      </c>
      <c r="Q7" s="17">
        <f>0.84</f>
        <v>0.84</v>
      </c>
      <c r="R7" s="17">
        <v>1</v>
      </c>
      <c r="S7" s="17">
        <v>1</v>
      </c>
      <c r="T7" s="17"/>
      <c r="U7" s="17">
        <f>TRANSICAO!$U$7*CUSTOS!$R$3</f>
        <v>0</v>
      </c>
      <c r="V7" s="17">
        <f>TRANSICAO!$V$7*CUSTOS!$R$3</f>
        <v>0</v>
      </c>
      <c r="W7" s="17">
        <f>TRANSICAO!$W$7*CUSTOS!$R$3</f>
        <v>0</v>
      </c>
      <c r="X7" s="17">
        <f>TRANSICAO!$X$7*CUSTOS!$R$3</f>
        <v>0</v>
      </c>
      <c r="Y7" s="17">
        <f>TRANSICAO!$Y$7*CUSTOS!$R$3</f>
        <v>0</v>
      </c>
      <c r="Z7" s="17">
        <f>TRANSICAO!$Z$7*CUSTOS!$R$3</f>
        <v>0</v>
      </c>
      <c r="AA7" s="17">
        <f>TRANSICAO!$AA$7*CUSTOS!$R$3</f>
        <v>0</v>
      </c>
      <c r="AB7" s="17">
        <f>TRANSICAO!$AB$7*CUSTOS!$R$3</f>
        <v>0</v>
      </c>
      <c r="AC7" s="17">
        <f>TRANSICAO!$AC$7*CUSTOS!$R$3</f>
        <v>0</v>
      </c>
      <c r="AD7" s="17">
        <f>TRANSICAO!$AD$7*CUSTOS!$R$3</f>
        <v>0</v>
      </c>
      <c r="AE7" s="17">
        <v>0</v>
      </c>
      <c r="AF7" s="17">
        <v>0</v>
      </c>
      <c r="AG7" s="17"/>
      <c r="AH7" s="17">
        <v>6.9130000000000003</v>
      </c>
      <c r="AI7" s="17">
        <v>6.9130000000000003</v>
      </c>
      <c r="AJ7" s="17">
        <f ca="1">$N$63</f>
        <v>0</v>
      </c>
      <c r="AK7" s="17">
        <f t="shared" ca="1" si="0"/>
        <v>0</v>
      </c>
      <c r="AL7" s="17"/>
      <c r="AM7" s="17"/>
      <c r="AP7" s="17">
        <v>1</v>
      </c>
    </row>
    <row r="8" spans="1:42" ht="11.25" customHeight="1" x14ac:dyDescent="0.25">
      <c r="A8" s="94"/>
      <c r="B8" s="94"/>
      <c r="C8" s="94"/>
      <c r="D8" s="94"/>
      <c r="E8" s="26" t="s">
        <v>79</v>
      </c>
      <c r="F8" s="26" t="s">
        <v>25</v>
      </c>
      <c r="G8" s="27" t="s">
        <v>78</v>
      </c>
      <c r="H8" s="27" t="s">
        <v>72</v>
      </c>
      <c r="I8" s="27">
        <f>'MERCADO TUSD'!$U$5</f>
        <v>0</v>
      </c>
      <c r="J8" s="15"/>
      <c r="L8" s="17">
        <v>0</v>
      </c>
      <c r="M8" s="17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0.76219201563556538</v>
      </c>
      <c r="N8" s="17">
        <f ca="1">(+M8+O8+R8+U8+V8+W8+X8+Y8+Z8+AA8+AC8+AH8+AI8+AJ8+AK8)*CUSTOS!$M$5</f>
        <v>1.5588192015635566E-13</v>
      </c>
      <c r="O8" s="17">
        <v>1</v>
      </c>
      <c r="P8" s="17">
        <v>0</v>
      </c>
      <c r="Q8" s="17">
        <v>0</v>
      </c>
      <c r="R8" s="17">
        <v>0</v>
      </c>
      <c r="S8" s="17">
        <v>0</v>
      </c>
      <c r="T8" s="17"/>
      <c r="U8" s="17">
        <f>TRANSICAO!$U$8*CUSTOS!$R$3</f>
        <v>0</v>
      </c>
      <c r="V8" s="17">
        <f>TRANSICAO!$V$8*CUSTOS!$R$3</f>
        <v>0</v>
      </c>
      <c r="W8" s="17">
        <f>TRANSICAO!$W$8*CUSTOS!$R$3</f>
        <v>0</v>
      </c>
      <c r="X8" s="17">
        <f>TRANSICAO!$X$8*CUSTOS!$R$3</f>
        <v>0</v>
      </c>
      <c r="Y8" s="17">
        <f>TRANSICAO!$Y$8*CUSTOS!$R$3</f>
        <v>0</v>
      </c>
      <c r="Z8" s="17">
        <f>TRANSICAO!$Z$8*CUSTOS!$R$3</f>
        <v>0</v>
      </c>
      <c r="AA8" s="17">
        <f>TRANSICAO!$AA$8*CUSTOS!$R$3</f>
        <v>0</v>
      </c>
      <c r="AB8" s="17">
        <f>TRANSICAO!$AB$8*CUSTOS!$R$3</f>
        <v>0</v>
      </c>
      <c r="AC8" s="17">
        <f>TRANSICAO!$AC$8*CUSTOS!$R$3</f>
        <v>0</v>
      </c>
      <c r="AD8" s="17">
        <f>TRANSICAO!$AD$8*CUSTOS!$R$3</f>
        <v>0</v>
      </c>
      <c r="AE8" s="17">
        <v>0</v>
      </c>
      <c r="AF8" s="17">
        <v>0</v>
      </c>
      <c r="AG8" s="17"/>
      <c r="AH8" s="17">
        <v>6.9130000000000003</v>
      </c>
      <c r="AI8" s="17">
        <v>6.9130000000000003</v>
      </c>
      <c r="AJ8" s="17">
        <f ca="1">$N$63</f>
        <v>0</v>
      </c>
      <c r="AK8" s="17">
        <f t="shared" ca="1" si="0"/>
        <v>0</v>
      </c>
      <c r="AL8" s="17"/>
      <c r="AM8" s="17"/>
      <c r="AP8" s="17">
        <v>1</v>
      </c>
    </row>
    <row r="9" spans="1:42" ht="11.25" customHeight="1" x14ac:dyDescent="0.25">
      <c r="A9" s="94"/>
      <c r="B9" s="26" t="s">
        <v>53</v>
      </c>
      <c r="C9" s="26" t="s">
        <v>25</v>
      </c>
      <c r="D9" s="26" t="s">
        <v>25</v>
      </c>
      <c r="E9" s="26" t="s">
        <v>25</v>
      </c>
      <c r="F9" s="26" t="s">
        <v>25</v>
      </c>
      <c r="G9" s="27" t="s">
        <v>9</v>
      </c>
      <c r="H9" s="27" t="s">
        <v>75</v>
      </c>
      <c r="I9" s="27">
        <f>'MERCADO TUSD'!$U$6</f>
        <v>10908</v>
      </c>
      <c r="J9" s="15"/>
      <c r="L9" s="17">
        <v>0</v>
      </c>
      <c r="M9" s="17">
        <v>1.03E-2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/>
      <c r="U9" s="17">
        <f>TRANSICAO!$U$9*CUSTOS!$R$4</f>
        <v>0</v>
      </c>
      <c r="V9" s="17">
        <f>TRANSICAO!$V$9*CUSTOS!$R$4</f>
        <v>0</v>
      </c>
      <c r="W9" s="17">
        <f>TRANSICAO!$W$9*CUSTOS!$R$4</f>
        <v>0</v>
      </c>
      <c r="X9" s="17">
        <f>TRANSICAO!$X$9*CUSTOS!$R$4</f>
        <v>0</v>
      </c>
      <c r="Y9" s="17">
        <f>TRANSICAO!$Y$9*CUSTOS!$R$4</f>
        <v>0</v>
      </c>
      <c r="Z9" s="17">
        <f>TRANSICAO!$Z$9*CUSTOS!$R$4</f>
        <v>0</v>
      </c>
      <c r="AA9" s="17">
        <f>TRANSICAO!$AA$9*CUSTOS!$R$4</f>
        <v>0</v>
      </c>
      <c r="AB9" s="17">
        <f>TRANSICAO!$AB$9*CUSTOS!$R$4</f>
        <v>0</v>
      </c>
      <c r="AC9" s="17">
        <f>TRANSICAO!$AC$9*CUSTOS!$R$4</f>
        <v>5.9222999999999999</v>
      </c>
      <c r="AD9" s="17">
        <f>TRANSICAO!$AD$9*CUSTOS!$R$4</f>
        <v>0</v>
      </c>
      <c r="AE9" s="17">
        <v>0</v>
      </c>
      <c r="AF9" s="17">
        <v>0</v>
      </c>
      <c r="AG9" s="17"/>
      <c r="AH9" s="17">
        <v>0</v>
      </c>
      <c r="AI9" s="17">
        <v>0</v>
      </c>
      <c r="AJ9" s="17">
        <v>0</v>
      </c>
      <c r="AK9" s="17">
        <f t="shared" si="0"/>
        <v>0</v>
      </c>
      <c r="AL9" s="17"/>
      <c r="AM9" s="17"/>
      <c r="AP9" s="17"/>
    </row>
    <row r="10" spans="1:42" ht="11.25" customHeight="1" x14ac:dyDescent="0.25">
      <c r="A10" s="94"/>
      <c r="B10" s="94" t="s">
        <v>36</v>
      </c>
      <c r="C10" s="94" t="s">
        <v>25</v>
      </c>
      <c r="D10" s="94" t="s">
        <v>25</v>
      </c>
      <c r="E10" s="94" t="s">
        <v>25</v>
      </c>
      <c r="F10" s="94" t="s">
        <v>25</v>
      </c>
      <c r="G10" s="27" t="s">
        <v>9</v>
      </c>
      <c r="H10" s="27" t="s">
        <v>75</v>
      </c>
      <c r="I10" s="27">
        <f>'MERCADO TUSD'!$U$7</f>
        <v>139673</v>
      </c>
      <c r="J10" s="15"/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/>
      <c r="U10" s="17">
        <f>TRANSICAO!$U$10*CUSTOS!$R$3</f>
        <v>0</v>
      </c>
      <c r="V10" s="17">
        <f>TRANSICAO!$V$10*CUSTOS!$R$3</f>
        <v>0</v>
      </c>
      <c r="W10" s="17">
        <f>TRANSICAO!$W$10*CUSTOS!$R$3</f>
        <v>0</v>
      </c>
      <c r="X10" s="17">
        <f>TRANSICAO!$X$10*CUSTOS!$R$3</f>
        <v>0</v>
      </c>
      <c r="Y10" s="17">
        <f>TRANSICAO!$Y$10*CUSTOS!$R$3</f>
        <v>13.3314</v>
      </c>
      <c r="Z10" s="17">
        <f>TRANSICAO!$Z$10*CUSTOS!$R$3</f>
        <v>0</v>
      </c>
      <c r="AA10" s="17">
        <f>TRANSICAO!$AA$10*CUSTOS!$R$3</f>
        <v>0</v>
      </c>
      <c r="AB10" s="17">
        <f>TRANSICAO!$AB$10*CUSTOS!$R$3</f>
        <v>0</v>
      </c>
      <c r="AC10" s="17">
        <f>TRANSICAO!$AC$10*CUSTOS!$R$3</f>
        <v>21.818000000000001</v>
      </c>
      <c r="AD10" s="17">
        <f>TRANSICAO!$AD$10*CUSTOS!$R$3</f>
        <v>0</v>
      </c>
      <c r="AE10" s="17">
        <v>0</v>
      </c>
      <c r="AF10" s="17">
        <v>0</v>
      </c>
      <c r="AG10" s="17"/>
      <c r="AH10" s="17">
        <v>0</v>
      </c>
      <c r="AI10" s="17">
        <v>0</v>
      </c>
      <c r="AJ10" s="17">
        <v>0</v>
      </c>
      <c r="AK10" s="17">
        <f t="shared" si="0"/>
        <v>0</v>
      </c>
      <c r="AL10" s="17"/>
      <c r="AM10" s="17"/>
      <c r="AP10" s="17">
        <v>1</v>
      </c>
    </row>
    <row r="11" spans="1:42" ht="11.25" customHeight="1" x14ac:dyDescent="0.25">
      <c r="A11" s="94"/>
      <c r="B11" s="94"/>
      <c r="C11" s="94"/>
      <c r="D11" s="94"/>
      <c r="E11" s="94"/>
      <c r="F11" s="94"/>
      <c r="G11" s="27" t="s">
        <v>73</v>
      </c>
      <c r="H11" s="27" t="s">
        <v>72</v>
      </c>
      <c r="I11" s="27">
        <f>'MERCADO TUSD'!$U$8</f>
        <v>1014.939</v>
      </c>
      <c r="J11" s="15"/>
      <c r="L11" s="17">
        <f>0.84</f>
        <v>0.84</v>
      </c>
      <c r="M11" s="17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0.76219201563556538</v>
      </c>
      <c r="N11" s="17">
        <f ca="1">(+M11+O11+R11+U11+V11+W11+X11+Y11+Z11+AA11+AC11+AH11+AI11+AJ11+AK11)*CUSTOS!$M$5</f>
        <v>2.6879583920156357E-11</v>
      </c>
      <c r="O11" s="17">
        <v>1</v>
      </c>
      <c r="P11" s="17">
        <v>1</v>
      </c>
      <c r="Q11" s="17">
        <f>0.84</f>
        <v>0.84</v>
      </c>
      <c r="R11" s="17">
        <v>1</v>
      </c>
      <c r="S11" s="17">
        <v>1</v>
      </c>
      <c r="T11" s="17"/>
      <c r="U11" s="17">
        <f>TRANSICAO!$U$11*CUSTOS!$R$3</f>
        <v>0</v>
      </c>
      <c r="V11" s="17">
        <f>TRANSICAO!$V$11*CUSTOS!$R$3</f>
        <v>0</v>
      </c>
      <c r="W11" s="17">
        <f>TRANSICAO!$W$11*CUSTOS!$R$3</f>
        <v>0</v>
      </c>
      <c r="X11" s="17">
        <f>TRANSICAO!$X$11*CUSTOS!$R$3</f>
        <v>0</v>
      </c>
      <c r="Y11" s="17">
        <f>TRANSICAO!$Y$11*CUSTOS!$R$3</f>
        <v>793.56150000000002</v>
      </c>
      <c r="Z11" s="17">
        <f>TRANSICAO!$Z$11*CUSTOS!$R$3</f>
        <v>0</v>
      </c>
      <c r="AA11" s="17">
        <f>TRANSICAO!$AA$11*CUSTOS!$R$3</f>
        <v>0</v>
      </c>
      <c r="AB11" s="17">
        <f>TRANSICAO!$AB$11*CUSTOS!$R$3</f>
        <v>0</v>
      </c>
      <c r="AC11" s="17">
        <f>TRANSICAO!$AC$11*CUSTOS!$R$3</f>
        <v>1877.8087</v>
      </c>
      <c r="AD11" s="17">
        <f>TRANSICAO!$AD$11*CUSTOS!$R$3</f>
        <v>0</v>
      </c>
      <c r="AE11" s="17">
        <v>0</v>
      </c>
      <c r="AF11" s="17">
        <v>0</v>
      </c>
      <c r="AG11" s="17"/>
      <c r="AH11" s="17">
        <v>6.9130000000000003</v>
      </c>
      <c r="AI11" s="17">
        <v>6.9130000000000003</v>
      </c>
      <c r="AJ11" s="17">
        <f ca="1">$N$63</f>
        <v>0</v>
      </c>
      <c r="AK11" s="17">
        <f t="shared" ca="1" si="0"/>
        <v>0</v>
      </c>
      <c r="AL11" s="17"/>
      <c r="AM11" s="17"/>
      <c r="AP11" s="17">
        <v>1</v>
      </c>
    </row>
    <row r="12" spans="1:42" ht="11.25" customHeight="1" x14ac:dyDescent="0.25">
      <c r="A12" s="94"/>
      <c r="B12" s="94"/>
      <c r="C12" s="94"/>
      <c r="D12" s="94"/>
      <c r="E12" s="94"/>
      <c r="F12" s="94"/>
      <c r="G12" s="27" t="s">
        <v>74</v>
      </c>
      <c r="H12" s="27" t="s">
        <v>72</v>
      </c>
      <c r="I12" s="27">
        <f>'MERCADO TUSD'!$U$9</f>
        <v>28226.924000000003</v>
      </c>
      <c r="J12" s="15"/>
      <c r="L12" s="17">
        <f>0.84</f>
        <v>0.84</v>
      </c>
      <c r="M12" s="17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0.76219201563556538</v>
      </c>
      <c r="N12" s="17">
        <f ca="1">(+M12+O12+R12+U12+V12+W12+X12+Y12+Z12+AA12+AC12+AH12+AI12+AJ12+AK12)*CUSTOS!$M$5</f>
        <v>1.6588192015635567E-13</v>
      </c>
      <c r="O12" s="17">
        <v>1</v>
      </c>
      <c r="P12" s="17">
        <v>1</v>
      </c>
      <c r="Q12" s="17">
        <f>0.84</f>
        <v>0.84</v>
      </c>
      <c r="R12" s="17">
        <v>1</v>
      </c>
      <c r="S12" s="17">
        <v>1</v>
      </c>
      <c r="T12" s="17"/>
      <c r="U12" s="17">
        <f>TRANSICAO!$U$12*CUSTOS!$R$3</f>
        <v>0</v>
      </c>
      <c r="V12" s="17">
        <f>TRANSICAO!$V$12*CUSTOS!$R$3</f>
        <v>0</v>
      </c>
      <c r="W12" s="17">
        <f>TRANSICAO!$W$12*CUSTOS!$R$3</f>
        <v>0</v>
      </c>
      <c r="X12" s="17">
        <f>TRANSICAO!$X$12*CUSTOS!$R$3</f>
        <v>0</v>
      </c>
      <c r="Y12" s="17">
        <f>TRANSICAO!$Y$12*CUSTOS!$R$3</f>
        <v>0</v>
      </c>
      <c r="Z12" s="17">
        <f>TRANSICAO!$Z$12*CUSTOS!$R$3</f>
        <v>0</v>
      </c>
      <c r="AA12" s="17">
        <f>TRANSICAO!$AA$12*CUSTOS!$R$3</f>
        <v>0</v>
      </c>
      <c r="AB12" s="17">
        <f>TRANSICAO!$AB$12*CUSTOS!$R$3</f>
        <v>0</v>
      </c>
      <c r="AC12" s="17">
        <f>TRANSICAO!$AC$12*CUSTOS!$R$3</f>
        <v>0</v>
      </c>
      <c r="AD12" s="17">
        <f>TRANSICAO!$AD$12*CUSTOS!$R$3</f>
        <v>0</v>
      </c>
      <c r="AE12" s="17">
        <v>0</v>
      </c>
      <c r="AF12" s="17">
        <v>0</v>
      </c>
      <c r="AG12" s="17"/>
      <c r="AH12" s="17">
        <v>6.9130000000000003</v>
      </c>
      <c r="AI12" s="17">
        <v>6.9130000000000003</v>
      </c>
      <c r="AJ12" s="17">
        <f ca="1">$N$63</f>
        <v>0</v>
      </c>
      <c r="AK12" s="17">
        <f t="shared" ca="1" si="0"/>
        <v>0</v>
      </c>
      <c r="AL12" s="17"/>
      <c r="AM12" s="17"/>
      <c r="AP12" s="17">
        <v>1</v>
      </c>
    </row>
    <row r="13" spans="1:42" ht="11.25" customHeight="1" x14ac:dyDescent="0.25">
      <c r="A13" s="94"/>
      <c r="B13" s="94"/>
      <c r="C13" s="94"/>
      <c r="D13" s="94"/>
      <c r="E13" s="94" t="s">
        <v>79</v>
      </c>
      <c r="F13" s="94" t="s">
        <v>25</v>
      </c>
      <c r="G13" s="27" t="s">
        <v>73</v>
      </c>
      <c r="H13" s="27" t="s">
        <v>72</v>
      </c>
      <c r="I13" s="27">
        <f>'MERCADO TUSD'!$U$10</f>
        <v>0</v>
      </c>
      <c r="J13" s="15"/>
      <c r="L13" s="17">
        <v>0</v>
      </c>
      <c r="M13" s="17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0.76219201563556538</v>
      </c>
      <c r="N13" s="17">
        <f ca="1">(+M13+O13+R13+U13+V13+W13+X13+Y13+Z13+AA13+AC13+AH13+AI13+AJ13+AK13)*CUSTOS!$M$5</f>
        <v>2.6869583920156355E-11</v>
      </c>
      <c r="O13" s="17">
        <v>1</v>
      </c>
      <c r="P13" s="17">
        <v>0</v>
      </c>
      <c r="Q13" s="17">
        <v>0</v>
      </c>
      <c r="R13" s="17">
        <v>0</v>
      </c>
      <c r="S13" s="17">
        <v>0</v>
      </c>
      <c r="T13" s="17"/>
      <c r="U13" s="17">
        <f>TRANSICAO!$U$13*CUSTOS!$R$3</f>
        <v>0</v>
      </c>
      <c r="V13" s="17">
        <f>TRANSICAO!$V$13*CUSTOS!$R$3</f>
        <v>0</v>
      </c>
      <c r="W13" s="17">
        <f>TRANSICAO!$W$13*CUSTOS!$R$3</f>
        <v>0</v>
      </c>
      <c r="X13" s="17">
        <f>TRANSICAO!$X$13*CUSTOS!$R$3</f>
        <v>0</v>
      </c>
      <c r="Y13" s="17">
        <f>TRANSICAO!$Y$13*CUSTOS!$R$3</f>
        <v>793.56150000000002</v>
      </c>
      <c r="Z13" s="17">
        <f>TRANSICAO!$Z$13*CUSTOS!$R$3</f>
        <v>0</v>
      </c>
      <c r="AA13" s="17">
        <f>TRANSICAO!$AA$13*CUSTOS!$R$3</f>
        <v>0</v>
      </c>
      <c r="AB13" s="17">
        <f>TRANSICAO!$AB$13*CUSTOS!$R$3</f>
        <v>0</v>
      </c>
      <c r="AC13" s="17">
        <f>TRANSICAO!$AC$13*CUSTOS!$R$3</f>
        <v>1877.8087</v>
      </c>
      <c r="AD13" s="17">
        <f>TRANSICAO!$AD$13*CUSTOS!$R$3</f>
        <v>0</v>
      </c>
      <c r="AE13" s="17">
        <v>0</v>
      </c>
      <c r="AF13" s="17">
        <v>0</v>
      </c>
      <c r="AG13" s="17"/>
      <c r="AH13" s="17">
        <v>6.9130000000000003</v>
      </c>
      <c r="AI13" s="17">
        <v>6.9130000000000003</v>
      </c>
      <c r="AJ13" s="17">
        <f ca="1">$N$63</f>
        <v>0</v>
      </c>
      <c r="AK13" s="17">
        <f t="shared" ca="1" si="0"/>
        <v>0</v>
      </c>
      <c r="AL13" s="17"/>
      <c r="AM13" s="17"/>
      <c r="AP13" s="17">
        <v>1</v>
      </c>
    </row>
    <row r="14" spans="1:42" ht="11.25" customHeight="1" x14ac:dyDescent="0.25">
      <c r="A14" s="94"/>
      <c r="B14" s="94"/>
      <c r="C14" s="94"/>
      <c r="D14" s="94"/>
      <c r="E14" s="94"/>
      <c r="F14" s="94"/>
      <c r="G14" s="27" t="s">
        <v>74</v>
      </c>
      <c r="H14" s="27" t="s">
        <v>72</v>
      </c>
      <c r="I14" s="27">
        <f>'MERCADO TUSD'!$U$11</f>
        <v>0</v>
      </c>
      <c r="J14" s="15"/>
      <c r="L14" s="17">
        <v>0</v>
      </c>
      <c r="M14" s="17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0.76219201563556538</v>
      </c>
      <c r="N14" s="17">
        <f ca="1">(+M14+O14+R14+U14+V14+W14+X14+Y14+Z14+AA14+AC14+AH14+AI14+AJ14+AK14)*CUSTOS!$M$5</f>
        <v>1.5588192015635566E-13</v>
      </c>
      <c r="O14" s="17">
        <v>1</v>
      </c>
      <c r="P14" s="17">
        <v>0</v>
      </c>
      <c r="Q14" s="17">
        <v>0</v>
      </c>
      <c r="R14" s="17">
        <v>0</v>
      </c>
      <c r="S14" s="17">
        <v>0</v>
      </c>
      <c r="T14" s="17"/>
      <c r="U14" s="17">
        <f>TRANSICAO!$U$14*CUSTOS!$R$3</f>
        <v>0</v>
      </c>
      <c r="V14" s="17">
        <f>TRANSICAO!$V$14*CUSTOS!$R$3</f>
        <v>0</v>
      </c>
      <c r="W14" s="17">
        <f>TRANSICAO!$W$14*CUSTOS!$R$3</f>
        <v>0</v>
      </c>
      <c r="X14" s="17">
        <f>TRANSICAO!$X$14*CUSTOS!$R$3</f>
        <v>0</v>
      </c>
      <c r="Y14" s="17">
        <f>TRANSICAO!$Y$14*CUSTOS!$R$3</f>
        <v>0</v>
      </c>
      <c r="Z14" s="17">
        <f>TRANSICAO!$Z$14*CUSTOS!$R$3</f>
        <v>0</v>
      </c>
      <c r="AA14" s="17">
        <f>TRANSICAO!$AA$14*CUSTOS!$R$3</f>
        <v>0</v>
      </c>
      <c r="AB14" s="17">
        <f>TRANSICAO!$AB$14*CUSTOS!$R$3</f>
        <v>0</v>
      </c>
      <c r="AC14" s="17">
        <f>TRANSICAO!$AC$14*CUSTOS!$R$3</f>
        <v>0</v>
      </c>
      <c r="AD14" s="17">
        <f>TRANSICAO!$AD$14*CUSTOS!$R$3</f>
        <v>0</v>
      </c>
      <c r="AE14" s="17">
        <v>0</v>
      </c>
      <c r="AF14" s="17">
        <v>0</v>
      </c>
      <c r="AG14" s="17"/>
      <c r="AH14" s="17">
        <v>6.9130000000000003</v>
      </c>
      <c r="AI14" s="17">
        <v>6.9130000000000003</v>
      </c>
      <c r="AJ14" s="17">
        <f ca="1">$N$63</f>
        <v>0</v>
      </c>
      <c r="AK14" s="17">
        <f t="shared" ca="1" si="0"/>
        <v>0</v>
      </c>
      <c r="AL14" s="17"/>
      <c r="AM14" s="17"/>
      <c r="AP14" s="17">
        <v>1</v>
      </c>
    </row>
    <row r="15" spans="1:42" ht="11.25" customHeight="1" x14ac:dyDescent="0.25">
      <c r="A15" s="94" t="s">
        <v>80</v>
      </c>
      <c r="B15" s="94" t="s">
        <v>53</v>
      </c>
      <c r="C15" s="94" t="s">
        <v>25</v>
      </c>
      <c r="D15" s="94" t="s">
        <v>25</v>
      </c>
      <c r="E15" s="26" t="s">
        <v>81</v>
      </c>
      <c r="F15" s="26" t="s">
        <v>25</v>
      </c>
      <c r="G15" s="27" t="s">
        <v>9</v>
      </c>
      <c r="H15" s="27" t="s">
        <v>75</v>
      </c>
      <c r="I15" s="27">
        <f>'MERCADO TUSD'!$U$12+0.00000001</f>
        <v>1E-8</v>
      </c>
      <c r="J15" s="15"/>
      <c r="L15" s="17">
        <v>0</v>
      </c>
      <c r="M15" s="17">
        <v>1.06E-2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/>
      <c r="U15" s="17">
        <f>TRANSICAO!$U$15*CUSTOS!$T$4</f>
        <v>0</v>
      </c>
      <c r="V15" s="17">
        <f>TRANSICAO!$V$15*CUSTOS!$T$4</f>
        <v>0</v>
      </c>
      <c r="W15" s="17">
        <f>TRANSICAO!$W$15*CUSTOS!$T$4</f>
        <v>0</v>
      </c>
      <c r="X15" s="17">
        <f>TRANSICAO!$X$15*CUSTOS!$T$4</f>
        <v>0</v>
      </c>
      <c r="Y15" s="17">
        <f>TRANSICAO!$Y$15*CUSTOS!$T$4</f>
        <v>0</v>
      </c>
      <c r="Z15" s="17">
        <f>TRANSICAO!$Z$15*CUSTOS!$T$4</f>
        <v>0</v>
      </c>
      <c r="AA15" s="17">
        <f>TRANSICAO!$AA$15*CUSTOS!$T$4</f>
        <v>0</v>
      </c>
      <c r="AB15" s="17">
        <f>TRANSICAO!$AB$15*CUSTOS!$T$4</f>
        <v>0</v>
      </c>
      <c r="AC15" s="17">
        <f>TRANSICAO!$AC$15*CUSTOS!$T$4</f>
        <v>10.1813</v>
      </c>
      <c r="AD15" s="17">
        <f>TRANSICAO!$AD$15*CUSTOS!$T$4</f>
        <v>0</v>
      </c>
      <c r="AE15" s="17">
        <v>0</v>
      </c>
      <c r="AF15" s="17">
        <v>0</v>
      </c>
      <c r="AG15" s="17"/>
      <c r="AH15" s="17">
        <v>0</v>
      </c>
      <c r="AI15" s="17">
        <v>0</v>
      </c>
      <c r="AJ15" s="17">
        <v>0</v>
      </c>
      <c r="AK15" s="17">
        <f t="shared" si="0"/>
        <v>0</v>
      </c>
      <c r="AL15" s="17"/>
      <c r="AM15" s="17"/>
      <c r="AP15" s="17"/>
    </row>
    <row r="16" spans="1:42" ht="11.25" customHeight="1" x14ac:dyDescent="0.25">
      <c r="A16" s="94"/>
      <c r="B16" s="94"/>
      <c r="C16" s="94"/>
      <c r="D16" s="94"/>
      <c r="E16" s="26" t="s">
        <v>82</v>
      </c>
      <c r="F16" s="26" t="s">
        <v>25</v>
      </c>
      <c r="G16" s="27" t="s">
        <v>9</v>
      </c>
      <c r="H16" s="27" t="s">
        <v>75</v>
      </c>
      <c r="I16" s="27">
        <f>'MERCADO TUSD'!$U$13+0.00000001</f>
        <v>1E-8</v>
      </c>
      <c r="J16" s="15"/>
      <c r="L16" s="17">
        <v>0</v>
      </c>
      <c r="M16" s="17">
        <v>1.06E-2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/>
      <c r="U16" s="17">
        <f>TRANSICAO!$U$16*CUSTOS!$T$4</f>
        <v>0</v>
      </c>
      <c r="V16" s="17">
        <f>TRANSICAO!$V$16*CUSTOS!$T$4</f>
        <v>0</v>
      </c>
      <c r="W16" s="17">
        <f>TRANSICAO!$W$16*CUSTOS!$T$4</f>
        <v>0</v>
      </c>
      <c r="X16" s="17">
        <f>TRANSICAO!$X$16*CUSTOS!$T$4</f>
        <v>0</v>
      </c>
      <c r="Y16" s="17">
        <f>TRANSICAO!$Y$16*CUSTOS!$T$4</f>
        <v>0</v>
      </c>
      <c r="Z16" s="17">
        <f>TRANSICAO!$Z$16*CUSTOS!$T$4</f>
        <v>0</v>
      </c>
      <c r="AA16" s="17">
        <f>TRANSICAO!$AA$16*CUSTOS!$T$4</f>
        <v>0</v>
      </c>
      <c r="AB16" s="17">
        <f>TRANSICAO!$AB$16*CUSTOS!$T$4</f>
        <v>0</v>
      </c>
      <c r="AC16" s="17">
        <f>TRANSICAO!$AC$16*CUSTOS!$T$4</f>
        <v>20.714300000000001</v>
      </c>
      <c r="AD16" s="17">
        <f>TRANSICAO!$AD$16*CUSTOS!$T$4</f>
        <v>0</v>
      </c>
      <c r="AE16" s="17">
        <v>0</v>
      </c>
      <c r="AF16" s="17">
        <v>0</v>
      </c>
      <c r="AG16" s="17"/>
      <c r="AH16" s="17">
        <v>0</v>
      </c>
      <c r="AI16" s="17">
        <v>0</v>
      </c>
      <c r="AJ16" s="17">
        <v>0</v>
      </c>
      <c r="AK16" s="17">
        <f t="shared" si="0"/>
        <v>0</v>
      </c>
      <c r="AL16" s="17"/>
      <c r="AM16" s="17"/>
      <c r="AP16" s="17"/>
    </row>
    <row r="17" spans="1:42" ht="11.25" customHeight="1" x14ac:dyDescent="0.25">
      <c r="A17" s="94" t="s">
        <v>22</v>
      </c>
      <c r="B17" s="94" t="s">
        <v>85</v>
      </c>
      <c r="C17" s="94" t="s">
        <v>24</v>
      </c>
      <c r="D17" s="94" t="s">
        <v>24</v>
      </c>
      <c r="E17" s="94" t="s">
        <v>25</v>
      </c>
      <c r="F17" s="94" t="s">
        <v>25</v>
      </c>
      <c r="G17" s="27" t="s">
        <v>73</v>
      </c>
      <c r="H17" s="27" t="s">
        <v>72</v>
      </c>
      <c r="I17" s="27">
        <f>'MERCADO TUSD'!$U$14</f>
        <v>0</v>
      </c>
      <c r="J17" s="15"/>
      <c r="L17" s="17">
        <f>1</f>
        <v>1</v>
      </c>
      <c r="M17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1.43564103320897</v>
      </c>
      <c r="N17" s="17">
        <f ca="1">(+M17+O17+R17+U17+V17+W17+X17+Y17+Z17+AA17+AC17+AH17+AI17+AJ17+AK17)*CUSTOS!$M$5</f>
        <v>1.207140541033209E-11</v>
      </c>
      <c r="O17" s="17">
        <v>1</v>
      </c>
      <c r="P17" s="17">
        <v>1</v>
      </c>
      <c r="Q17" s="17">
        <f>1</f>
        <v>1</v>
      </c>
      <c r="R17" s="17">
        <v>1</v>
      </c>
      <c r="S17" s="17">
        <v>1</v>
      </c>
      <c r="T17" s="17"/>
      <c r="U17" s="17">
        <f>TRANSICAO!$U$17*CUSTOS!$T$3</f>
        <v>0</v>
      </c>
      <c r="V17" s="17">
        <f>TRANSICAO!$V$17*CUSTOS!$T$3</f>
        <v>0</v>
      </c>
      <c r="W17" s="17">
        <f>TRANSICAO!$W$17*CUSTOS!$T$3</f>
        <v>0</v>
      </c>
      <c r="X17" s="17">
        <f>TRANSICAO!$X$17*CUSTOS!$T$3</f>
        <v>0</v>
      </c>
      <c r="Y17" s="17">
        <f>TRANSICAO!$Y$17*CUSTOS!$T$3</f>
        <v>290.52809999999999</v>
      </c>
      <c r="Z17" s="17">
        <f>TRANSICAO!$Z$17*CUSTOS!$T$3</f>
        <v>0</v>
      </c>
      <c r="AA17" s="17">
        <f>TRANSICAO!$AA$17*CUSTOS!$T$3</f>
        <v>0</v>
      </c>
      <c r="AB17" s="17">
        <f>TRANSICAO!$AB$17*CUSTOS!$T$3</f>
        <v>0</v>
      </c>
      <c r="AC17" s="17">
        <f>TRANSICAO!$AC$17*CUSTOS!$T$3</f>
        <v>877.36699999999996</v>
      </c>
      <c r="AD17" s="17">
        <f>TRANSICAO!$AD$17*CUSTOS!$T$3</f>
        <v>0</v>
      </c>
      <c r="AE17" s="17">
        <v>0</v>
      </c>
      <c r="AF17" s="17">
        <v>0</v>
      </c>
      <c r="AG17" s="17"/>
      <c r="AH17" s="17">
        <v>17.904900000000001</v>
      </c>
      <c r="AI17" s="17">
        <v>17.904900000000001</v>
      </c>
      <c r="AJ17" s="17">
        <f ca="1">$N$64</f>
        <v>0</v>
      </c>
      <c r="AK17" s="17">
        <f t="shared" ca="1" si="0"/>
        <v>0</v>
      </c>
      <c r="AL17" s="17"/>
      <c r="AM17" s="17"/>
      <c r="AP17" s="17">
        <v>1</v>
      </c>
    </row>
    <row r="18" spans="1:42" ht="11.25" customHeight="1" x14ac:dyDescent="0.25">
      <c r="A18" s="94"/>
      <c r="B18" s="94"/>
      <c r="C18" s="94"/>
      <c r="D18" s="94"/>
      <c r="E18" s="94"/>
      <c r="F18" s="94"/>
      <c r="G18" s="27" t="s">
        <v>83</v>
      </c>
      <c r="H18" s="27" t="s">
        <v>72</v>
      </c>
      <c r="I18" s="27">
        <f>'MERCADO TUSD'!$U$15</f>
        <v>0</v>
      </c>
      <c r="J18" s="15"/>
      <c r="L18" s="17">
        <f>1</f>
        <v>1</v>
      </c>
      <c r="M18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1.43564103320897</v>
      </c>
      <c r="N18" s="17">
        <f ca="1">(+M18+O18+R18+U18+V18+W18+X18+Y18+Z18+AA18+AC18+AH18+AI18+AJ18+AK18)*CUSTOS!$M$5</f>
        <v>7.3998274103320906E-12</v>
      </c>
      <c r="O18" s="17">
        <v>1</v>
      </c>
      <c r="P18" s="17">
        <v>1</v>
      </c>
      <c r="Q18" s="17">
        <f>1</f>
        <v>1</v>
      </c>
      <c r="R18" s="17">
        <v>1</v>
      </c>
      <c r="S18" s="17">
        <v>1</v>
      </c>
      <c r="T18" s="17"/>
      <c r="U18" s="17">
        <f>TRANSICAO!$U$18*CUSTOS!$T$3</f>
        <v>0</v>
      </c>
      <c r="V18" s="17">
        <f>TRANSICAO!$V$18*CUSTOS!$T$3</f>
        <v>0</v>
      </c>
      <c r="W18" s="17">
        <f>TRANSICAO!$W$18*CUSTOS!$T$3</f>
        <v>0</v>
      </c>
      <c r="X18" s="17">
        <f>TRANSICAO!$X$18*CUSTOS!$T$3</f>
        <v>0</v>
      </c>
      <c r="Y18" s="17">
        <f>TRANSICAO!$Y$18*CUSTOS!$T$3</f>
        <v>174.3169</v>
      </c>
      <c r="Z18" s="17">
        <f>TRANSICAO!$Z$18*CUSTOS!$T$3</f>
        <v>0</v>
      </c>
      <c r="AA18" s="17">
        <f>TRANSICAO!$AA$18*CUSTOS!$T$3</f>
        <v>0</v>
      </c>
      <c r="AB18" s="17">
        <f>TRANSICAO!$AB$18*CUSTOS!$T$3</f>
        <v>0</v>
      </c>
      <c r="AC18" s="17">
        <f>TRANSICAO!$AC$18*CUSTOS!$T$3</f>
        <v>526.42039999999997</v>
      </c>
      <c r="AD18" s="17">
        <f>TRANSICAO!$AD$18*CUSTOS!$T$3</f>
        <v>0</v>
      </c>
      <c r="AE18" s="17">
        <v>0</v>
      </c>
      <c r="AF18" s="17">
        <v>0</v>
      </c>
      <c r="AG18" s="17"/>
      <c r="AH18" s="17">
        <v>17.904900000000001</v>
      </c>
      <c r="AI18" s="17">
        <v>17.904900000000001</v>
      </c>
      <c r="AJ18" s="17">
        <f ca="1">$N$64</f>
        <v>0</v>
      </c>
      <c r="AK18" s="17">
        <f t="shared" ca="1" si="0"/>
        <v>0</v>
      </c>
      <c r="AL18" s="17"/>
      <c r="AM18" s="17"/>
      <c r="AP18" s="17">
        <v>1</v>
      </c>
    </row>
    <row r="19" spans="1:42" ht="11.25" customHeight="1" x14ac:dyDescent="0.25">
      <c r="A19" s="94"/>
      <c r="B19" s="94"/>
      <c r="C19" s="94"/>
      <c r="D19" s="94"/>
      <c r="E19" s="94"/>
      <c r="F19" s="94"/>
      <c r="G19" s="27" t="s">
        <v>74</v>
      </c>
      <c r="H19" s="27" t="s">
        <v>72</v>
      </c>
      <c r="I19" s="27">
        <f>'MERCADO TUSD'!$U$16</f>
        <v>0</v>
      </c>
      <c r="J19" s="15"/>
      <c r="L19" s="17">
        <f>1</f>
        <v>1</v>
      </c>
      <c r="M19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1.43564103320897</v>
      </c>
      <c r="N19" s="17">
        <f ca="1">(+M19+O19+R19+U19+V19+W19+X19+Y19+Z19+AA19+AC19+AH19+AI19+AJ19+AK19)*CUSTOS!$M$5</f>
        <v>2.7287744103320897E-12</v>
      </c>
      <c r="O19" s="17">
        <v>1</v>
      </c>
      <c r="P19" s="17">
        <v>1</v>
      </c>
      <c r="Q19" s="17">
        <f>1</f>
        <v>1</v>
      </c>
      <c r="R19" s="17">
        <v>1</v>
      </c>
      <c r="S19" s="17">
        <v>1</v>
      </c>
      <c r="T19" s="17"/>
      <c r="U19" s="17">
        <f>TRANSICAO!$U$19*CUSTOS!$T$3</f>
        <v>0</v>
      </c>
      <c r="V19" s="17">
        <f>TRANSICAO!$V$19*CUSTOS!$T$3</f>
        <v>0</v>
      </c>
      <c r="W19" s="17">
        <f>TRANSICAO!$W$19*CUSTOS!$T$3</f>
        <v>0</v>
      </c>
      <c r="X19" s="17">
        <f>TRANSICAO!$X$19*CUSTOS!$T$3</f>
        <v>0</v>
      </c>
      <c r="Y19" s="17">
        <f>TRANSICAO!$Y$19*CUSTOS!$T$3</f>
        <v>58.158799999999999</v>
      </c>
      <c r="Z19" s="17">
        <f>TRANSICAO!$Z$19*CUSTOS!$T$3</f>
        <v>0</v>
      </c>
      <c r="AA19" s="17">
        <f>TRANSICAO!$AA$19*CUSTOS!$T$3</f>
        <v>0</v>
      </c>
      <c r="AB19" s="17">
        <f>TRANSICAO!$AB$19*CUSTOS!$T$3</f>
        <v>0</v>
      </c>
      <c r="AC19" s="17">
        <f>TRANSICAO!$AC$19*CUSTOS!$T$3</f>
        <v>175.47319999999999</v>
      </c>
      <c r="AD19" s="17">
        <f>TRANSICAO!$AD$19*CUSTOS!$T$3</f>
        <v>0</v>
      </c>
      <c r="AE19" s="17">
        <v>0</v>
      </c>
      <c r="AF19" s="17">
        <v>0</v>
      </c>
      <c r="AG19" s="17"/>
      <c r="AH19" s="17">
        <v>17.904900000000001</v>
      </c>
      <c r="AI19" s="17">
        <v>17.904900000000001</v>
      </c>
      <c r="AJ19" s="17">
        <f ca="1">$N$64</f>
        <v>0</v>
      </c>
      <c r="AK19" s="17">
        <f t="shared" ca="1" si="0"/>
        <v>0</v>
      </c>
      <c r="AL19" s="17"/>
      <c r="AM19" s="17"/>
      <c r="AP19" s="17">
        <v>1</v>
      </c>
    </row>
    <row r="20" spans="1:42" ht="11.25" customHeight="1" x14ac:dyDescent="0.25">
      <c r="A20" s="94"/>
      <c r="B20" s="94" t="s">
        <v>23</v>
      </c>
      <c r="C20" s="94" t="s">
        <v>24</v>
      </c>
      <c r="D20" s="26" t="s">
        <v>24</v>
      </c>
      <c r="E20" s="26" t="s">
        <v>25</v>
      </c>
      <c r="F20" s="26" t="s">
        <v>25</v>
      </c>
      <c r="G20" s="27" t="s">
        <v>78</v>
      </c>
      <c r="H20" s="27" t="s">
        <v>72</v>
      </c>
      <c r="I20" s="27">
        <f>'MERCADO TUSD'!$U$17</f>
        <v>11694.771999999999</v>
      </c>
      <c r="J20" s="15"/>
      <c r="L20" s="17">
        <f>1</f>
        <v>1</v>
      </c>
      <c r="M20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1.43564103320897</v>
      </c>
      <c r="N20" s="17">
        <f ca="1">(+M20+O20+R20+U20+V20+W20+X20+Y20+Z20+AA20+AC20+AH20+AI20+AJ20+AK20)*CUSTOS!$M$5</f>
        <v>4.71750041033209E-12</v>
      </c>
      <c r="O20" s="17">
        <v>1</v>
      </c>
      <c r="P20" s="17">
        <v>1</v>
      </c>
      <c r="Q20" s="17">
        <f>1</f>
        <v>1</v>
      </c>
      <c r="R20" s="17">
        <v>1</v>
      </c>
      <c r="S20" s="17">
        <v>1</v>
      </c>
      <c r="T20" s="17"/>
      <c r="U20" s="17">
        <f>TRANSICAO!$U$20*CUSTOS!$T$3</f>
        <v>0</v>
      </c>
      <c r="V20" s="17">
        <f>TRANSICAO!$V$20*CUSTOS!$T$3</f>
        <v>0</v>
      </c>
      <c r="W20" s="17">
        <f>TRANSICAO!$W$20*CUSTOS!$T$3</f>
        <v>0</v>
      </c>
      <c r="X20" s="17">
        <f>TRANSICAO!$X$20*CUSTOS!$T$3</f>
        <v>0</v>
      </c>
      <c r="Y20" s="17">
        <f>TRANSICAO!$Y$20*CUSTOS!$T$3</f>
        <v>107.5538</v>
      </c>
      <c r="Z20" s="17">
        <f>TRANSICAO!$Z$20*CUSTOS!$T$3</f>
        <v>0</v>
      </c>
      <c r="AA20" s="17">
        <f>TRANSICAO!$AA$20*CUSTOS!$T$3</f>
        <v>0</v>
      </c>
      <c r="AB20" s="17">
        <f>TRANSICAO!$AB$20*CUSTOS!$T$3</f>
        <v>0</v>
      </c>
      <c r="AC20" s="17">
        <f>TRANSICAO!$AC$20*CUSTOS!$T$3</f>
        <v>324.95080000000002</v>
      </c>
      <c r="AD20" s="17">
        <f>TRANSICAO!$AD$20*CUSTOS!$T$3</f>
        <v>0</v>
      </c>
      <c r="AE20" s="17">
        <v>0</v>
      </c>
      <c r="AF20" s="17">
        <v>0</v>
      </c>
      <c r="AG20" s="17"/>
      <c r="AH20" s="17">
        <v>17.904900000000001</v>
      </c>
      <c r="AI20" s="17">
        <v>17.904900000000001</v>
      </c>
      <c r="AJ20" s="17">
        <f ca="1">$N$64</f>
        <v>0</v>
      </c>
      <c r="AK20" s="17">
        <f t="shared" ca="1" si="0"/>
        <v>0</v>
      </c>
      <c r="AL20" s="17"/>
      <c r="AM20" s="17"/>
      <c r="AP20" s="17">
        <v>1</v>
      </c>
    </row>
    <row r="21" spans="1:42" ht="11.25" customHeight="1" x14ac:dyDescent="0.25">
      <c r="A21" s="94"/>
      <c r="B21" s="94"/>
      <c r="C21" s="94"/>
      <c r="D21" s="26" t="s">
        <v>29</v>
      </c>
      <c r="E21" s="26" t="s">
        <v>25</v>
      </c>
      <c r="F21" s="26" t="s">
        <v>25</v>
      </c>
      <c r="G21" s="27" t="s">
        <v>78</v>
      </c>
      <c r="H21" s="27" t="s">
        <v>72</v>
      </c>
      <c r="I21" s="27">
        <f>'MERCADO TUSD'!$U$18</f>
        <v>30.416</v>
      </c>
      <c r="J21" s="15"/>
      <c r="L21" s="17">
        <v>0</v>
      </c>
      <c r="M21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1.43564103320897</v>
      </c>
      <c r="N21" s="17">
        <f ca="1">(+M21+O21+R21+U21+V21+W21+X21+Y21+Z21+AA21+AC21+AH21+AI21+AJ21+AK21)*CUSTOS!$M$5</f>
        <v>4.7075004103320898E-12</v>
      </c>
      <c r="O21" s="17">
        <f>1 - CUSTOS!$M$24</f>
        <v>1</v>
      </c>
      <c r="P21" s="17">
        <v>0</v>
      </c>
      <c r="Q21" s="17">
        <v>0</v>
      </c>
      <c r="R21" s="17">
        <v>0</v>
      </c>
      <c r="S21" s="17">
        <f>1 - CUSTOS!$M$24</f>
        <v>1</v>
      </c>
      <c r="T21" s="17"/>
      <c r="U21" s="17">
        <f>TRANSICAO!$U$21*CUSTOS!$T$3</f>
        <v>0</v>
      </c>
      <c r="V21" s="17">
        <f>TRANSICAO!$V$21*CUSTOS!$T$3</f>
        <v>0</v>
      </c>
      <c r="W21" s="17">
        <f>TRANSICAO!$W$21*CUSTOS!$T$3</f>
        <v>0</v>
      </c>
      <c r="X21" s="17">
        <f>TRANSICAO!$X$21*CUSTOS!$T$3</f>
        <v>0</v>
      </c>
      <c r="Y21" s="17">
        <f>TRANSICAO!$Y$21*CUSTOS!$T$3</f>
        <v>107.5538</v>
      </c>
      <c r="Z21" s="17">
        <f>TRANSICAO!$Z$21*CUSTOS!$T$3</f>
        <v>0</v>
      </c>
      <c r="AA21" s="17">
        <f>TRANSICAO!$AA$21*CUSTOS!$T$3</f>
        <v>0</v>
      </c>
      <c r="AB21" s="17">
        <f>TRANSICAO!$AB$21*CUSTOS!$T$3</f>
        <v>0</v>
      </c>
      <c r="AC21" s="17">
        <f>TRANSICAO!$AC$21*CUSTOS!$T$3</f>
        <v>324.95080000000002</v>
      </c>
      <c r="AD21" s="17">
        <f>TRANSICAO!$AD$21*CUSTOS!$T$3</f>
        <v>0</v>
      </c>
      <c r="AE21" s="17">
        <v>0</v>
      </c>
      <c r="AF21" s="17">
        <v>0</v>
      </c>
      <c r="AG21" s="17"/>
      <c r="AH21" s="17">
        <f>(1 - CUSTOS!$M$24)*17.9049</f>
        <v>17.904900000000001</v>
      </c>
      <c r="AI21" s="17">
        <f>(1 - CUSTOS!$M$24)*17.9049</f>
        <v>17.904900000000001</v>
      </c>
      <c r="AJ21" s="17">
        <f ca="1">$N$64*(1-CUSTOS!$M$24)</f>
        <v>0</v>
      </c>
      <c r="AK21" s="17">
        <f t="shared" ca="1" si="0"/>
        <v>0</v>
      </c>
      <c r="AL21" s="17"/>
      <c r="AM21" s="17"/>
      <c r="AP21" s="17">
        <f>IF((1 - CUSTOS!$M$24)&lt;&gt;0,1/(1 - CUSTOS!$M$24),1)</f>
        <v>1</v>
      </c>
    </row>
    <row r="22" spans="1:42" ht="11.25" customHeight="1" x14ac:dyDescent="0.25">
      <c r="A22" s="94"/>
      <c r="B22" s="94"/>
      <c r="C22" s="94"/>
      <c r="D22" s="26" t="s">
        <v>30</v>
      </c>
      <c r="E22" s="26" t="s">
        <v>25</v>
      </c>
      <c r="F22" s="26" t="s">
        <v>25</v>
      </c>
      <c r="G22" s="27" t="s">
        <v>78</v>
      </c>
      <c r="H22" s="27" t="s">
        <v>72</v>
      </c>
      <c r="I22" s="27">
        <f>'MERCADO TUSD'!$U$19</f>
        <v>60.935000000000002</v>
      </c>
      <c r="J22" s="15"/>
      <c r="L22" s="17">
        <v>0</v>
      </c>
      <c r="M22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1.43564103320897</v>
      </c>
      <c r="N22" s="17">
        <f ca="1">(+M22+O22+R22+U22+V22+W22+X22+Y22+Z22+AA22+AC22+AH22+AI22+AJ22+AK22)*CUSTOS!$M$5</f>
        <v>4.7075004103320898E-12</v>
      </c>
      <c r="O22" s="17">
        <f>1 - CUSTOS!$M$25</f>
        <v>1</v>
      </c>
      <c r="P22" s="17">
        <v>0</v>
      </c>
      <c r="Q22" s="17">
        <v>0</v>
      </c>
      <c r="R22" s="17">
        <v>0</v>
      </c>
      <c r="S22" s="17">
        <f>1 - CUSTOS!$M$25</f>
        <v>1</v>
      </c>
      <c r="T22" s="17"/>
      <c r="U22" s="17">
        <f>TRANSICAO!$U$22*CUSTOS!$T$3</f>
        <v>0</v>
      </c>
      <c r="V22" s="17">
        <f>TRANSICAO!$V$22*CUSTOS!$T$3</f>
        <v>0</v>
      </c>
      <c r="W22" s="17">
        <f>TRANSICAO!$W$22*CUSTOS!$T$3</f>
        <v>0</v>
      </c>
      <c r="X22" s="17">
        <f>TRANSICAO!$X$22*CUSTOS!$T$3</f>
        <v>0</v>
      </c>
      <c r="Y22" s="17">
        <f>TRANSICAO!$Y$22*CUSTOS!$T$3</f>
        <v>107.5538</v>
      </c>
      <c r="Z22" s="17">
        <f>TRANSICAO!$Z$22*CUSTOS!$T$3</f>
        <v>0</v>
      </c>
      <c r="AA22" s="17">
        <f>TRANSICAO!$AA$22*CUSTOS!$T$3</f>
        <v>0</v>
      </c>
      <c r="AB22" s="17">
        <f>TRANSICAO!$AB$22*CUSTOS!$T$3</f>
        <v>0</v>
      </c>
      <c r="AC22" s="17">
        <f>TRANSICAO!$AC$22*CUSTOS!$T$3</f>
        <v>324.95080000000002</v>
      </c>
      <c r="AD22" s="17">
        <f>TRANSICAO!$AD$22*CUSTOS!$T$3</f>
        <v>0</v>
      </c>
      <c r="AE22" s="17">
        <v>0</v>
      </c>
      <c r="AF22" s="17">
        <v>0</v>
      </c>
      <c r="AG22" s="17"/>
      <c r="AH22" s="17">
        <f>(1 - CUSTOS!$M$25)*17.9049</f>
        <v>17.904900000000001</v>
      </c>
      <c r="AI22" s="17">
        <f>(1 - CUSTOS!$M$25)*17.9049</f>
        <v>17.904900000000001</v>
      </c>
      <c r="AJ22" s="17">
        <f ca="1">$N$64*(1-CUSTOS!$M$25)</f>
        <v>0</v>
      </c>
      <c r="AK22" s="17">
        <f t="shared" ca="1" si="0"/>
        <v>0</v>
      </c>
      <c r="AL22" s="17"/>
      <c r="AM22" s="17"/>
      <c r="AP22" s="17">
        <f>IF((1 - CUSTOS!$M$25)&lt;&gt;0,1/(1 - CUSTOS!$M$25),1)</f>
        <v>1</v>
      </c>
    </row>
    <row r="23" spans="1:42" ht="11.25" customHeight="1" x14ac:dyDescent="0.25">
      <c r="A23" s="94"/>
      <c r="B23" s="94"/>
      <c r="C23" s="94"/>
      <c r="D23" s="26" t="s">
        <v>31</v>
      </c>
      <c r="E23" s="26" t="s">
        <v>25</v>
      </c>
      <c r="F23" s="26" t="s">
        <v>25</v>
      </c>
      <c r="G23" s="27" t="s">
        <v>78</v>
      </c>
      <c r="H23" s="27" t="s">
        <v>72</v>
      </c>
      <c r="I23" s="27">
        <f>'MERCADO TUSD'!$U$20</f>
        <v>58.873999999999995</v>
      </c>
      <c r="J23" s="15"/>
      <c r="L23" s="17">
        <v>0</v>
      </c>
      <c r="M23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1.43564103320897</v>
      </c>
      <c r="N23" s="17">
        <f ca="1">(+M23+O23+R23+U23+V23+W23+X23+Y23+Z23+AA23+AC23+AH23+AI23+AJ23+AK23)*CUSTOS!$M$5</f>
        <v>4.7075004103320898E-12</v>
      </c>
      <c r="O23" s="17">
        <f>1 - CUSTOS!$M$26</f>
        <v>1</v>
      </c>
      <c r="P23" s="17">
        <v>0</v>
      </c>
      <c r="Q23" s="17">
        <v>0</v>
      </c>
      <c r="R23" s="17">
        <v>0</v>
      </c>
      <c r="S23" s="17">
        <f>1 - CUSTOS!$M$26</f>
        <v>1</v>
      </c>
      <c r="T23" s="17"/>
      <c r="U23" s="17">
        <f>TRANSICAO!$U$23*CUSTOS!$T$3</f>
        <v>0</v>
      </c>
      <c r="V23" s="17">
        <f>TRANSICAO!$V$23*CUSTOS!$T$3</f>
        <v>0</v>
      </c>
      <c r="W23" s="17">
        <f>TRANSICAO!$W$23*CUSTOS!$T$3</f>
        <v>0</v>
      </c>
      <c r="X23" s="17">
        <f>TRANSICAO!$X$23*CUSTOS!$T$3</f>
        <v>0</v>
      </c>
      <c r="Y23" s="17">
        <f>TRANSICAO!$Y$23*CUSTOS!$T$3</f>
        <v>107.5538</v>
      </c>
      <c r="Z23" s="17">
        <f>TRANSICAO!$Z$23*CUSTOS!$T$3</f>
        <v>0</v>
      </c>
      <c r="AA23" s="17">
        <f>TRANSICAO!$AA$23*CUSTOS!$T$3</f>
        <v>0</v>
      </c>
      <c r="AB23" s="17">
        <f>TRANSICAO!$AB$23*CUSTOS!$T$3</f>
        <v>0</v>
      </c>
      <c r="AC23" s="17">
        <f>TRANSICAO!$AC$23*CUSTOS!$T$3</f>
        <v>324.95080000000002</v>
      </c>
      <c r="AD23" s="17">
        <f>TRANSICAO!$AD$23*CUSTOS!$T$3</f>
        <v>0</v>
      </c>
      <c r="AE23" s="17">
        <v>0</v>
      </c>
      <c r="AF23" s="17">
        <v>0</v>
      </c>
      <c r="AG23" s="17"/>
      <c r="AH23" s="17">
        <f>(1 - CUSTOS!$M$26)*17.9049</f>
        <v>17.904900000000001</v>
      </c>
      <c r="AI23" s="17">
        <f>(1 - CUSTOS!$M$26)*17.9049</f>
        <v>17.904900000000001</v>
      </c>
      <c r="AJ23" s="17">
        <f ca="1">$N$64*(1-CUSTOS!$M$26)</f>
        <v>0</v>
      </c>
      <c r="AK23" s="17">
        <f t="shared" ca="1" si="0"/>
        <v>0</v>
      </c>
      <c r="AL23" s="17"/>
      <c r="AM23" s="17"/>
      <c r="AP23" s="17">
        <f>IF((1 - CUSTOS!$M$26)&lt;&gt;0,1/(1 - CUSTOS!$M$26),1)</f>
        <v>1</v>
      </c>
    </row>
    <row r="24" spans="1:42" ht="11.25" customHeight="1" x14ac:dyDescent="0.25">
      <c r="A24" s="94"/>
      <c r="B24" s="94"/>
      <c r="C24" s="94"/>
      <c r="D24" s="26" t="s">
        <v>32</v>
      </c>
      <c r="E24" s="26" t="s">
        <v>25</v>
      </c>
      <c r="F24" s="26" t="s">
        <v>25</v>
      </c>
      <c r="G24" s="27" t="s">
        <v>78</v>
      </c>
      <c r="H24" s="27" t="s">
        <v>72</v>
      </c>
      <c r="I24" s="27">
        <f>'MERCADO TUSD'!$U$21</f>
        <v>22.426000000000002</v>
      </c>
      <c r="J24" s="15"/>
      <c r="L24" s="17">
        <v>0</v>
      </c>
      <c r="M24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1.43564103320897</v>
      </c>
      <c r="N24" s="17">
        <f ca="1">(+M24+O24+R24+U24+V24+W24+X24+Y24+Z24+AA24+AC24+AH24+AI24+AJ24+AK24)*CUSTOS!$M$5</f>
        <v>4.7075004103320898E-12</v>
      </c>
      <c r="O24" s="17">
        <f>1 - CUSTOS!$M$27</f>
        <v>1</v>
      </c>
      <c r="P24" s="17">
        <v>0</v>
      </c>
      <c r="Q24" s="17">
        <v>0</v>
      </c>
      <c r="R24" s="17">
        <v>0</v>
      </c>
      <c r="S24" s="17">
        <f>1 - CUSTOS!$M$27</f>
        <v>1</v>
      </c>
      <c r="T24" s="17"/>
      <c r="U24" s="17">
        <f>TRANSICAO!$U$24*CUSTOS!$T$3</f>
        <v>0</v>
      </c>
      <c r="V24" s="17">
        <f>TRANSICAO!$V$24*CUSTOS!$T$3</f>
        <v>0</v>
      </c>
      <c r="W24" s="17">
        <f>TRANSICAO!$W$24*CUSTOS!$T$3</f>
        <v>0</v>
      </c>
      <c r="X24" s="17">
        <f>TRANSICAO!$X$24*CUSTOS!$T$3</f>
        <v>0</v>
      </c>
      <c r="Y24" s="17">
        <f>TRANSICAO!$Y$24*CUSTOS!$T$3</f>
        <v>107.5538</v>
      </c>
      <c r="Z24" s="17">
        <f>TRANSICAO!$Z$24*CUSTOS!$T$3</f>
        <v>0</v>
      </c>
      <c r="AA24" s="17">
        <f>TRANSICAO!$AA$24*CUSTOS!$T$3</f>
        <v>0</v>
      </c>
      <c r="AB24" s="17">
        <f>TRANSICAO!$AB$24*CUSTOS!$T$3</f>
        <v>0</v>
      </c>
      <c r="AC24" s="17">
        <f>TRANSICAO!$AC$24*CUSTOS!$T$3</f>
        <v>324.95080000000002</v>
      </c>
      <c r="AD24" s="17">
        <f>TRANSICAO!$AD$24*CUSTOS!$T$3</f>
        <v>0</v>
      </c>
      <c r="AE24" s="17">
        <v>0</v>
      </c>
      <c r="AF24" s="17">
        <v>0</v>
      </c>
      <c r="AG24" s="17"/>
      <c r="AH24" s="17">
        <f>(1 - CUSTOS!$M$27)*17.9049</f>
        <v>17.904900000000001</v>
      </c>
      <c r="AI24" s="17">
        <f>(1 - CUSTOS!$M$27)*17.9049</f>
        <v>17.904900000000001</v>
      </c>
      <c r="AJ24" s="17">
        <f ca="1">$N$64*(1-CUSTOS!$M$27)</f>
        <v>0</v>
      </c>
      <c r="AK24" s="17">
        <f t="shared" ca="1" si="0"/>
        <v>0</v>
      </c>
      <c r="AL24" s="17"/>
      <c r="AM24" s="17"/>
      <c r="AP24" s="17">
        <f>IF((1 - CUSTOS!$M$27)&lt;&gt;0,1/(1 - CUSTOS!$M$27),1)</f>
        <v>1</v>
      </c>
    </row>
    <row r="25" spans="1:42" ht="11.25" customHeight="1" x14ac:dyDescent="0.25">
      <c r="A25" s="94"/>
      <c r="B25" s="94" t="s">
        <v>87</v>
      </c>
      <c r="C25" s="94" t="s">
        <v>24</v>
      </c>
      <c r="D25" s="26" t="s">
        <v>24</v>
      </c>
      <c r="E25" s="26" t="s">
        <v>25</v>
      </c>
      <c r="F25" s="26" t="s">
        <v>25</v>
      </c>
      <c r="G25" s="27" t="s">
        <v>78</v>
      </c>
      <c r="H25" s="27" t="s">
        <v>72</v>
      </c>
      <c r="I25" s="27">
        <f>'MERCADO TUSD'!$U$22</f>
        <v>0</v>
      </c>
      <c r="J25" s="15"/>
      <c r="L25" s="17">
        <f>1</f>
        <v>1</v>
      </c>
      <c r="M25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1.43564103320897</v>
      </c>
      <c r="N25" s="17">
        <f ca="1">(+M25+O25+R25+U25+V25+W25+X25+Y25+Z25+AA25+AC25+AH25+AI25+AJ25+AK25)*CUSTOS!$M$5</f>
        <v>4.71750041033209E-12</v>
      </c>
      <c r="O25" s="17">
        <v>1</v>
      </c>
      <c r="P25" s="17">
        <v>1</v>
      </c>
      <c r="Q25" s="17">
        <f>1</f>
        <v>1</v>
      </c>
      <c r="R25" s="17">
        <v>1</v>
      </c>
      <c r="S25" s="17">
        <v>1</v>
      </c>
      <c r="T25" s="17"/>
      <c r="U25" s="17">
        <f>TRANSICAO!$U$25*CUSTOS!$T$3</f>
        <v>0</v>
      </c>
      <c r="V25" s="17">
        <f>TRANSICAO!$V$25*CUSTOS!$T$3</f>
        <v>0</v>
      </c>
      <c r="W25" s="17">
        <f>TRANSICAO!$W$25*CUSTOS!$T$3</f>
        <v>0</v>
      </c>
      <c r="X25" s="17">
        <f>TRANSICAO!$X$25*CUSTOS!$T$3</f>
        <v>0</v>
      </c>
      <c r="Y25" s="17">
        <f>TRANSICAO!$Y$25*CUSTOS!$T$3</f>
        <v>107.5538</v>
      </c>
      <c r="Z25" s="17">
        <f>TRANSICAO!$Z$25*CUSTOS!$T$3</f>
        <v>0</v>
      </c>
      <c r="AA25" s="17">
        <f>TRANSICAO!$AA$25*CUSTOS!$T$3</f>
        <v>0</v>
      </c>
      <c r="AB25" s="17">
        <f>TRANSICAO!$AB$25*CUSTOS!$T$3</f>
        <v>0</v>
      </c>
      <c r="AC25" s="17">
        <f>TRANSICAO!$AC$25*CUSTOS!$T$3</f>
        <v>324.95080000000002</v>
      </c>
      <c r="AD25" s="17">
        <f>TRANSICAO!$AD$25*CUSTOS!$T$3</f>
        <v>0</v>
      </c>
      <c r="AE25" s="17">
        <v>0</v>
      </c>
      <c r="AF25" s="17">
        <v>0</v>
      </c>
      <c r="AG25" s="17"/>
      <c r="AH25" s="17">
        <v>17.904900000000001</v>
      </c>
      <c r="AI25" s="17">
        <v>17.904900000000001</v>
      </c>
      <c r="AJ25" s="17">
        <f ca="1">$N$64</f>
        <v>0</v>
      </c>
      <c r="AK25" s="17">
        <f t="shared" ca="1" si="0"/>
        <v>0</v>
      </c>
      <c r="AL25" s="17"/>
      <c r="AM25" s="17"/>
      <c r="AP25" s="17">
        <v>1</v>
      </c>
    </row>
    <row r="26" spans="1:42" ht="11.25" customHeight="1" x14ac:dyDescent="0.25">
      <c r="A26" s="94"/>
      <c r="B26" s="94"/>
      <c r="C26" s="94"/>
      <c r="D26" s="26" t="s">
        <v>29</v>
      </c>
      <c r="E26" s="26" t="s">
        <v>25</v>
      </c>
      <c r="F26" s="26" t="s">
        <v>25</v>
      </c>
      <c r="G26" s="27" t="s">
        <v>78</v>
      </c>
      <c r="H26" s="27" t="s">
        <v>72</v>
      </c>
      <c r="I26" s="27">
        <f>'MERCADO TUSD'!$U$23</f>
        <v>0</v>
      </c>
      <c r="J26" s="15"/>
      <c r="L26" s="17">
        <v>0</v>
      </c>
      <c r="M26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1.43564103320897</v>
      </c>
      <c r="N26" s="17">
        <f ca="1">(+M26+O26+R26+U26+V26+W26+X26+Y26+Z26+AA26+AC26+AH26+AI26+AJ26+AK26)*CUSTOS!$M$5</f>
        <v>4.7075004103320898E-12</v>
      </c>
      <c r="O26" s="17">
        <f>1 - CUSTOS!$M$24</f>
        <v>1</v>
      </c>
      <c r="P26" s="17">
        <v>0</v>
      </c>
      <c r="Q26" s="17">
        <v>0</v>
      </c>
      <c r="R26" s="17">
        <v>0</v>
      </c>
      <c r="S26" s="17">
        <f>1 - CUSTOS!$M$24</f>
        <v>1</v>
      </c>
      <c r="T26" s="17"/>
      <c r="U26" s="17">
        <f>TRANSICAO!$U$26*CUSTOS!$T$3</f>
        <v>0</v>
      </c>
      <c r="V26" s="17">
        <f>TRANSICAO!$V$26*CUSTOS!$T$3</f>
        <v>0</v>
      </c>
      <c r="W26" s="17">
        <f>TRANSICAO!$W$26*CUSTOS!$T$3</f>
        <v>0</v>
      </c>
      <c r="X26" s="17">
        <f>TRANSICAO!$X$26*CUSTOS!$T$3</f>
        <v>0</v>
      </c>
      <c r="Y26" s="17">
        <f>TRANSICAO!$Y$26*CUSTOS!$T$3</f>
        <v>107.5538</v>
      </c>
      <c r="Z26" s="17">
        <f>TRANSICAO!$Z$26*CUSTOS!$T$3</f>
        <v>0</v>
      </c>
      <c r="AA26" s="17">
        <f>TRANSICAO!$AA$26*CUSTOS!$T$3</f>
        <v>0</v>
      </c>
      <c r="AB26" s="17">
        <f>TRANSICAO!$AB$26*CUSTOS!$T$3</f>
        <v>0</v>
      </c>
      <c r="AC26" s="17">
        <f>TRANSICAO!$AC$26*CUSTOS!$T$3</f>
        <v>324.95080000000002</v>
      </c>
      <c r="AD26" s="17">
        <f>TRANSICAO!$AD$26*CUSTOS!$T$3</f>
        <v>0</v>
      </c>
      <c r="AE26" s="17">
        <v>0</v>
      </c>
      <c r="AF26" s="17">
        <v>0</v>
      </c>
      <c r="AG26" s="17"/>
      <c r="AH26" s="17">
        <f>(1 - CUSTOS!$M$24)*17.9049</f>
        <v>17.904900000000001</v>
      </c>
      <c r="AI26" s="17">
        <f>(1 - CUSTOS!$M$24)*17.9049</f>
        <v>17.904900000000001</v>
      </c>
      <c r="AJ26" s="17">
        <f ca="1">$N$64*(1-CUSTOS!$M$24)</f>
        <v>0</v>
      </c>
      <c r="AK26" s="17">
        <f t="shared" ca="1" si="0"/>
        <v>0</v>
      </c>
      <c r="AL26" s="17"/>
      <c r="AM26" s="17"/>
      <c r="AP26" s="17">
        <f>IF((1 - CUSTOS!$M$24)&lt;&gt;0,1/(1 - CUSTOS!$M$24),1)</f>
        <v>1</v>
      </c>
    </row>
    <row r="27" spans="1:42" ht="11.25" customHeight="1" x14ac:dyDescent="0.25">
      <c r="A27" s="94"/>
      <c r="B27" s="94"/>
      <c r="C27" s="94"/>
      <c r="D27" s="26" t="s">
        <v>30</v>
      </c>
      <c r="E27" s="26" t="s">
        <v>25</v>
      </c>
      <c r="F27" s="26" t="s">
        <v>25</v>
      </c>
      <c r="G27" s="27" t="s">
        <v>78</v>
      </c>
      <c r="H27" s="27" t="s">
        <v>72</v>
      </c>
      <c r="I27" s="27">
        <f>'MERCADO TUSD'!$U$24</f>
        <v>0</v>
      </c>
      <c r="J27" s="15"/>
      <c r="L27" s="17">
        <v>0</v>
      </c>
      <c r="M27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1.43564103320897</v>
      </c>
      <c r="N27" s="17">
        <f ca="1">(+M27+O27+R27+U27+V27+W27+X27+Y27+Z27+AA27+AC27+AH27+AI27+AJ27+AK27)*CUSTOS!$M$5</f>
        <v>4.7075004103320898E-12</v>
      </c>
      <c r="O27" s="17">
        <f>1 - CUSTOS!$M$25</f>
        <v>1</v>
      </c>
      <c r="P27" s="17">
        <v>0</v>
      </c>
      <c r="Q27" s="17">
        <v>0</v>
      </c>
      <c r="R27" s="17">
        <v>0</v>
      </c>
      <c r="S27" s="17">
        <f>1 - CUSTOS!$M$25</f>
        <v>1</v>
      </c>
      <c r="T27" s="17"/>
      <c r="U27" s="17">
        <f>TRANSICAO!$U$27*CUSTOS!$T$3</f>
        <v>0</v>
      </c>
      <c r="V27" s="17">
        <f>TRANSICAO!$V$27*CUSTOS!$T$3</f>
        <v>0</v>
      </c>
      <c r="W27" s="17">
        <f>TRANSICAO!$W$27*CUSTOS!$T$3</f>
        <v>0</v>
      </c>
      <c r="X27" s="17">
        <f>TRANSICAO!$X$27*CUSTOS!$T$3</f>
        <v>0</v>
      </c>
      <c r="Y27" s="17">
        <f>TRANSICAO!$Y$27*CUSTOS!$T$3</f>
        <v>107.5538</v>
      </c>
      <c r="Z27" s="17">
        <f>TRANSICAO!$Z$27*CUSTOS!$T$3</f>
        <v>0</v>
      </c>
      <c r="AA27" s="17">
        <f>TRANSICAO!$AA$27*CUSTOS!$T$3</f>
        <v>0</v>
      </c>
      <c r="AB27" s="17">
        <f>TRANSICAO!$AB$27*CUSTOS!$T$3</f>
        <v>0</v>
      </c>
      <c r="AC27" s="17">
        <f>TRANSICAO!$AC$27*CUSTOS!$T$3</f>
        <v>324.95080000000002</v>
      </c>
      <c r="AD27" s="17">
        <f>TRANSICAO!$AD$27*CUSTOS!$T$3</f>
        <v>0</v>
      </c>
      <c r="AE27" s="17">
        <v>0</v>
      </c>
      <c r="AF27" s="17">
        <v>0</v>
      </c>
      <c r="AG27" s="17"/>
      <c r="AH27" s="17">
        <f>(1 - CUSTOS!$M$25)*17.9049</f>
        <v>17.904900000000001</v>
      </c>
      <c r="AI27" s="17">
        <f>(1 - CUSTOS!$M$25)*17.9049</f>
        <v>17.904900000000001</v>
      </c>
      <c r="AJ27" s="17">
        <f ca="1">$N$64*(1-CUSTOS!$M$25)</f>
        <v>0</v>
      </c>
      <c r="AK27" s="17">
        <f t="shared" ca="1" si="0"/>
        <v>0</v>
      </c>
      <c r="AL27" s="17"/>
      <c r="AM27" s="17"/>
      <c r="AP27" s="17">
        <f>IF((1 - CUSTOS!$M$25)&lt;&gt;0,1/(1 - CUSTOS!$M$25),1)</f>
        <v>1</v>
      </c>
    </row>
    <row r="28" spans="1:42" ht="11.25" customHeight="1" x14ac:dyDescent="0.25">
      <c r="A28" s="94"/>
      <c r="B28" s="94"/>
      <c r="C28" s="94"/>
      <c r="D28" s="26" t="s">
        <v>31</v>
      </c>
      <c r="E28" s="26" t="s">
        <v>25</v>
      </c>
      <c r="F28" s="26" t="s">
        <v>25</v>
      </c>
      <c r="G28" s="27" t="s">
        <v>78</v>
      </c>
      <c r="H28" s="27" t="s">
        <v>72</v>
      </c>
      <c r="I28" s="27">
        <f>'MERCADO TUSD'!$U$25</f>
        <v>0</v>
      </c>
      <c r="J28" s="15"/>
      <c r="L28" s="17">
        <v>0</v>
      </c>
      <c r="M28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1.43564103320897</v>
      </c>
      <c r="N28" s="17">
        <f ca="1">(+M28+O28+R28+U28+V28+W28+X28+Y28+Z28+AA28+AC28+AH28+AI28+AJ28+AK28)*CUSTOS!$M$5</f>
        <v>4.7075004103320898E-12</v>
      </c>
      <c r="O28" s="17">
        <f>1 - CUSTOS!$M$26</f>
        <v>1</v>
      </c>
      <c r="P28" s="17">
        <v>0</v>
      </c>
      <c r="Q28" s="17">
        <v>0</v>
      </c>
      <c r="R28" s="17">
        <v>0</v>
      </c>
      <c r="S28" s="17">
        <f>1 - CUSTOS!$M$26</f>
        <v>1</v>
      </c>
      <c r="T28" s="17"/>
      <c r="U28" s="17">
        <f>TRANSICAO!$U$28*CUSTOS!$T$3</f>
        <v>0</v>
      </c>
      <c r="V28" s="17">
        <f>TRANSICAO!$V$28*CUSTOS!$T$3</f>
        <v>0</v>
      </c>
      <c r="W28" s="17">
        <f>TRANSICAO!$W$28*CUSTOS!$T$3</f>
        <v>0</v>
      </c>
      <c r="X28" s="17">
        <f>TRANSICAO!$X$28*CUSTOS!$T$3</f>
        <v>0</v>
      </c>
      <c r="Y28" s="17">
        <f>TRANSICAO!$Y$28*CUSTOS!$T$3</f>
        <v>107.5538</v>
      </c>
      <c r="Z28" s="17">
        <f>TRANSICAO!$Z$28*CUSTOS!$T$3</f>
        <v>0</v>
      </c>
      <c r="AA28" s="17">
        <f>TRANSICAO!$AA$28*CUSTOS!$T$3</f>
        <v>0</v>
      </c>
      <c r="AB28" s="17">
        <f>TRANSICAO!$AB$28*CUSTOS!$T$3</f>
        <v>0</v>
      </c>
      <c r="AC28" s="17">
        <f>TRANSICAO!$AC$28*CUSTOS!$T$3</f>
        <v>324.95080000000002</v>
      </c>
      <c r="AD28" s="17">
        <f>TRANSICAO!$AD$28*CUSTOS!$T$3</f>
        <v>0</v>
      </c>
      <c r="AE28" s="17">
        <v>0</v>
      </c>
      <c r="AF28" s="17">
        <v>0</v>
      </c>
      <c r="AG28" s="17"/>
      <c r="AH28" s="17">
        <f>(1 - CUSTOS!$M$26)*17.9049</f>
        <v>17.904900000000001</v>
      </c>
      <c r="AI28" s="17">
        <f>(1 - CUSTOS!$M$26)*17.9049</f>
        <v>17.904900000000001</v>
      </c>
      <c r="AJ28" s="17">
        <f ca="1">$N$64*(1-CUSTOS!$M$26)</f>
        <v>0</v>
      </c>
      <c r="AK28" s="17">
        <f t="shared" ca="1" si="0"/>
        <v>0</v>
      </c>
      <c r="AL28" s="17"/>
      <c r="AM28" s="17"/>
      <c r="AP28" s="17">
        <f>IF((1 - CUSTOS!$M$26)&lt;&gt;0,1/(1 - CUSTOS!$M$26),1)</f>
        <v>1</v>
      </c>
    </row>
    <row r="29" spans="1:42" ht="11.25" customHeight="1" x14ac:dyDescent="0.25">
      <c r="A29" s="94"/>
      <c r="B29" s="94"/>
      <c r="C29" s="94"/>
      <c r="D29" s="26" t="s">
        <v>32</v>
      </c>
      <c r="E29" s="26" t="s">
        <v>25</v>
      </c>
      <c r="F29" s="26" t="s">
        <v>25</v>
      </c>
      <c r="G29" s="27" t="s">
        <v>78</v>
      </c>
      <c r="H29" s="27" t="s">
        <v>72</v>
      </c>
      <c r="I29" s="27">
        <f>'MERCADO TUSD'!$U$26</f>
        <v>0</v>
      </c>
      <c r="J29" s="15"/>
      <c r="L29" s="17">
        <v>0</v>
      </c>
      <c r="M29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1.43564103320897</v>
      </c>
      <c r="N29" s="17">
        <f ca="1">(+M29+O29+R29+U29+V29+W29+X29+Y29+Z29+AA29+AC29+AH29+AI29+AJ29+AK29)*CUSTOS!$M$5</f>
        <v>4.7075004103320898E-12</v>
      </c>
      <c r="O29" s="17">
        <f>1 - CUSTOS!$M$27</f>
        <v>1</v>
      </c>
      <c r="P29" s="17">
        <v>0</v>
      </c>
      <c r="Q29" s="17">
        <v>0</v>
      </c>
      <c r="R29" s="17">
        <v>0</v>
      </c>
      <c r="S29" s="17">
        <f>1 - CUSTOS!$M$27</f>
        <v>1</v>
      </c>
      <c r="T29" s="17"/>
      <c r="U29" s="17">
        <f>TRANSICAO!$U$29*CUSTOS!$T$3</f>
        <v>0</v>
      </c>
      <c r="V29" s="17">
        <f>TRANSICAO!$V$29*CUSTOS!$T$3</f>
        <v>0</v>
      </c>
      <c r="W29" s="17">
        <f>TRANSICAO!$W$29*CUSTOS!$T$3</f>
        <v>0</v>
      </c>
      <c r="X29" s="17">
        <f>TRANSICAO!$X$29*CUSTOS!$T$3</f>
        <v>0</v>
      </c>
      <c r="Y29" s="17">
        <f>TRANSICAO!$Y$29*CUSTOS!$T$3</f>
        <v>107.5538</v>
      </c>
      <c r="Z29" s="17">
        <f>TRANSICAO!$Z$29*CUSTOS!$T$3</f>
        <v>0</v>
      </c>
      <c r="AA29" s="17">
        <f>TRANSICAO!$AA$29*CUSTOS!$T$3</f>
        <v>0</v>
      </c>
      <c r="AB29" s="17">
        <f>TRANSICAO!$AB$29*CUSTOS!$T$3</f>
        <v>0</v>
      </c>
      <c r="AC29" s="17">
        <f>TRANSICAO!$AC$29*CUSTOS!$T$3</f>
        <v>324.95080000000002</v>
      </c>
      <c r="AD29" s="17">
        <f>TRANSICAO!$AD$29*CUSTOS!$T$3</f>
        <v>0</v>
      </c>
      <c r="AE29" s="17">
        <v>0</v>
      </c>
      <c r="AF29" s="17">
        <v>0</v>
      </c>
      <c r="AG29" s="17"/>
      <c r="AH29" s="17">
        <f>(1 - CUSTOS!$M$27)*17.9049</f>
        <v>17.904900000000001</v>
      </c>
      <c r="AI29" s="17">
        <f>(1 - CUSTOS!$M$27)*17.9049</f>
        <v>17.904900000000001</v>
      </c>
      <c r="AJ29" s="17">
        <f ca="1">$N$64*(1-CUSTOS!$M$27)</f>
        <v>0</v>
      </c>
      <c r="AK29" s="17">
        <f t="shared" ca="1" si="0"/>
        <v>0</v>
      </c>
      <c r="AL29" s="17"/>
      <c r="AM29" s="17"/>
      <c r="AP29" s="17">
        <f>IF((1 - CUSTOS!$M$27)&lt;&gt;0,1/(1 - CUSTOS!$M$27),1)</f>
        <v>1</v>
      </c>
    </row>
    <row r="30" spans="1:42" ht="11.25" customHeight="1" x14ac:dyDescent="0.25">
      <c r="A30" s="94" t="s">
        <v>40</v>
      </c>
      <c r="B30" s="94" t="s">
        <v>85</v>
      </c>
      <c r="C30" s="94" t="s">
        <v>41</v>
      </c>
      <c r="D30" s="94" t="s">
        <v>25</v>
      </c>
      <c r="E30" s="94" t="s">
        <v>25</v>
      </c>
      <c r="F30" s="94" t="s">
        <v>25</v>
      </c>
      <c r="G30" s="27" t="s">
        <v>73</v>
      </c>
      <c r="H30" s="27" t="s">
        <v>72</v>
      </c>
      <c r="I30" s="27">
        <f>'MERCADO TUSD'!$U$27</f>
        <v>0</v>
      </c>
      <c r="J30" s="15"/>
      <c r="L30" s="17">
        <f>1*(1 - CUSTOS!$M$28)</f>
        <v>1</v>
      </c>
      <c r="M30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1.43564103320897</v>
      </c>
      <c r="N30" s="17">
        <f ca="1">(+M30+O30+R30+U30+V30+W30+X30+Y30+Z30+AA30+AC30+AH30+AI30+AJ30+AK30)*CUSTOS!$M$5</f>
        <v>1.3151474410332089E-11</v>
      </c>
      <c r="O30" s="17">
        <f>1 - CUSTOS!$M$28</f>
        <v>1</v>
      </c>
      <c r="P30" s="17">
        <f>1 - CUSTOS!$M$28</f>
        <v>1</v>
      </c>
      <c r="Q30" s="17">
        <f>1*(1 - CUSTOS!$M$28)</f>
        <v>1</v>
      </c>
      <c r="R30" s="17">
        <f>1 - CUSTOS!$M$28</f>
        <v>1</v>
      </c>
      <c r="S30" s="17">
        <f>1 - CUSTOS!$M$28</f>
        <v>1</v>
      </c>
      <c r="T30" s="17"/>
      <c r="U30" s="17">
        <f>TRANSICAO!$U$30*CUSTOS!$T$3</f>
        <v>0</v>
      </c>
      <c r="V30" s="17">
        <f>TRANSICAO!$V$30*CUSTOS!$T$3</f>
        <v>0</v>
      </c>
      <c r="W30" s="17">
        <f>TRANSICAO!$W$30*CUSTOS!$T$3</f>
        <v>0</v>
      </c>
      <c r="X30" s="17">
        <f>TRANSICAO!$X$30*CUSTOS!$T$3</f>
        <v>0</v>
      </c>
      <c r="Y30" s="17">
        <f>TRANSICAO!$Y$30*CUSTOS!$T$3</f>
        <v>317.2971</v>
      </c>
      <c r="Z30" s="17">
        <f>TRANSICAO!$Z$30*CUSTOS!$T$3</f>
        <v>0</v>
      </c>
      <c r="AA30" s="17">
        <f>TRANSICAO!$AA$30*CUSTOS!$T$3</f>
        <v>0</v>
      </c>
      <c r="AB30" s="17">
        <f>TRANSICAO!$AB$30*CUSTOS!$T$3</f>
        <v>0</v>
      </c>
      <c r="AC30" s="17">
        <f>TRANSICAO!$AC$30*CUSTOS!$T$3</f>
        <v>958.60490000000004</v>
      </c>
      <c r="AD30" s="17">
        <f>TRANSICAO!$AD$30*CUSTOS!$T$3</f>
        <v>0</v>
      </c>
      <c r="AE30" s="17">
        <v>0</v>
      </c>
      <c r="AF30" s="17">
        <v>0</v>
      </c>
      <c r="AG30" s="17"/>
      <c r="AH30" s="17">
        <f>(1 - CUSTOS!$M$28)*17.9049</f>
        <v>17.904900000000001</v>
      </c>
      <c r="AI30" s="17">
        <f>(1 - CUSTOS!$M$28)*17.9049</f>
        <v>17.904900000000001</v>
      </c>
      <c r="AJ30" s="17">
        <f ca="1">$N$64*(1-CUSTOS!$M$28)</f>
        <v>0</v>
      </c>
      <c r="AK30" s="17">
        <f t="shared" ca="1" si="0"/>
        <v>0</v>
      </c>
      <c r="AL30" s="17"/>
      <c r="AM30" s="17"/>
      <c r="AP30" s="17">
        <f>IF((1 - CUSTOS!$M$28)&lt;&gt;0,1/(1 - CUSTOS!$M$28),1)</f>
        <v>1</v>
      </c>
    </row>
    <row r="31" spans="1:42" ht="11.25" customHeight="1" x14ac:dyDescent="0.25">
      <c r="A31" s="94"/>
      <c r="B31" s="94"/>
      <c r="C31" s="94"/>
      <c r="D31" s="94"/>
      <c r="E31" s="94"/>
      <c r="F31" s="94"/>
      <c r="G31" s="27" t="s">
        <v>83</v>
      </c>
      <c r="H31" s="27" t="s">
        <v>72</v>
      </c>
      <c r="I31" s="27">
        <f>'MERCADO TUSD'!$U$28</f>
        <v>0</v>
      </c>
      <c r="J31" s="15"/>
      <c r="L31" s="17">
        <f>1*(1 - CUSTOS!$M$28)</f>
        <v>1</v>
      </c>
      <c r="M31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1.43564103320897</v>
      </c>
      <c r="N31" s="17">
        <f ca="1">(+M31+O31+R31+U31+V31+W31+X31+Y31+Z31+AA31+AC31+AH31+AI31+AJ31+AK31)*CUSTOS!$M$5</f>
        <v>8.0476514103320888E-12</v>
      </c>
      <c r="O31" s="17">
        <f>1 - CUSTOS!$M$28</f>
        <v>1</v>
      </c>
      <c r="P31" s="17">
        <f>1 - CUSTOS!$M$28</f>
        <v>1</v>
      </c>
      <c r="Q31" s="17">
        <f>1*(1 - CUSTOS!$M$28)</f>
        <v>1</v>
      </c>
      <c r="R31" s="17">
        <f>1 - CUSTOS!$M$28</f>
        <v>1</v>
      </c>
      <c r="S31" s="17">
        <f>1 - CUSTOS!$M$28</f>
        <v>1</v>
      </c>
      <c r="T31" s="17"/>
      <c r="U31" s="17">
        <f>TRANSICAO!$U$31*CUSTOS!$T$3</f>
        <v>0</v>
      </c>
      <c r="V31" s="17">
        <f>TRANSICAO!$V$31*CUSTOS!$T$3</f>
        <v>0</v>
      </c>
      <c r="W31" s="17">
        <f>TRANSICAO!$W$31*CUSTOS!$T$3</f>
        <v>0</v>
      </c>
      <c r="X31" s="17">
        <f>TRANSICAO!$X$31*CUSTOS!$T$3</f>
        <v>0</v>
      </c>
      <c r="Y31" s="17">
        <f>TRANSICAO!$Y$31*CUSTOS!$T$3</f>
        <v>190.357</v>
      </c>
      <c r="Z31" s="17">
        <f>TRANSICAO!$Z$31*CUSTOS!$T$3</f>
        <v>0</v>
      </c>
      <c r="AA31" s="17">
        <f>TRANSICAO!$AA$31*CUSTOS!$T$3</f>
        <v>0</v>
      </c>
      <c r="AB31" s="17">
        <f>TRANSICAO!$AB$31*CUSTOS!$T$3</f>
        <v>0</v>
      </c>
      <c r="AC31" s="17">
        <f>TRANSICAO!$AC$31*CUSTOS!$T$3</f>
        <v>575.16269999999997</v>
      </c>
      <c r="AD31" s="17">
        <f>TRANSICAO!$AD$31*CUSTOS!$T$3</f>
        <v>0</v>
      </c>
      <c r="AE31" s="17">
        <v>0</v>
      </c>
      <c r="AF31" s="17">
        <v>0</v>
      </c>
      <c r="AG31" s="17"/>
      <c r="AH31" s="17">
        <f>(1 - CUSTOS!$M$28)*17.9049</f>
        <v>17.904900000000001</v>
      </c>
      <c r="AI31" s="17">
        <f>(1 - CUSTOS!$M$28)*17.9049</f>
        <v>17.904900000000001</v>
      </c>
      <c r="AJ31" s="17">
        <f ca="1">$N$64*(1-CUSTOS!$M$28)</f>
        <v>0</v>
      </c>
      <c r="AK31" s="17">
        <f t="shared" ca="1" si="0"/>
        <v>0</v>
      </c>
      <c r="AL31" s="17"/>
      <c r="AM31" s="17"/>
      <c r="AP31" s="17">
        <f>IF((1 - CUSTOS!$M$28)&lt;&gt;0,1/(1 - CUSTOS!$M$28),1)</f>
        <v>1</v>
      </c>
    </row>
    <row r="32" spans="1:42" ht="11.25" customHeight="1" x14ac:dyDescent="0.25">
      <c r="A32" s="94"/>
      <c r="B32" s="94"/>
      <c r="C32" s="94"/>
      <c r="D32" s="94"/>
      <c r="E32" s="94"/>
      <c r="F32" s="94"/>
      <c r="G32" s="27" t="s">
        <v>74</v>
      </c>
      <c r="H32" s="27" t="s">
        <v>72</v>
      </c>
      <c r="I32" s="27">
        <f>'MERCADO TUSD'!$U$29</f>
        <v>0</v>
      </c>
      <c r="J32" s="15"/>
      <c r="L32" s="17">
        <f>1*(1 - CUSTOS!$M$28)</f>
        <v>1</v>
      </c>
      <c r="M32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1.43564103320897</v>
      </c>
      <c r="N32" s="17">
        <f ca="1">(+M32+O32+R32+U32+V32+W32+X32+Y32+Z32+AA32+AC32+AH32+AI32+AJ32+AK32)*CUSTOS!$M$5</f>
        <v>2.9438324103320894E-12</v>
      </c>
      <c r="O32" s="17">
        <f>1 - CUSTOS!$M$28</f>
        <v>1</v>
      </c>
      <c r="P32" s="17">
        <f>1 - CUSTOS!$M$28</f>
        <v>1</v>
      </c>
      <c r="Q32" s="17">
        <f>1*(1 - CUSTOS!$M$28)</f>
        <v>1</v>
      </c>
      <c r="R32" s="17">
        <f>1 - CUSTOS!$M$28</f>
        <v>1</v>
      </c>
      <c r="S32" s="17">
        <f>1 - CUSTOS!$M$28</f>
        <v>1</v>
      </c>
      <c r="T32" s="17"/>
      <c r="U32" s="17">
        <f>TRANSICAO!$U$32*CUSTOS!$T$3</f>
        <v>0</v>
      </c>
      <c r="V32" s="17">
        <f>TRANSICAO!$V$32*CUSTOS!$T$3</f>
        <v>0</v>
      </c>
      <c r="W32" s="17">
        <f>TRANSICAO!$W$32*CUSTOS!$T$3</f>
        <v>0</v>
      </c>
      <c r="X32" s="17">
        <f>TRANSICAO!$X$32*CUSTOS!$T$3</f>
        <v>0</v>
      </c>
      <c r="Y32" s="17">
        <f>TRANSICAO!$Y$32*CUSTOS!$T$3</f>
        <v>63.416899999999998</v>
      </c>
      <c r="Z32" s="17">
        <f>TRANSICAO!$Z$32*CUSTOS!$T$3</f>
        <v>0</v>
      </c>
      <c r="AA32" s="17">
        <f>TRANSICAO!$AA$32*CUSTOS!$T$3</f>
        <v>0</v>
      </c>
      <c r="AB32" s="17">
        <f>TRANSICAO!$AB$32*CUSTOS!$T$3</f>
        <v>0</v>
      </c>
      <c r="AC32" s="17">
        <f>TRANSICAO!$AC$32*CUSTOS!$T$3</f>
        <v>191.7209</v>
      </c>
      <c r="AD32" s="17">
        <f>TRANSICAO!$AD$32*CUSTOS!$T$3</f>
        <v>0</v>
      </c>
      <c r="AE32" s="17">
        <v>0</v>
      </c>
      <c r="AF32" s="17">
        <v>0</v>
      </c>
      <c r="AG32" s="17"/>
      <c r="AH32" s="17">
        <f>(1 - CUSTOS!$M$28)*17.9049</f>
        <v>17.904900000000001</v>
      </c>
      <c r="AI32" s="17">
        <f>(1 - CUSTOS!$M$28)*17.9049</f>
        <v>17.904900000000001</v>
      </c>
      <c r="AJ32" s="17">
        <f ca="1">$N$64*(1-CUSTOS!$M$28)</f>
        <v>0</v>
      </c>
      <c r="AK32" s="17">
        <f t="shared" ca="1" si="0"/>
        <v>0</v>
      </c>
      <c r="AL32" s="17"/>
      <c r="AM32" s="17"/>
      <c r="AP32" s="17">
        <f>IF((1 - CUSTOS!$M$28)&lt;&gt;0,1/(1 - CUSTOS!$M$28),1)</f>
        <v>1</v>
      </c>
    </row>
    <row r="33" spans="1:42" ht="11.25" customHeight="1" x14ac:dyDescent="0.25">
      <c r="A33" s="94"/>
      <c r="B33" s="26" t="s">
        <v>23</v>
      </c>
      <c r="C33" s="26" t="s">
        <v>41</v>
      </c>
      <c r="D33" s="26" t="s">
        <v>25</v>
      </c>
      <c r="E33" s="26" t="s">
        <v>25</v>
      </c>
      <c r="F33" s="26" t="s">
        <v>25</v>
      </c>
      <c r="G33" s="27" t="s">
        <v>78</v>
      </c>
      <c r="H33" s="27" t="s">
        <v>72</v>
      </c>
      <c r="I33" s="27">
        <f>'MERCADO TUSD'!$U$30</f>
        <v>40057.667999999998</v>
      </c>
      <c r="J33" s="15"/>
      <c r="L33" s="17">
        <f>1*(1 - CUSTOS!$M$28)</f>
        <v>1</v>
      </c>
      <c r="M33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1.43564103320897</v>
      </c>
      <c r="N33" s="17">
        <f ca="1">(+M33+O33+R33+U33+V33+W33+X33+Y33+Z33+AA33+AC33+AH33+AI33+AJ33+AK33)*CUSTOS!$M$5</f>
        <v>4.71750041033209E-12</v>
      </c>
      <c r="O33" s="17">
        <f>1 - CUSTOS!$M$28</f>
        <v>1</v>
      </c>
      <c r="P33" s="17">
        <f>1 - CUSTOS!$M$28</f>
        <v>1</v>
      </c>
      <c r="Q33" s="17">
        <f>1*(1 - CUSTOS!$M$28)</f>
        <v>1</v>
      </c>
      <c r="R33" s="17">
        <f>1 - CUSTOS!$M$28</f>
        <v>1</v>
      </c>
      <c r="S33" s="17">
        <f>1 - CUSTOS!$M$28</f>
        <v>1</v>
      </c>
      <c r="T33" s="17"/>
      <c r="U33" s="17">
        <f>TRANSICAO!$U$33*CUSTOS!$T$3</f>
        <v>0</v>
      </c>
      <c r="V33" s="17">
        <f>TRANSICAO!$V$33*CUSTOS!$T$3</f>
        <v>0</v>
      </c>
      <c r="W33" s="17">
        <f>TRANSICAO!$W$33*CUSTOS!$T$3</f>
        <v>0</v>
      </c>
      <c r="X33" s="17">
        <f>TRANSICAO!$X$33*CUSTOS!$T$3</f>
        <v>0</v>
      </c>
      <c r="Y33" s="17">
        <f>TRANSICAO!$Y$33*CUSTOS!$T$3</f>
        <v>107.5538</v>
      </c>
      <c r="Z33" s="17">
        <f>TRANSICAO!$Z$33*CUSTOS!$T$3</f>
        <v>0</v>
      </c>
      <c r="AA33" s="17">
        <f>TRANSICAO!$AA$33*CUSTOS!$T$3</f>
        <v>0</v>
      </c>
      <c r="AB33" s="17">
        <f>TRANSICAO!$AB$33*CUSTOS!$T$3</f>
        <v>0</v>
      </c>
      <c r="AC33" s="17">
        <f>TRANSICAO!$AC$33*CUSTOS!$T$3</f>
        <v>324.95080000000002</v>
      </c>
      <c r="AD33" s="17">
        <f>TRANSICAO!$AD$33*CUSTOS!$T$3</f>
        <v>0</v>
      </c>
      <c r="AE33" s="17">
        <v>0</v>
      </c>
      <c r="AF33" s="17">
        <v>0</v>
      </c>
      <c r="AG33" s="17"/>
      <c r="AH33" s="17">
        <f>(1 - CUSTOS!$M$28)*17.9049</f>
        <v>17.904900000000001</v>
      </c>
      <c r="AI33" s="17">
        <f>(1 - CUSTOS!$M$28)*17.9049</f>
        <v>17.904900000000001</v>
      </c>
      <c r="AJ33" s="17">
        <f ca="1">$N$64*(1-CUSTOS!$M$28)</f>
        <v>0</v>
      </c>
      <c r="AK33" s="17">
        <f t="shared" ca="1" si="0"/>
        <v>0</v>
      </c>
      <c r="AL33" s="17"/>
      <c r="AM33" s="17"/>
      <c r="AP33" s="17">
        <f>IF((1 - CUSTOS!$M$28)&lt;&gt;0,1/(1 - CUSTOS!$M$28),1)</f>
        <v>1</v>
      </c>
    </row>
    <row r="34" spans="1:42" ht="11.25" customHeight="1" x14ac:dyDescent="0.25">
      <c r="A34" s="94"/>
      <c r="B34" s="94" t="s">
        <v>85</v>
      </c>
      <c r="C34" s="94" t="s">
        <v>41</v>
      </c>
      <c r="D34" s="94" t="s">
        <v>88</v>
      </c>
      <c r="E34" s="94" t="s">
        <v>25</v>
      </c>
      <c r="F34" s="94" t="s">
        <v>25</v>
      </c>
      <c r="G34" s="27" t="s">
        <v>73</v>
      </c>
      <c r="H34" s="27" t="s">
        <v>72</v>
      </c>
      <c r="I34" s="27">
        <f>'MERCADO TUSD'!$U$31</f>
        <v>0</v>
      </c>
      <c r="J34" s="15"/>
      <c r="L34" s="17">
        <f>1*(1 - CUSTOS!$M$29)</f>
        <v>1</v>
      </c>
      <c r="M34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1.43564103320897</v>
      </c>
      <c r="N34" s="17">
        <f ca="1">(+M34+O34+R34+U34+V34+W34+X34+Y34+Z34+AA34+AC34+AH34+AI34+AJ34+AK34)*CUSTOS!$M$5</f>
        <v>1.3151474410332089E-11</v>
      </c>
      <c r="O34" s="17">
        <f>1 - CUSTOS!$M$29</f>
        <v>1</v>
      </c>
      <c r="P34" s="17">
        <f>1 - CUSTOS!$M$29</f>
        <v>1</v>
      </c>
      <c r="Q34" s="17">
        <f>1*(1 - CUSTOS!$M$29)</f>
        <v>1</v>
      </c>
      <c r="R34" s="17">
        <f>1 - CUSTOS!$M$29</f>
        <v>1</v>
      </c>
      <c r="S34" s="17">
        <f>1 - CUSTOS!$M$29</f>
        <v>1</v>
      </c>
      <c r="T34" s="17"/>
      <c r="U34" s="17">
        <f>TRANSICAO!$U$34*CUSTOS!$T$3</f>
        <v>0</v>
      </c>
      <c r="V34" s="17">
        <f>TRANSICAO!$V$34*CUSTOS!$T$3</f>
        <v>0</v>
      </c>
      <c r="W34" s="17">
        <f>TRANSICAO!$W$34*CUSTOS!$T$3</f>
        <v>0</v>
      </c>
      <c r="X34" s="17">
        <f>TRANSICAO!$X$34*CUSTOS!$T$3</f>
        <v>0</v>
      </c>
      <c r="Y34" s="17">
        <f>TRANSICAO!$Y$34*CUSTOS!$T$3</f>
        <v>317.2971</v>
      </c>
      <c r="Z34" s="17">
        <f>TRANSICAO!$Z$34*CUSTOS!$T$3</f>
        <v>0</v>
      </c>
      <c r="AA34" s="17">
        <f>TRANSICAO!$AA$34*CUSTOS!$T$3</f>
        <v>0</v>
      </c>
      <c r="AB34" s="17">
        <f>TRANSICAO!$AB$34*CUSTOS!$T$3</f>
        <v>0</v>
      </c>
      <c r="AC34" s="17">
        <f>TRANSICAO!$AC$34*CUSTOS!$T$3</f>
        <v>958.60490000000004</v>
      </c>
      <c r="AD34" s="17">
        <f>TRANSICAO!$AD$34*CUSTOS!$T$3</f>
        <v>0</v>
      </c>
      <c r="AE34" s="17">
        <v>0</v>
      </c>
      <c r="AF34" s="17">
        <v>0</v>
      </c>
      <c r="AG34" s="17"/>
      <c r="AH34" s="17">
        <f>(1 - CUSTOS!$M$29)*17.9049</f>
        <v>17.904900000000001</v>
      </c>
      <c r="AI34" s="17">
        <f>(1 - CUSTOS!$M$29)*17.9049</f>
        <v>17.904900000000001</v>
      </c>
      <c r="AJ34" s="17">
        <f ca="1">$N$64*(1-CUSTOS!$M$29)</f>
        <v>0</v>
      </c>
      <c r="AK34" s="17">
        <f t="shared" ca="1" si="0"/>
        <v>0</v>
      </c>
      <c r="AL34" s="17"/>
      <c r="AM34" s="17"/>
      <c r="AP34" s="17">
        <f>IF((1 - CUSTOS!$M$29)&lt;&gt;0,1/(1 - CUSTOS!$M$29),1)</f>
        <v>1</v>
      </c>
    </row>
    <row r="35" spans="1:42" ht="11.25" customHeight="1" x14ac:dyDescent="0.25">
      <c r="A35" s="94"/>
      <c r="B35" s="94"/>
      <c r="C35" s="94"/>
      <c r="D35" s="94"/>
      <c r="E35" s="94"/>
      <c r="F35" s="94"/>
      <c r="G35" s="27" t="s">
        <v>83</v>
      </c>
      <c r="H35" s="27" t="s">
        <v>72</v>
      </c>
      <c r="I35" s="27">
        <f>'MERCADO TUSD'!$U$32</f>
        <v>0</v>
      </c>
      <c r="J35" s="15"/>
      <c r="L35" s="17">
        <f>1*(1 - CUSTOS!$M$29)</f>
        <v>1</v>
      </c>
      <c r="M35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1.43564103320897</v>
      </c>
      <c r="N35" s="17">
        <f ca="1">(+M35+O35+R35+U35+V35+W35+X35+Y35+Z35+AA35+AC35+AH35+AI35+AJ35+AK35)*CUSTOS!$M$5</f>
        <v>8.0476514103320888E-12</v>
      </c>
      <c r="O35" s="17">
        <f>1 - CUSTOS!$M$29</f>
        <v>1</v>
      </c>
      <c r="P35" s="17">
        <f>1 - CUSTOS!$M$29</f>
        <v>1</v>
      </c>
      <c r="Q35" s="17">
        <f>1*(1 - CUSTOS!$M$29)</f>
        <v>1</v>
      </c>
      <c r="R35" s="17">
        <f>1 - CUSTOS!$M$29</f>
        <v>1</v>
      </c>
      <c r="S35" s="17">
        <f>1 - CUSTOS!$M$29</f>
        <v>1</v>
      </c>
      <c r="T35" s="17"/>
      <c r="U35" s="17">
        <f>TRANSICAO!$U$35*CUSTOS!$T$3</f>
        <v>0</v>
      </c>
      <c r="V35" s="17">
        <f>TRANSICAO!$V$35*CUSTOS!$T$3</f>
        <v>0</v>
      </c>
      <c r="W35" s="17">
        <f>TRANSICAO!$W$35*CUSTOS!$T$3</f>
        <v>0</v>
      </c>
      <c r="X35" s="17">
        <f>TRANSICAO!$X$35*CUSTOS!$T$3</f>
        <v>0</v>
      </c>
      <c r="Y35" s="17">
        <f>TRANSICAO!$Y$35*CUSTOS!$T$3</f>
        <v>190.357</v>
      </c>
      <c r="Z35" s="17">
        <f>TRANSICAO!$Z$35*CUSTOS!$T$3</f>
        <v>0</v>
      </c>
      <c r="AA35" s="17">
        <f>TRANSICAO!$AA$35*CUSTOS!$T$3</f>
        <v>0</v>
      </c>
      <c r="AB35" s="17">
        <f>TRANSICAO!$AB$35*CUSTOS!$T$3</f>
        <v>0</v>
      </c>
      <c r="AC35" s="17">
        <f>TRANSICAO!$AC$35*CUSTOS!$T$3</f>
        <v>575.16269999999997</v>
      </c>
      <c r="AD35" s="17">
        <f>TRANSICAO!$AD$35*CUSTOS!$T$3</f>
        <v>0</v>
      </c>
      <c r="AE35" s="17">
        <v>0</v>
      </c>
      <c r="AF35" s="17">
        <v>0</v>
      </c>
      <c r="AG35" s="17"/>
      <c r="AH35" s="17">
        <f>(1 - CUSTOS!$M$29)*17.9049</f>
        <v>17.904900000000001</v>
      </c>
      <c r="AI35" s="17">
        <f>(1 - CUSTOS!$M$29)*17.9049</f>
        <v>17.904900000000001</v>
      </c>
      <c r="AJ35" s="17">
        <f ca="1">$N$64*(1-CUSTOS!$M$29)</f>
        <v>0</v>
      </c>
      <c r="AK35" s="17">
        <f t="shared" ca="1" si="0"/>
        <v>0</v>
      </c>
      <c r="AL35" s="17"/>
      <c r="AM35" s="17"/>
      <c r="AP35" s="17">
        <f>IF((1 - CUSTOS!$M$29)&lt;&gt;0,1/(1 - CUSTOS!$M$29),1)</f>
        <v>1</v>
      </c>
    </row>
    <row r="36" spans="1:42" ht="11.25" customHeight="1" x14ac:dyDescent="0.25">
      <c r="A36" s="94"/>
      <c r="B36" s="94"/>
      <c r="C36" s="94"/>
      <c r="D36" s="94"/>
      <c r="E36" s="94"/>
      <c r="F36" s="94"/>
      <c r="G36" s="27" t="s">
        <v>74</v>
      </c>
      <c r="H36" s="27" t="s">
        <v>72</v>
      </c>
      <c r="I36" s="27">
        <f>'MERCADO TUSD'!$U$33</f>
        <v>0</v>
      </c>
      <c r="J36" s="15"/>
      <c r="L36" s="17">
        <f>1*(1 - CUSTOS!$M$29)</f>
        <v>1</v>
      </c>
      <c r="M36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1.43564103320897</v>
      </c>
      <c r="N36" s="17">
        <f ca="1">(+M36+O36+R36+U36+V36+W36+X36+Y36+Z36+AA36+AC36+AH36+AI36+AJ36+AK36)*CUSTOS!$M$5</f>
        <v>2.9438324103320894E-12</v>
      </c>
      <c r="O36" s="17">
        <f>1 - CUSTOS!$M$29</f>
        <v>1</v>
      </c>
      <c r="P36" s="17">
        <f>1 - CUSTOS!$M$29</f>
        <v>1</v>
      </c>
      <c r="Q36" s="17">
        <f>1*(1 - CUSTOS!$M$29)</f>
        <v>1</v>
      </c>
      <c r="R36" s="17">
        <f>1 - CUSTOS!$M$29</f>
        <v>1</v>
      </c>
      <c r="S36" s="17">
        <f>1 - CUSTOS!$M$29</f>
        <v>1</v>
      </c>
      <c r="T36" s="17"/>
      <c r="U36" s="17">
        <f>TRANSICAO!$U$36*CUSTOS!$T$3</f>
        <v>0</v>
      </c>
      <c r="V36" s="17">
        <f>TRANSICAO!$V$36*CUSTOS!$T$3</f>
        <v>0</v>
      </c>
      <c r="W36" s="17">
        <f>TRANSICAO!$W$36*CUSTOS!$T$3</f>
        <v>0</v>
      </c>
      <c r="X36" s="17">
        <f>TRANSICAO!$X$36*CUSTOS!$T$3</f>
        <v>0</v>
      </c>
      <c r="Y36" s="17">
        <f>TRANSICAO!$Y$36*CUSTOS!$T$3</f>
        <v>63.416899999999998</v>
      </c>
      <c r="Z36" s="17">
        <f>TRANSICAO!$Z$36*CUSTOS!$T$3</f>
        <v>0</v>
      </c>
      <c r="AA36" s="17">
        <f>TRANSICAO!$AA$36*CUSTOS!$T$3</f>
        <v>0</v>
      </c>
      <c r="AB36" s="17">
        <f>TRANSICAO!$AB$36*CUSTOS!$T$3</f>
        <v>0</v>
      </c>
      <c r="AC36" s="17">
        <f>TRANSICAO!$AC$36*CUSTOS!$T$3</f>
        <v>191.7209</v>
      </c>
      <c r="AD36" s="17">
        <f>TRANSICAO!$AD$36*CUSTOS!$T$3</f>
        <v>0</v>
      </c>
      <c r="AE36" s="17">
        <v>0</v>
      </c>
      <c r="AF36" s="17">
        <v>0</v>
      </c>
      <c r="AG36" s="17"/>
      <c r="AH36" s="17">
        <f>(1 - CUSTOS!$M$29)*17.9049</f>
        <v>17.904900000000001</v>
      </c>
      <c r="AI36" s="17">
        <f>(1 - CUSTOS!$M$29)*17.9049</f>
        <v>17.904900000000001</v>
      </c>
      <c r="AJ36" s="17">
        <f ca="1">$N$64*(1-CUSTOS!$M$29)</f>
        <v>0</v>
      </c>
      <c r="AK36" s="17">
        <f t="shared" ca="1" si="0"/>
        <v>0</v>
      </c>
      <c r="AL36" s="17"/>
      <c r="AM36" s="17"/>
      <c r="AP36" s="17">
        <f>IF((1 - CUSTOS!$M$29)&lt;&gt;0,1/(1 - CUSTOS!$M$29),1)</f>
        <v>1</v>
      </c>
    </row>
    <row r="37" spans="1:42" ht="11.25" customHeight="1" x14ac:dyDescent="0.25">
      <c r="A37" s="94"/>
      <c r="B37" s="26" t="s">
        <v>23</v>
      </c>
      <c r="C37" s="26" t="s">
        <v>41</v>
      </c>
      <c r="D37" s="26" t="s">
        <v>88</v>
      </c>
      <c r="E37" s="26" t="s">
        <v>25</v>
      </c>
      <c r="F37" s="26" t="s">
        <v>25</v>
      </c>
      <c r="G37" s="27" t="s">
        <v>78</v>
      </c>
      <c r="H37" s="27" t="s">
        <v>72</v>
      </c>
      <c r="I37" s="27">
        <f>'MERCADO TUSD'!$U$34</f>
        <v>0</v>
      </c>
      <c r="J37" s="15"/>
      <c r="L37" s="17">
        <f>1*(1 - CUSTOS!$M$29)</f>
        <v>1</v>
      </c>
      <c r="M37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1.43564103320897</v>
      </c>
      <c r="N37" s="17">
        <f ca="1">(+M37+O37+R37+U37+V37+W37+X37+Y37+Z37+AA37+AC37+AH37+AI37+AJ37+AK37)*CUSTOS!$M$5</f>
        <v>4.71750041033209E-12</v>
      </c>
      <c r="O37" s="17">
        <f>1 - CUSTOS!$M$29</f>
        <v>1</v>
      </c>
      <c r="P37" s="17">
        <f>1 - CUSTOS!$M$29</f>
        <v>1</v>
      </c>
      <c r="Q37" s="17">
        <f>1*(1 - CUSTOS!$M$29)</f>
        <v>1</v>
      </c>
      <c r="R37" s="17">
        <f>1 - CUSTOS!$M$29</f>
        <v>1</v>
      </c>
      <c r="S37" s="17">
        <f>1 - CUSTOS!$M$29</f>
        <v>1</v>
      </c>
      <c r="T37" s="17"/>
      <c r="U37" s="17">
        <f>TRANSICAO!$U$37*CUSTOS!$T$3</f>
        <v>0</v>
      </c>
      <c r="V37" s="17">
        <f>TRANSICAO!$V$37*CUSTOS!$T$3</f>
        <v>0</v>
      </c>
      <c r="W37" s="17">
        <f>TRANSICAO!$W$37*CUSTOS!$T$3</f>
        <v>0</v>
      </c>
      <c r="X37" s="17">
        <f>TRANSICAO!$X$37*CUSTOS!$T$3</f>
        <v>0</v>
      </c>
      <c r="Y37" s="17">
        <f>TRANSICAO!$Y$37*CUSTOS!$T$3</f>
        <v>107.5538</v>
      </c>
      <c r="Z37" s="17">
        <f>TRANSICAO!$Z$37*CUSTOS!$T$3</f>
        <v>0</v>
      </c>
      <c r="AA37" s="17">
        <f>TRANSICAO!$AA$37*CUSTOS!$T$3</f>
        <v>0</v>
      </c>
      <c r="AB37" s="17">
        <f>TRANSICAO!$AB$37*CUSTOS!$T$3</f>
        <v>0</v>
      </c>
      <c r="AC37" s="17">
        <f>TRANSICAO!$AC$37*CUSTOS!$T$3</f>
        <v>324.95080000000002</v>
      </c>
      <c r="AD37" s="17">
        <f>TRANSICAO!$AD$37*CUSTOS!$T$3</f>
        <v>0</v>
      </c>
      <c r="AE37" s="17">
        <v>0</v>
      </c>
      <c r="AF37" s="17">
        <v>0</v>
      </c>
      <c r="AG37" s="17"/>
      <c r="AH37" s="17">
        <f>(1 - CUSTOS!$M$29)*17.9049</f>
        <v>17.904900000000001</v>
      </c>
      <c r="AI37" s="17">
        <f>(1 - CUSTOS!$M$29)*17.9049</f>
        <v>17.904900000000001</v>
      </c>
      <c r="AJ37" s="17">
        <f ca="1">$N$64*(1-CUSTOS!$M$29)</f>
        <v>0</v>
      </c>
      <c r="AK37" s="17">
        <f t="shared" ca="1" si="0"/>
        <v>0</v>
      </c>
      <c r="AL37" s="17"/>
      <c r="AM37" s="17"/>
      <c r="AP37" s="17">
        <f>IF((1 - CUSTOS!$M$29)&lt;&gt;0,1/(1 - CUSTOS!$M$29),1)</f>
        <v>1</v>
      </c>
    </row>
    <row r="38" spans="1:42" ht="11.25" customHeight="1" x14ac:dyDescent="0.25">
      <c r="A38" s="94"/>
      <c r="B38" s="94" t="s">
        <v>85</v>
      </c>
      <c r="C38" s="94" t="s">
        <v>41</v>
      </c>
      <c r="D38" s="94" t="s">
        <v>89</v>
      </c>
      <c r="E38" s="94" t="s">
        <v>25</v>
      </c>
      <c r="F38" s="94" t="s">
        <v>25</v>
      </c>
      <c r="G38" s="27" t="s">
        <v>73</v>
      </c>
      <c r="H38" s="27" t="s">
        <v>72</v>
      </c>
      <c r="I38" s="27">
        <f>'MERCADO TUSD'!$U$35</f>
        <v>0</v>
      </c>
      <c r="J38" s="15"/>
      <c r="L38" s="17">
        <f>1*(1 - CUSTOS!$M$30)</f>
        <v>1</v>
      </c>
      <c r="M38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1.43564103320897</v>
      </c>
      <c r="N38" s="17">
        <f ca="1">(+M38+O38+R38+U38+V38+W38+X38+Y38+Z38+AA38+AC38+AH38+AI38+AJ38+AK38)*CUSTOS!$M$5</f>
        <v>1.3151474410332089E-11</v>
      </c>
      <c r="O38" s="17">
        <f>1 - CUSTOS!$M$30</f>
        <v>1</v>
      </c>
      <c r="P38" s="17">
        <f>1 - CUSTOS!$M$30</f>
        <v>1</v>
      </c>
      <c r="Q38" s="17">
        <f>1*(1 - CUSTOS!$M$30)</f>
        <v>1</v>
      </c>
      <c r="R38" s="17">
        <f>1 - CUSTOS!$M$30</f>
        <v>1</v>
      </c>
      <c r="S38" s="17">
        <f>1 - CUSTOS!$M$30</f>
        <v>1</v>
      </c>
      <c r="T38" s="17"/>
      <c r="U38" s="17">
        <f>TRANSICAO!$U$38*CUSTOS!$T$3</f>
        <v>0</v>
      </c>
      <c r="V38" s="17">
        <f>TRANSICAO!$V$38*CUSTOS!$T$3</f>
        <v>0</v>
      </c>
      <c r="W38" s="17">
        <f>TRANSICAO!$W$38*CUSTOS!$T$3</f>
        <v>0</v>
      </c>
      <c r="X38" s="17">
        <f>TRANSICAO!$X$38*CUSTOS!$T$3</f>
        <v>0</v>
      </c>
      <c r="Y38" s="17">
        <f>TRANSICAO!$Y$38*CUSTOS!$T$3</f>
        <v>317.2971</v>
      </c>
      <c r="Z38" s="17">
        <f>TRANSICAO!$Z$38*CUSTOS!$T$3</f>
        <v>0</v>
      </c>
      <c r="AA38" s="17">
        <f>TRANSICAO!$AA$38*CUSTOS!$T$3</f>
        <v>0</v>
      </c>
      <c r="AB38" s="17">
        <f>TRANSICAO!$AB$38*CUSTOS!$T$3</f>
        <v>0</v>
      </c>
      <c r="AC38" s="17">
        <f>TRANSICAO!$AC$38*CUSTOS!$T$3</f>
        <v>958.60490000000004</v>
      </c>
      <c r="AD38" s="17">
        <f>TRANSICAO!$AD$38*CUSTOS!$T$3</f>
        <v>0</v>
      </c>
      <c r="AE38" s="17">
        <v>0</v>
      </c>
      <c r="AF38" s="17">
        <v>0</v>
      </c>
      <c r="AG38" s="17"/>
      <c r="AH38" s="17">
        <f>(1 - CUSTOS!$M$30)*17.9049</f>
        <v>17.904900000000001</v>
      </c>
      <c r="AI38" s="17">
        <f>(1 - CUSTOS!$M$30)*17.9049</f>
        <v>17.904900000000001</v>
      </c>
      <c r="AJ38" s="17">
        <f ca="1">$N$64*(1-CUSTOS!$M$30)</f>
        <v>0</v>
      </c>
      <c r="AK38" s="17">
        <f t="shared" ca="1" si="0"/>
        <v>0</v>
      </c>
      <c r="AL38" s="17"/>
      <c r="AM38" s="17"/>
      <c r="AP38" s="17">
        <f>IF((1 - CUSTOS!$M$30)&lt;&gt;0,1/(1 - CUSTOS!$M$30),1)</f>
        <v>1</v>
      </c>
    </row>
    <row r="39" spans="1:42" ht="11.25" customHeight="1" x14ac:dyDescent="0.25">
      <c r="A39" s="94"/>
      <c r="B39" s="94"/>
      <c r="C39" s="94"/>
      <c r="D39" s="94"/>
      <c r="E39" s="94"/>
      <c r="F39" s="94"/>
      <c r="G39" s="27" t="s">
        <v>83</v>
      </c>
      <c r="H39" s="27" t="s">
        <v>72</v>
      </c>
      <c r="I39" s="27">
        <f>'MERCADO TUSD'!$U$36</f>
        <v>0</v>
      </c>
      <c r="J39" s="15"/>
      <c r="L39" s="17">
        <f>1*(1 - CUSTOS!$M$30)</f>
        <v>1</v>
      </c>
      <c r="M39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1.43564103320897</v>
      </c>
      <c r="N39" s="17">
        <f ca="1">(+M39+O39+R39+U39+V39+W39+X39+Y39+Z39+AA39+AC39+AH39+AI39+AJ39+AK39)*CUSTOS!$M$5</f>
        <v>8.0476514103320888E-12</v>
      </c>
      <c r="O39" s="17">
        <f>1 - CUSTOS!$M$30</f>
        <v>1</v>
      </c>
      <c r="P39" s="17">
        <f>1 - CUSTOS!$M$30</f>
        <v>1</v>
      </c>
      <c r="Q39" s="17">
        <f>1*(1 - CUSTOS!$M$30)</f>
        <v>1</v>
      </c>
      <c r="R39" s="17">
        <f>1 - CUSTOS!$M$30</f>
        <v>1</v>
      </c>
      <c r="S39" s="17">
        <f>1 - CUSTOS!$M$30</f>
        <v>1</v>
      </c>
      <c r="T39" s="17"/>
      <c r="U39" s="17">
        <f>TRANSICAO!$U$39*CUSTOS!$T$3</f>
        <v>0</v>
      </c>
      <c r="V39" s="17">
        <f>TRANSICAO!$V$39*CUSTOS!$T$3</f>
        <v>0</v>
      </c>
      <c r="W39" s="17">
        <f>TRANSICAO!$W$39*CUSTOS!$T$3</f>
        <v>0</v>
      </c>
      <c r="X39" s="17">
        <f>TRANSICAO!$X$39*CUSTOS!$T$3</f>
        <v>0</v>
      </c>
      <c r="Y39" s="17">
        <f>TRANSICAO!$Y$39*CUSTOS!$T$3</f>
        <v>190.357</v>
      </c>
      <c r="Z39" s="17">
        <f>TRANSICAO!$Z$39*CUSTOS!$T$3</f>
        <v>0</v>
      </c>
      <c r="AA39" s="17">
        <f>TRANSICAO!$AA$39*CUSTOS!$T$3</f>
        <v>0</v>
      </c>
      <c r="AB39" s="17">
        <f>TRANSICAO!$AB$39*CUSTOS!$T$3</f>
        <v>0</v>
      </c>
      <c r="AC39" s="17">
        <f>TRANSICAO!$AC$39*CUSTOS!$T$3</f>
        <v>575.16269999999997</v>
      </c>
      <c r="AD39" s="17">
        <f>TRANSICAO!$AD$39*CUSTOS!$T$3</f>
        <v>0</v>
      </c>
      <c r="AE39" s="17">
        <v>0</v>
      </c>
      <c r="AF39" s="17">
        <v>0</v>
      </c>
      <c r="AG39" s="17"/>
      <c r="AH39" s="17">
        <f>(1 - CUSTOS!$M$30)*17.9049</f>
        <v>17.904900000000001</v>
      </c>
      <c r="AI39" s="17">
        <f>(1 - CUSTOS!$M$30)*17.9049</f>
        <v>17.904900000000001</v>
      </c>
      <c r="AJ39" s="17">
        <f ca="1">$N$64*(1-CUSTOS!$M$30)</f>
        <v>0</v>
      </c>
      <c r="AK39" s="17">
        <f t="shared" ca="1" si="0"/>
        <v>0</v>
      </c>
      <c r="AL39" s="17"/>
      <c r="AM39" s="17"/>
      <c r="AP39" s="17">
        <f>IF((1 - CUSTOS!$M$30)&lt;&gt;0,1/(1 - CUSTOS!$M$30),1)</f>
        <v>1</v>
      </c>
    </row>
    <row r="40" spans="1:42" ht="11.25" customHeight="1" x14ac:dyDescent="0.25">
      <c r="A40" s="94"/>
      <c r="B40" s="94"/>
      <c r="C40" s="94"/>
      <c r="D40" s="94"/>
      <c r="E40" s="94"/>
      <c r="F40" s="94"/>
      <c r="G40" s="27" t="s">
        <v>74</v>
      </c>
      <c r="H40" s="27" t="s">
        <v>72</v>
      </c>
      <c r="I40" s="27">
        <f>'MERCADO TUSD'!$U$37</f>
        <v>0</v>
      </c>
      <c r="J40" s="15"/>
      <c r="L40" s="17">
        <f>1*(1 - CUSTOS!$M$30)</f>
        <v>1</v>
      </c>
      <c r="M40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1.43564103320897</v>
      </c>
      <c r="N40" s="17">
        <f ca="1">(+M40+O40+R40+U40+V40+W40+X40+Y40+Z40+AA40+AC40+AH40+AI40+AJ40+AK40)*CUSTOS!$M$5</f>
        <v>2.9438324103320894E-12</v>
      </c>
      <c r="O40" s="17">
        <f>1 - CUSTOS!$M$30</f>
        <v>1</v>
      </c>
      <c r="P40" s="17">
        <f>1 - CUSTOS!$M$30</f>
        <v>1</v>
      </c>
      <c r="Q40" s="17">
        <f>1*(1 - CUSTOS!$M$30)</f>
        <v>1</v>
      </c>
      <c r="R40" s="17">
        <f>1 - CUSTOS!$M$30</f>
        <v>1</v>
      </c>
      <c r="S40" s="17">
        <f>1 - CUSTOS!$M$30</f>
        <v>1</v>
      </c>
      <c r="T40" s="17"/>
      <c r="U40" s="17">
        <f>TRANSICAO!$U$40*CUSTOS!$T$3</f>
        <v>0</v>
      </c>
      <c r="V40" s="17">
        <f>TRANSICAO!$V$40*CUSTOS!$T$3</f>
        <v>0</v>
      </c>
      <c r="W40" s="17">
        <f>TRANSICAO!$W$40*CUSTOS!$T$3</f>
        <v>0</v>
      </c>
      <c r="X40" s="17">
        <f>TRANSICAO!$X$40*CUSTOS!$T$3</f>
        <v>0</v>
      </c>
      <c r="Y40" s="17">
        <f>TRANSICAO!$Y$40*CUSTOS!$T$3</f>
        <v>63.416899999999998</v>
      </c>
      <c r="Z40" s="17">
        <f>TRANSICAO!$Z$40*CUSTOS!$T$3</f>
        <v>0</v>
      </c>
      <c r="AA40" s="17">
        <f>TRANSICAO!$AA$40*CUSTOS!$T$3</f>
        <v>0</v>
      </c>
      <c r="AB40" s="17">
        <f>TRANSICAO!$AB$40*CUSTOS!$T$3</f>
        <v>0</v>
      </c>
      <c r="AC40" s="17">
        <f>TRANSICAO!$AC$40*CUSTOS!$T$3</f>
        <v>191.7209</v>
      </c>
      <c r="AD40" s="17">
        <f>TRANSICAO!$AD$40*CUSTOS!$T$3</f>
        <v>0</v>
      </c>
      <c r="AE40" s="17">
        <v>0</v>
      </c>
      <c r="AF40" s="17">
        <v>0</v>
      </c>
      <c r="AG40" s="17"/>
      <c r="AH40" s="17">
        <f>(1 - CUSTOS!$M$30)*17.9049</f>
        <v>17.904900000000001</v>
      </c>
      <c r="AI40" s="17">
        <f>(1 - CUSTOS!$M$30)*17.9049</f>
        <v>17.904900000000001</v>
      </c>
      <c r="AJ40" s="17">
        <f ca="1">$N$64*(1-CUSTOS!$M$30)</f>
        <v>0</v>
      </c>
      <c r="AK40" s="17">
        <f t="shared" ca="1" si="0"/>
        <v>0</v>
      </c>
      <c r="AL40" s="17"/>
      <c r="AM40" s="17"/>
      <c r="AP40" s="17">
        <f>IF((1 - CUSTOS!$M$30)&lt;&gt;0,1/(1 - CUSTOS!$M$30),1)</f>
        <v>1</v>
      </c>
    </row>
    <row r="41" spans="1:42" ht="11.25" customHeight="1" x14ac:dyDescent="0.25">
      <c r="A41" s="94"/>
      <c r="B41" s="26" t="s">
        <v>23</v>
      </c>
      <c r="C41" s="26" t="s">
        <v>41</v>
      </c>
      <c r="D41" s="26" t="s">
        <v>89</v>
      </c>
      <c r="E41" s="26" t="s">
        <v>25</v>
      </c>
      <c r="F41" s="26" t="s">
        <v>25</v>
      </c>
      <c r="G41" s="27" t="s">
        <v>78</v>
      </c>
      <c r="H41" s="27" t="s">
        <v>72</v>
      </c>
      <c r="I41" s="27">
        <f>'MERCADO TUSD'!$U$38</f>
        <v>0</v>
      </c>
      <c r="J41" s="15"/>
      <c r="L41" s="17">
        <f>1*(1 - CUSTOS!$M$30)</f>
        <v>1</v>
      </c>
      <c r="M41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1.43564103320897</v>
      </c>
      <c r="N41" s="17">
        <f ca="1">(+M41+O41+R41+U41+V41+W41+X41+Y41+Z41+AA41+AC41+AH41+AI41+AJ41+AK41)*CUSTOS!$M$5</f>
        <v>4.71750041033209E-12</v>
      </c>
      <c r="O41" s="17">
        <f>1 - CUSTOS!$M$30</f>
        <v>1</v>
      </c>
      <c r="P41" s="17">
        <f>1 - CUSTOS!$M$30</f>
        <v>1</v>
      </c>
      <c r="Q41" s="17">
        <f>1*(1 - CUSTOS!$M$30)</f>
        <v>1</v>
      </c>
      <c r="R41" s="17">
        <f>1 - CUSTOS!$M$30</f>
        <v>1</v>
      </c>
      <c r="S41" s="17">
        <f>1 - CUSTOS!$M$30</f>
        <v>1</v>
      </c>
      <c r="T41" s="17"/>
      <c r="U41" s="17">
        <f>TRANSICAO!$U$41*CUSTOS!$T$3</f>
        <v>0</v>
      </c>
      <c r="V41" s="17">
        <f>TRANSICAO!$V$41*CUSTOS!$T$3</f>
        <v>0</v>
      </c>
      <c r="W41" s="17">
        <f>TRANSICAO!$W$41*CUSTOS!$T$3</f>
        <v>0</v>
      </c>
      <c r="X41" s="17">
        <f>TRANSICAO!$X$41*CUSTOS!$T$3</f>
        <v>0</v>
      </c>
      <c r="Y41" s="17">
        <f>TRANSICAO!$Y$41*CUSTOS!$T$3</f>
        <v>107.5538</v>
      </c>
      <c r="Z41" s="17">
        <f>TRANSICAO!$Z$41*CUSTOS!$T$3</f>
        <v>0</v>
      </c>
      <c r="AA41" s="17">
        <f>TRANSICAO!$AA$41*CUSTOS!$T$3</f>
        <v>0</v>
      </c>
      <c r="AB41" s="17">
        <f>TRANSICAO!$AB$41*CUSTOS!$T$3</f>
        <v>0</v>
      </c>
      <c r="AC41" s="17">
        <f>TRANSICAO!$AC$41*CUSTOS!$T$3</f>
        <v>324.95080000000002</v>
      </c>
      <c r="AD41" s="17">
        <f>TRANSICAO!$AD$41*CUSTOS!$T$3</f>
        <v>0</v>
      </c>
      <c r="AE41" s="17">
        <v>0</v>
      </c>
      <c r="AF41" s="17">
        <v>0</v>
      </c>
      <c r="AG41" s="17"/>
      <c r="AH41" s="17">
        <f>(1 - CUSTOS!$M$30)*17.9049</f>
        <v>17.904900000000001</v>
      </c>
      <c r="AI41" s="17">
        <f>(1 - CUSTOS!$M$30)*17.9049</f>
        <v>17.904900000000001</v>
      </c>
      <c r="AJ41" s="17">
        <f ca="1">$N$64*(1-CUSTOS!$M$30)</f>
        <v>0</v>
      </c>
      <c r="AK41" s="17">
        <f t="shared" ca="1" si="0"/>
        <v>0</v>
      </c>
      <c r="AL41" s="17"/>
      <c r="AM41" s="17"/>
      <c r="AP41" s="17">
        <f>IF((1 - CUSTOS!$M$30)&lt;&gt;0,1/(1 - CUSTOS!$M$30),1)</f>
        <v>1</v>
      </c>
    </row>
    <row r="42" spans="1:42" ht="11.25" customHeight="1" x14ac:dyDescent="0.25">
      <c r="A42" s="94"/>
      <c r="B42" s="94" t="s">
        <v>87</v>
      </c>
      <c r="C42" s="94" t="s">
        <v>41</v>
      </c>
      <c r="D42" s="26" t="s">
        <v>25</v>
      </c>
      <c r="E42" s="26" t="s">
        <v>25</v>
      </c>
      <c r="F42" s="26" t="s">
        <v>25</v>
      </c>
      <c r="G42" s="27" t="s">
        <v>78</v>
      </c>
      <c r="H42" s="27" t="s">
        <v>72</v>
      </c>
      <c r="I42" s="27">
        <f>'MERCADO TUSD'!$U$39</f>
        <v>0</v>
      </c>
      <c r="J42" s="15"/>
      <c r="L42" s="17">
        <f>1*(1 - CUSTOS!$M$28)</f>
        <v>1</v>
      </c>
      <c r="M42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1.43564103320897</v>
      </c>
      <c r="N42" s="17">
        <f ca="1">(+M42+O42+R42+U42+V42+W42+X42+Y42+Z42+AA42+AC42+AH42+AI42+AJ42+AK42)*CUSTOS!$M$5</f>
        <v>4.71750041033209E-12</v>
      </c>
      <c r="O42" s="17">
        <f>1 - CUSTOS!$M$28</f>
        <v>1</v>
      </c>
      <c r="P42" s="17">
        <f>1 - CUSTOS!$M$28</f>
        <v>1</v>
      </c>
      <c r="Q42" s="17">
        <f>1*(1 - CUSTOS!$M$28)</f>
        <v>1</v>
      </c>
      <c r="R42" s="17">
        <f>1 - CUSTOS!$M$28</f>
        <v>1</v>
      </c>
      <c r="S42" s="17">
        <f>1 - CUSTOS!$M$28</f>
        <v>1</v>
      </c>
      <c r="T42" s="17"/>
      <c r="U42" s="17">
        <f>TRANSICAO!$U$42*CUSTOS!$T$3</f>
        <v>0</v>
      </c>
      <c r="V42" s="17">
        <f>TRANSICAO!$V$42*CUSTOS!$T$3</f>
        <v>0</v>
      </c>
      <c r="W42" s="17">
        <f>TRANSICAO!$W$42*CUSTOS!$T$3</f>
        <v>0</v>
      </c>
      <c r="X42" s="17">
        <f>TRANSICAO!$X$42*CUSTOS!$T$3</f>
        <v>0</v>
      </c>
      <c r="Y42" s="17">
        <f>TRANSICAO!$Y$42*CUSTOS!$T$3</f>
        <v>107.5538</v>
      </c>
      <c r="Z42" s="17">
        <f>TRANSICAO!$Z$42*CUSTOS!$T$3</f>
        <v>0</v>
      </c>
      <c r="AA42" s="17">
        <f>TRANSICAO!$AA$42*CUSTOS!$T$3</f>
        <v>0</v>
      </c>
      <c r="AB42" s="17">
        <f>TRANSICAO!$AB$42*CUSTOS!$T$3</f>
        <v>0</v>
      </c>
      <c r="AC42" s="17">
        <f>TRANSICAO!$AC$42*CUSTOS!$T$3</f>
        <v>324.95080000000002</v>
      </c>
      <c r="AD42" s="17">
        <f>TRANSICAO!$AD$42*CUSTOS!$T$3</f>
        <v>0</v>
      </c>
      <c r="AE42" s="17">
        <v>0</v>
      </c>
      <c r="AF42" s="17">
        <v>0</v>
      </c>
      <c r="AG42" s="17"/>
      <c r="AH42" s="17">
        <f>(1 - CUSTOS!$M$28)*17.9049</f>
        <v>17.904900000000001</v>
      </c>
      <c r="AI42" s="17">
        <f>(1 - CUSTOS!$M$28)*17.9049</f>
        <v>17.904900000000001</v>
      </c>
      <c r="AJ42" s="17">
        <f ca="1">$N$64*(1-CUSTOS!$M$28)</f>
        <v>0</v>
      </c>
      <c r="AK42" s="17">
        <f t="shared" ca="1" si="0"/>
        <v>0</v>
      </c>
      <c r="AL42" s="17"/>
      <c r="AM42" s="17"/>
      <c r="AP42" s="17">
        <f>IF((1 - CUSTOS!$M$28)&lt;&gt;0,1/(1 - CUSTOS!$M$28),1)</f>
        <v>1</v>
      </c>
    </row>
    <row r="43" spans="1:42" ht="11.25" customHeight="1" x14ac:dyDescent="0.25">
      <c r="A43" s="94"/>
      <c r="B43" s="94"/>
      <c r="C43" s="94"/>
      <c r="D43" s="26" t="s">
        <v>88</v>
      </c>
      <c r="E43" s="26" t="s">
        <v>25</v>
      </c>
      <c r="F43" s="26" t="s">
        <v>25</v>
      </c>
      <c r="G43" s="27" t="s">
        <v>78</v>
      </c>
      <c r="H43" s="27" t="s">
        <v>72</v>
      </c>
      <c r="I43" s="27">
        <f>'MERCADO TUSD'!$U$40</f>
        <v>0</v>
      </c>
      <c r="J43" s="15"/>
      <c r="L43" s="17">
        <f>1*(1 - CUSTOS!$M$29)</f>
        <v>1</v>
      </c>
      <c r="M43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1.43564103320897</v>
      </c>
      <c r="N43" s="17">
        <f ca="1">(+M43+O43+R43+U43+V43+W43+X43+Y43+Z43+AA43+AC43+AH43+AI43+AJ43+AK43)*CUSTOS!$M$5</f>
        <v>4.71750041033209E-12</v>
      </c>
      <c r="O43" s="17">
        <f>1 - CUSTOS!$M$29</f>
        <v>1</v>
      </c>
      <c r="P43" s="17">
        <f>1 - CUSTOS!$M$29</f>
        <v>1</v>
      </c>
      <c r="Q43" s="17">
        <f>1*(1 - CUSTOS!$M$29)</f>
        <v>1</v>
      </c>
      <c r="R43" s="17">
        <f>1 - CUSTOS!$M$29</f>
        <v>1</v>
      </c>
      <c r="S43" s="17">
        <f>1 - CUSTOS!$M$29</f>
        <v>1</v>
      </c>
      <c r="T43" s="17"/>
      <c r="U43" s="17">
        <f>TRANSICAO!$U$43*CUSTOS!$T$3</f>
        <v>0</v>
      </c>
      <c r="V43" s="17">
        <f>TRANSICAO!$V$43*CUSTOS!$T$3</f>
        <v>0</v>
      </c>
      <c r="W43" s="17">
        <f>TRANSICAO!$W$43*CUSTOS!$T$3</f>
        <v>0</v>
      </c>
      <c r="X43" s="17">
        <f>TRANSICAO!$X$43*CUSTOS!$T$3</f>
        <v>0</v>
      </c>
      <c r="Y43" s="17">
        <f>TRANSICAO!$Y$43*CUSTOS!$T$3</f>
        <v>107.5538</v>
      </c>
      <c r="Z43" s="17">
        <f>TRANSICAO!$Z$43*CUSTOS!$T$3</f>
        <v>0</v>
      </c>
      <c r="AA43" s="17">
        <f>TRANSICAO!$AA$43*CUSTOS!$T$3</f>
        <v>0</v>
      </c>
      <c r="AB43" s="17">
        <f>TRANSICAO!$AB$43*CUSTOS!$T$3</f>
        <v>0</v>
      </c>
      <c r="AC43" s="17">
        <f>TRANSICAO!$AC$43*CUSTOS!$T$3</f>
        <v>324.95080000000002</v>
      </c>
      <c r="AD43" s="17">
        <f>TRANSICAO!$AD$43*CUSTOS!$T$3</f>
        <v>0</v>
      </c>
      <c r="AE43" s="17">
        <v>0</v>
      </c>
      <c r="AF43" s="17">
        <v>0</v>
      </c>
      <c r="AG43" s="17"/>
      <c r="AH43" s="17">
        <f>(1 - CUSTOS!$M$29)*17.9049</f>
        <v>17.904900000000001</v>
      </c>
      <c r="AI43" s="17">
        <f>(1 - CUSTOS!$M$29)*17.9049</f>
        <v>17.904900000000001</v>
      </c>
      <c r="AJ43" s="17">
        <f ca="1">$N$64*(1-CUSTOS!$M$29)</f>
        <v>0</v>
      </c>
      <c r="AK43" s="17">
        <f t="shared" ca="1" si="0"/>
        <v>0</v>
      </c>
      <c r="AL43" s="17"/>
      <c r="AM43" s="17"/>
      <c r="AP43" s="17">
        <f>IF((1 - CUSTOS!$M$29)&lt;&gt;0,1/(1 - CUSTOS!$M$29),1)</f>
        <v>1</v>
      </c>
    </row>
    <row r="44" spans="1:42" ht="11.25" customHeight="1" x14ac:dyDescent="0.25">
      <c r="A44" s="94"/>
      <c r="B44" s="94"/>
      <c r="C44" s="94"/>
      <c r="D44" s="26" t="s">
        <v>89</v>
      </c>
      <c r="E44" s="26" t="s">
        <v>25</v>
      </c>
      <c r="F44" s="26" t="s">
        <v>25</v>
      </c>
      <c r="G44" s="27" t="s">
        <v>78</v>
      </c>
      <c r="H44" s="27" t="s">
        <v>72</v>
      </c>
      <c r="I44" s="27">
        <f>'MERCADO TUSD'!$U$41</f>
        <v>0</v>
      </c>
      <c r="J44" s="15"/>
      <c r="L44" s="17">
        <f>1*(1 - CUSTOS!$M$30)</f>
        <v>1</v>
      </c>
      <c r="M44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1.43564103320897</v>
      </c>
      <c r="N44" s="17">
        <f ca="1">(+M44+O44+R44+U44+V44+W44+X44+Y44+Z44+AA44+AC44+AH44+AI44+AJ44+AK44)*CUSTOS!$M$5</f>
        <v>4.71750041033209E-12</v>
      </c>
      <c r="O44" s="17">
        <f>1 - CUSTOS!$M$30</f>
        <v>1</v>
      </c>
      <c r="P44" s="17">
        <f>1 - CUSTOS!$M$30</f>
        <v>1</v>
      </c>
      <c r="Q44" s="17">
        <f>1*(1 - CUSTOS!$M$30)</f>
        <v>1</v>
      </c>
      <c r="R44" s="17">
        <f>1 - CUSTOS!$M$30</f>
        <v>1</v>
      </c>
      <c r="S44" s="17">
        <f>1 - CUSTOS!$M$30</f>
        <v>1</v>
      </c>
      <c r="T44" s="17"/>
      <c r="U44" s="17">
        <f>TRANSICAO!$U$44*CUSTOS!$T$3</f>
        <v>0</v>
      </c>
      <c r="V44" s="17">
        <f>TRANSICAO!$V$44*CUSTOS!$T$3</f>
        <v>0</v>
      </c>
      <c r="W44" s="17">
        <f>TRANSICAO!$W$44*CUSTOS!$T$3</f>
        <v>0</v>
      </c>
      <c r="X44" s="17">
        <f>TRANSICAO!$X$44*CUSTOS!$T$3</f>
        <v>0</v>
      </c>
      <c r="Y44" s="17">
        <f>TRANSICAO!$Y$44*CUSTOS!$T$3</f>
        <v>107.5538</v>
      </c>
      <c r="Z44" s="17">
        <f>TRANSICAO!$Z$44*CUSTOS!$T$3</f>
        <v>0</v>
      </c>
      <c r="AA44" s="17">
        <f>TRANSICAO!$AA$44*CUSTOS!$T$3</f>
        <v>0</v>
      </c>
      <c r="AB44" s="17">
        <f>TRANSICAO!$AB$44*CUSTOS!$T$3</f>
        <v>0</v>
      </c>
      <c r="AC44" s="17">
        <f>TRANSICAO!$AC$44*CUSTOS!$T$3</f>
        <v>324.95080000000002</v>
      </c>
      <c r="AD44" s="17">
        <f>TRANSICAO!$AD$44*CUSTOS!$T$3</f>
        <v>0</v>
      </c>
      <c r="AE44" s="17">
        <v>0</v>
      </c>
      <c r="AF44" s="17">
        <v>0</v>
      </c>
      <c r="AG44" s="17"/>
      <c r="AH44" s="17">
        <f>(1 - CUSTOS!$M$30)*17.9049</f>
        <v>17.904900000000001</v>
      </c>
      <c r="AI44" s="17">
        <f>(1 - CUSTOS!$M$30)*17.9049</f>
        <v>17.904900000000001</v>
      </c>
      <c r="AJ44" s="17">
        <f ca="1">$N$64*(1-CUSTOS!$M$30)</f>
        <v>0</v>
      </c>
      <c r="AK44" s="17">
        <f t="shared" ca="1" si="0"/>
        <v>0</v>
      </c>
      <c r="AL44" s="17"/>
      <c r="AM44" s="17"/>
      <c r="AP44" s="17">
        <f>IF((1 - CUSTOS!$M$30)&lt;&gt;0,1/(1 - CUSTOS!$M$30),1)</f>
        <v>1</v>
      </c>
    </row>
    <row r="45" spans="1:42" ht="11.25" customHeight="1" x14ac:dyDescent="0.25">
      <c r="A45" s="94" t="s">
        <v>33</v>
      </c>
      <c r="B45" s="94" t="s">
        <v>85</v>
      </c>
      <c r="C45" s="94" t="s">
        <v>25</v>
      </c>
      <c r="D45" s="94" t="s">
        <v>25</v>
      </c>
      <c r="E45" s="94" t="s">
        <v>25</v>
      </c>
      <c r="F45" s="94" t="s">
        <v>25</v>
      </c>
      <c r="G45" s="27" t="s">
        <v>73</v>
      </c>
      <c r="H45" s="27" t="s">
        <v>72</v>
      </c>
      <c r="I45" s="27">
        <f>'MERCADO TUSD'!$U$42</f>
        <v>0</v>
      </c>
      <c r="J45" s="15"/>
      <c r="L45" s="17">
        <f>1*(1 - CUSTOS!$M$31)</f>
        <v>1</v>
      </c>
      <c r="M45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1.43564103320897</v>
      </c>
      <c r="N45" s="17">
        <f ca="1">(+M45+O45+R45+U45+V45+W45+X45+Y45+Z45+AA45+AC45+AH45+AI45+AJ45+AK45)*CUSTOS!$M$5</f>
        <v>1.531479041033209E-11</v>
      </c>
      <c r="O45" s="17">
        <f>1 - CUSTOS!$M$31</f>
        <v>1</v>
      </c>
      <c r="P45" s="17">
        <f>1 - CUSTOS!$M$31</f>
        <v>1</v>
      </c>
      <c r="Q45" s="17">
        <f>1*(1 - CUSTOS!$M$31)</f>
        <v>1</v>
      </c>
      <c r="R45" s="17">
        <f>1 - CUSTOS!$M$31</f>
        <v>1</v>
      </c>
      <c r="S45" s="17">
        <f>1 - CUSTOS!$M$31</f>
        <v>1</v>
      </c>
      <c r="T45" s="17"/>
      <c r="U45" s="17">
        <f>TRANSICAO!$U$45*CUSTOS!$T$3</f>
        <v>0</v>
      </c>
      <c r="V45" s="17">
        <f>TRANSICAO!$V$45*CUSTOS!$T$3</f>
        <v>0</v>
      </c>
      <c r="W45" s="17">
        <f>TRANSICAO!$W$45*CUSTOS!$T$3</f>
        <v>0</v>
      </c>
      <c r="X45" s="17">
        <f>TRANSICAO!$X$45*CUSTOS!$T$3</f>
        <v>0</v>
      </c>
      <c r="Y45" s="17">
        <f>TRANSICAO!$Y$45*CUSTOS!$T$3</f>
        <v>371.15370000000001</v>
      </c>
      <c r="Z45" s="17">
        <f>TRANSICAO!$Z$45*CUSTOS!$T$3</f>
        <v>0</v>
      </c>
      <c r="AA45" s="17">
        <f>TRANSICAO!$AA$45*CUSTOS!$T$3</f>
        <v>0</v>
      </c>
      <c r="AB45" s="17">
        <f>TRANSICAO!$AB$45*CUSTOS!$T$3</f>
        <v>0</v>
      </c>
      <c r="AC45" s="17">
        <f>TRANSICAO!$AC$45*CUSTOS!$T$3</f>
        <v>1121.0799</v>
      </c>
      <c r="AD45" s="17">
        <f>TRANSICAO!$AD$45*CUSTOS!$T$3</f>
        <v>0</v>
      </c>
      <c r="AE45" s="17">
        <v>0</v>
      </c>
      <c r="AF45" s="17">
        <v>0</v>
      </c>
      <c r="AG45" s="17"/>
      <c r="AH45" s="17">
        <f>(1 - CUSTOS!$M$31)*17.9049</f>
        <v>17.904900000000001</v>
      </c>
      <c r="AI45" s="17">
        <f>(1 - CUSTOS!$M$31)*17.9049</f>
        <v>17.904900000000001</v>
      </c>
      <c r="AJ45" s="17">
        <f ca="1">$N$64*(1-CUSTOS!$M$31)</f>
        <v>0</v>
      </c>
      <c r="AK45" s="17">
        <f t="shared" ca="1" si="0"/>
        <v>0</v>
      </c>
      <c r="AL45" s="17"/>
      <c r="AM45" s="17"/>
      <c r="AP45" s="17">
        <f>IF((1 - CUSTOS!$M$31)&lt;&gt;0,1/(1 - CUSTOS!$M$31),1)</f>
        <v>1</v>
      </c>
    </row>
    <row r="46" spans="1:42" ht="11.25" customHeight="1" x14ac:dyDescent="0.25">
      <c r="A46" s="94"/>
      <c r="B46" s="94"/>
      <c r="C46" s="94"/>
      <c r="D46" s="94"/>
      <c r="E46" s="94"/>
      <c r="F46" s="94"/>
      <c r="G46" s="27" t="s">
        <v>83</v>
      </c>
      <c r="H46" s="27" t="s">
        <v>72</v>
      </c>
      <c r="I46" s="27">
        <f>'MERCADO TUSD'!$U$43</f>
        <v>0</v>
      </c>
      <c r="J46" s="15"/>
      <c r="L46" s="17">
        <f>1*(1 - CUSTOS!$M$31)</f>
        <v>1</v>
      </c>
      <c r="M46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1.43564103320897</v>
      </c>
      <c r="N46" s="17">
        <f ca="1">(+M46+O46+R46+U46+V46+W46+X46+Y46+Z46+AA46+AC46+AH46+AI46+AJ46+AK46)*CUSTOS!$M$5</f>
        <v>9.3454304103320892E-12</v>
      </c>
      <c r="O46" s="17">
        <f>1 - CUSTOS!$M$31</f>
        <v>1</v>
      </c>
      <c r="P46" s="17">
        <f>1 - CUSTOS!$M$31</f>
        <v>1</v>
      </c>
      <c r="Q46" s="17">
        <f>1*(1 - CUSTOS!$M$31)</f>
        <v>1</v>
      </c>
      <c r="R46" s="17">
        <f>1 - CUSTOS!$M$31</f>
        <v>1</v>
      </c>
      <c r="S46" s="17">
        <f>1 - CUSTOS!$M$31</f>
        <v>1</v>
      </c>
      <c r="T46" s="17"/>
      <c r="U46" s="17">
        <f>TRANSICAO!$U$46*CUSTOS!$T$3</f>
        <v>0</v>
      </c>
      <c r="V46" s="17">
        <f>TRANSICAO!$V$46*CUSTOS!$T$3</f>
        <v>0</v>
      </c>
      <c r="W46" s="17">
        <f>TRANSICAO!$W$46*CUSTOS!$T$3</f>
        <v>0</v>
      </c>
      <c r="X46" s="17">
        <f>TRANSICAO!$X$46*CUSTOS!$T$3</f>
        <v>0</v>
      </c>
      <c r="Y46" s="17">
        <f>TRANSICAO!$Y$46*CUSTOS!$T$3</f>
        <v>222.6497</v>
      </c>
      <c r="Z46" s="17">
        <f>TRANSICAO!$Z$46*CUSTOS!$T$3</f>
        <v>0</v>
      </c>
      <c r="AA46" s="17">
        <f>TRANSICAO!$AA$46*CUSTOS!$T$3</f>
        <v>0</v>
      </c>
      <c r="AB46" s="17">
        <f>TRANSICAO!$AB$46*CUSTOS!$T$3</f>
        <v>0</v>
      </c>
      <c r="AC46" s="17">
        <f>TRANSICAO!$AC$46*CUSTOS!$T$3</f>
        <v>672.64790000000005</v>
      </c>
      <c r="AD46" s="17">
        <f>TRANSICAO!$AD$46*CUSTOS!$T$3</f>
        <v>0</v>
      </c>
      <c r="AE46" s="17">
        <v>0</v>
      </c>
      <c r="AF46" s="17">
        <v>0</v>
      </c>
      <c r="AG46" s="17"/>
      <c r="AH46" s="17">
        <f>(1 - CUSTOS!$M$31)*17.9049</f>
        <v>17.904900000000001</v>
      </c>
      <c r="AI46" s="17">
        <f>(1 - CUSTOS!$M$31)*17.9049</f>
        <v>17.904900000000001</v>
      </c>
      <c r="AJ46" s="17">
        <f ca="1">$N$64*(1-CUSTOS!$M$31)</f>
        <v>0</v>
      </c>
      <c r="AK46" s="17">
        <f t="shared" ca="1" si="0"/>
        <v>0</v>
      </c>
      <c r="AL46" s="17"/>
      <c r="AM46" s="17"/>
      <c r="AP46" s="17">
        <f>IF((1 - CUSTOS!$M$31)&lt;&gt;0,1/(1 - CUSTOS!$M$31),1)</f>
        <v>1</v>
      </c>
    </row>
    <row r="47" spans="1:42" ht="11.25" customHeight="1" x14ac:dyDescent="0.25">
      <c r="A47" s="94"/>
      <c r="B47" s="94"/>
      <c r="C47" s="94"/>
      <c r="D47" s="94"/>
      <c r="E47" s="94"/>
      <c r="F47" s="94"/>
      <c r="G47" s="27" t="s">
        <v>74</v>
      </c>
      <c r="H47" s="27" t="s">
        <v>72</v>
      </c>
      <c r="I47" s="27">
        <f>'MERCADO TUSD'!$U$44</f>
        <v>0</v>
      </c>
      <c r="J47" s="15"/>
      <c r="L47" s="17">
        <f>1*(1 - CUSTOS!$M$31)</f>
        <v>1</v>
      </c>
      <c r="M47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1.43564103320897</v>
      </c>
      <c r="N47" s="17">
        <f ca="1">(+M47+O47+R47+U47+V47+W47+X47+Y47+Z47+AA47+AC47+AH47+AI47+AJ47+AK47)*CUSTOS!$M$5</f>
        <v>3.3766054103320891E-12</v>
      </c>
      <c r="O47" s="17">
        <f>1 - CUSTOS!$M$31</f>
        <v>1</v>
      </c>
      <c r="P47" s="17">
        <f>1 - CUSTOS!$M$31</f>
        <v>1</v>
      </c>
      <c r="Q47" s="17">
        <f>1*(1 - CUSTOS!$M$31)</f>
        <v>1</v>
      </c>
      <c r="R47" s="17">
        <f>1 - CUSTOS!$M$31</f>
        <v>1</v>
      </c>
      <c r="S47" s="17">
        <f>1 - CUSTOS!$M$31</f>
        <v>1</v>
      </c>
      <c r="T47" s="17"/>
      <c r="U47" s="17">
        <f>TRANSICAO!$U$47*CUSTOS!$T$3</f>
        <v>0</v>
      </c>
      <c r="V47" s="17">
        <f>TRANSICAO!$V$47*CUSTOS!$T$3</f>
        <v>0</v>
      </c>
      <c r="W47" s="17">
        <f>TRANSICAO!$W$47*CUSTOS!$T$3</f>
        <v>0</v>
      </c>
      <c r="X47" s="17">
        <f>TRANSICAO!$X$47*CUSTOS!$T$3</f>
        <v>0</v>
      </c>
      <c r="Y47" s="17">
        <f>TRANSICAO!$Y$47*CUSTOS!$T$3</f>
        <v>74.198899999999995</v>
      </c>
      <c r="Z47" s="17">
        <f>TRANSICAO!$Z$47*CUSTOS!$T$3</f>
        <v>0</v>
      </c>
      <c r="AA47" s="17">
        <f>TRANSICAO!$AA$47*CUSTOS!$T$3</f>
        <v>0</v>
      </c>
      <c r="AB47" s="17">
        <f>TRANSICAO!$AB$47*CUSTOS!$T$3</f>
        <v>0</v>
      </c>
      <c r="AC47" s="17">
        <f>TRANSICAO!$AC$47*CUSTOS!$T$3</f>
        <v>224.21619999999999</v>
      </c>
      <c r="AD47" s="17">
        <f>TRANSICAO!$AD$47*CUSTOS!$T$3</f>
        <v>0</v>
      </c>
      <c r="AE47" s="17">
        <v>0</v>
      </c>
      <c r="AF47" s="17">
        <v>0</v>
      </c>
      <c r="AG47" s="17"/>
      <c r="AH47" s="17">
        <f>(1 - CUSTOS!$M$31)*17.9049</f>
        <v>17.904900000000001</v>
      </c>
      <c r="AI47" s="17">
        <f>(1 - CUSTOS!$M$31)*17.9049</f>
        <v>17.904900000000001</v>
      </c>
      <c r="AJ47" s="17">
        <f ca="1">$N$64*(1-CUSTOS!$M$31)</f>
        <v>0</v>
      </c>
      <c r="AK47" s="17">
        <f t="shared" ca="1" si="0"/>
        <v>0</v>
      </c>
      <c r="AL47" s="17"/>
      <c r="AM47" s="17"/>
      <c r="AP47" s="17">
        <f>IF((1 - CUSTOS!$M$31)&lt;&gt;0,1/(1 - CUSTOS!$M$31),1)</f>
        <v>1</v>
      </c>
    </row>
    <row r="48" spans="1:42" ht="11.25" customHeight="1" x14ac:dyDescent="0.25">
      <c r="A48" s="94"/>
      <c r="B48" s="26" t="s">
        <v>23</v>
      </c>
      <c r="C48" s="26" t="s">
        <v>25</v>
      </c>
      <c r="D48" s="26" t="s">
        <v>25</v>
      </c>
      <c r="E48" s="26" t="s">
        <v>25</v>
      </c>
      <c r="F48" s="26" t="s">
        <v>25</v>
      </c>
      <c r="G48" s="27" t="s">
        <v>78</v>
      </c>
      <c r="H48" s="27" t="s">
        <v>72</v>
      </c>
      <c r="I48" s="27">
        <f>'MERCADO TUSD'!$U$45</f>
        <v>6621.2499999999991</v>
      </c>
      <c r="J48" s="15"/>
      <c r="L48" s="17">
        <f>1*(1 - CUSTOS!$M$31)</f>
        <v>1</v>
      </c>
      <c r="M48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1.43564103320897</v>
      </c>
      <c r="N48" s="17">
        <f ca="1">(+M48+O48+R48+U48+V48+W48+X48+Y48+Z48+AA48+AC48+AH48+AI48+AJ48+AK48)*CUSTOS!$M$5</f>
        <v>4.71750041033209E-12</v>
      </c>
      <c r="O48" s="17">
        <f>1 - CUSTOS!$M$31</f>
        <v>1</v>
      </c>
      <c r="P48" s="17">
        <f>1 - CUSTOS!$M$31</f>
        <v>1</v>
      </c>
      <c r="Q48" s="17">
        <f>1*(1 - CUSTOS!$M$31)</f>
        <v>1</v>
      </c>
      <c r="R48" s="17">
        <f>1 - CUSTOS!$M$31</f>
        <v>1</v>
      </c>
      <c r="S48" s="17">
        <f>1 - CUSTOS!$M$31</f>
        <v>1</v>
      </c>
      <c r="T48" s="17"/>
      <c r="U48" s="17">
        <f>TRANSICAO!$U$48*CUSTOS!$T$3</f>
        <v>0</v>
      </c>
      <c r="V48" s="17">
        <f>TRANSICAO!$V$48*CUSTOS!$T$3</f>
        <v>0</v>
      </c>
      <c r="W48" s="17">
        <f>TRANSICAO!$W$48*CUSTOS!$T$3</f>
        <v>0</v>
      </c>
      <c r="X48" s="17">
        <f>TRANSICAO!$X$48*CUSTOS!$T$3</f>
        <v>0</v>
      </c>
      <c r="Y48" s="17">
        <f>TRANSICAO!$Y$48*CUSTOS!$T$3</f>
        <v>107.5538</v>
      </c>
      <c r="Z48" s="17">
        <f>TRANSICAO!$Z$48*CUSTOS!$T$3</f>
        <v>0</v>
      </c>
      <c r="AA48" s="17">
        <f>TRANSICAO!$AA$48*CUSTOS!$T$3</f>
        <v>0</v>
      </c>
      <c r="AB48" s="17">
        <f>TRANSICAO!$AB$48*CUSTOS!$T$3</f>
        <v>0</v>
      </c>
      <c r="AC48" s="17">
        <f>TRANSICAO!$AC$48*CUSTOS!$T$3</f>
        <v>324.95080000000002</v>
      </c>
      <c r="AD48" s="17">
        <f>TRANSICAO!$AD$48*CUSTOS!$T$3</f>
        <v>0</v>
      </c>
      <c r="AE48" s="17">
        <v>0</v>
      </c>
      <c r="AF48" s="17">
        <v>0</v>
      </c>
      <c r="AG48" s="17"/>
      <c r="AH48" s="17">
        <f>(1 - CUSTOS!$M$31)*17.9049</f>
        <v>17.904900000000001</v>
      </c>
      <c r="AI48" s="17">
        <f>(1 - CUSTOS!$M$31)*17.9049</f>
        <v>17.904900000000001</v>
      </c>
      <c r="AJ48" s="17">
        <f ca="1">$N$64*(1-CUSTOS!$M$31)</f>
        <v>0</v>
      </c>
      <c r="AK48" s="17">
        <f t="shared" ca="1" si="0"/>
        <v>0</v>
      </c>
      <c r="AL48" s="17"/>
      <c r="AM48" s="17"/>
      <c r="AP48" s="17">
        <f>IF((1 - CUSTOS!$M$31)&lt;&gt;0,1/(1 - CUSTOS!$M$31),1)</f>
        <v>1</v>
      </c>
    </row>
    <row r="49" spans="1:42" ht="11.25" customHeight="1" x14ac:dyDescent="0.25">
      <c r="A49" s="94"/>
      <c r="B49" s="26" t="s">
        <v>87</v>
      </c>
      <c r="C49" s="26" t="s">
        <v>25</v>
      </c>
      <c r="D49" s="26" t="s">
        <v>25</v>
      </c>
      <c r="E49" s="26" t="s">
        <v>25</v>
      </c>
      <c r="F49" s="26" t="s">
        <v>25</v>
      </c>
      <c r="G49" s="27" t="s">
        <v>78</v>
      </c>
      <c r="H49" s="27" t="s">
        <v>72</v>
      </c>
      <c r="I49" s="27">
        <f>'MERCADO TUSD'!$U$46</f>
        <v>0</v>
      </c>
      <c r="J49" s="15"/>
      <c r="L49" s="17">
        <f>1*(1 - CUSTOS!$M$31)</f>
        <v>1</v>
      </c>
      <c r="M49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1.43564103320897</v>
      </c>
      <c r="N49" s="17">
        <f ca="1">(+M49+O49+R49+U49+V49+W49+X49+Y49+Z49+AA49+AC49+AH49+AI49+AJ49+AK49)*CUSTOS!$M$5</f>
        <v>4.71750041033209E-12</v>
      </c>
      <c r="O49" s="17">
        <f>1 - CUSTOS!$M$31</f>
        <v>1</v>
      </c>
      <c r="P49" s="17">
        <f>1 - CUSTOS!$M$31</f>
        <v>1</v>
      </c>
      <c r="Q49" s="17">
        <f>1*(1 - CUSTOS!$M$31)</f>
        <v>1</v>
      </c>
      <c r="R49" s="17">
        <f>1 - CUSTOS!$M$31</f>
        <v>1</v>
      </c>
      <c r="S49" s="17">
        <f>1 - CUSTOS!$M$31</f>
        <v>1</v>
      </c>
      <c r="T49" s="17"/>
      <c r="U49" s="17">
        <f>TRANSICAO!$U$49*CUSTOS!$T$3</f>
        <v>0</v>
      </c>
      <c r="V49" s="17">
        <f>TRANSICAO!$V$49*CUSTOS!$T$3</f>
        <v>0</v>
      </c>
      <c r="W49" s="17">
        <f>TRANSICAO!$W$49*CUSTOS!$T$3</f>
        <v>0</v>
      </c>
      <c r="X49" s="17">
        <f>TRANSICAO!$X$49*CUSTOS!$T$3</f>
        <v>0</v>
      </c>
      <c r="Y49" s="17">
        <f>TRANSICAO!$Y$49*CUSTOS!$T$3</f>
        <v>107.5538</v>
      </c>
      <c r="Z49" s="17">
        <f>TRANSICAO!$Z$49*CUSTOS!$T$3</f>
        <v>0</v>
      </c>
      <c r="AA49" s="17">
        <f>TRANSICAO!$AA$49*CUSTOS!$T$3</f>
        <v>0</v>
      </c>
      <c r="AB49" s="17">
        <f>TRANSICAO!$AB$49*CUSTOS!$T$3</f>
        <v>0</v>
      </c>
      <c r="AC49" s="17">
        <f>TRANSICAO!$AC$49*CUSTOS!$T$3</f>
        <v>324.95080000000002</v>
      </c>
      <c r="AD49" s="17">
        <f>TRANSICAO!$AD$49*CUSTOS!$T$3</f>
        <v>0</v>
      </c>
      <c r="AE49" s="17">
        <v>0</v>
      </c>
      <c r="AF49" s="17">
        <v>0</v>
      </c>
      <c r="AG49" s="17"/>
      <c r="AH49" s="17">
        <f>(1 - CUSTOS!$M$31)*17.9049</f>
        <v>17.904900000000001</v>
      </c>
      <c r="AI49" s="17">
        <f>(1 - CUSTOS!$M$31)*17.9049</f>
        <v>17.904900000000001</v>
      </c>
      <c r="AJ49" s="17">
        <f ca="1">$N$64*(1-CUSTOS!$M$31)</f>
        <v>0</v>
      </c>
      <c r="AK49" s="17">
        <f t="shared" ca="1" si="0"/>
        <v>0</v>
      </c>
      <c r="AL49" s="17"/>
      <c r="AM49" s="17"/>
      <c r="AP49" s="17">
        <f>IF((1 - CUSTOS!$M$31)&lt;&gt;0,1/(1 - CUSTOS!$M$31),1)</f>
        <v>1</v>
      </c>
    </row>
    <row r="50" spans="1:42" ht="11.25" customHeight="1" x14ac:dyDescent="0.25">
      <c r="A50" s="94" t="s">
        <v>43</v>
      </c>
      <c r="B50" s="94" t="s">
        <v>23</v>
      </c>
      <c r="C50" s="94" t="s">
        <v>44</v>
      </c>
      <c r="D50" s="26" t="s">
        <v>45</v>
      </c>
      <c r="E50" s="26" t="s">
        <v>25</v>
      </c>
      <c r="F50" s="26" t="s">
        <v>25</v>
      </c>
      <c r="G50" s="27" t="s">
        <v>78</v>
      </c>
      <c r="H50" s="27" t="s">
        <v>72</v>
      </c>
      <c r="I50" s="27">
        <f>'MERCADO TUSD'!$U$47</f>
        <v>930.54300000000012</v>
      </c>
      <c r="J50" s="15"/>
      <c r="L50" s="17">
        <f>1*(1 - CUSTOS!$M$32)</f>
        <v>0.55000000000000004</v>
      </c>
      <c r="M50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CUSTOS!$M$32)</f>
        <v>0.78960256826493358</v>
      </c>
      <c r="N50" s="17">
        <f ca="1">(+M50+O50+R50+U50+V50+W50+X50+Y50+Z50+AA50+AC50+AH50+AI50+AJ50+AK50)*CUSTOS!$M$5</f>
        <v>2.5946252256826493E-12</v>
      </c>
      <c r="O50" s="17">
        <f>1 - CUSTOS!$M$32</f>
        <v>0.55000000000000004</v>
      </c>
      <c r="P50" s="17">
        <f>1 - CUSTOS!$M$32</f>
        <v>0.55000000000000004</v>
      </c>
      <c r="Q50" s="17">
        <f>1*(1 - CUSTOS!$M$32)</f>
        <v>0.55000000000000004</v>
      </c>
      <c r="R50" s="17">
        <f>1 - CUSTOS!$M$32</f>
        <v>0.55000000000000004</v>
      </c>
      <c r="S50" s="17">
        <f>1 - CUSTOS!$M$32</f>
        <v>0.55000000000000004</v>
      </c>
      <c r="T50" s="17"/>
      <c r="U50" s="17">
        <f>TRANSICAO!$U$50*CUSTOS!$T$3</f>
        <v>0</v>
      </c>
      <c r="V50" s="17">
        <f>TRANSICAO!$V$50*CUSTOS!$T$3</f>
        <v>0</v>
      </c>
      <c r="W50" s="17">
        <f>TRANSICAO!$W$50*CUSTOS!$T$3</f>
        <v>0</v>
      </c>
      <c r="X50" s="17">
        <f>TRANSICAO!$X$50*CUSTOS!$T$3</f>
        <v>0</v>
      </c>
      <c r="Y50" s="17">
        <f>TRANSICAO!$Y$50*CUSTOS!$T$3</f>
        <v>59.154589999999999</v>
      </c>
      <c r="Z50" s="17">
        <f>TRANSICAO!$Z$50*CUSTOS!$T$3</f>
        <v>0</v>
      </c>
      <c r="AA50" s="17">
        <f>TRANSICAO!$AA$50*CUSTOS!$T$3</f>
        <v>0</v>
      </c>
      <c r="AB50" s="17">
        <f>TRANSICAO!$AB$50*CUSTOS!$T$3</f>
        <v>0</v>
      </c>
      <c r="AC50" s="17">
        <f>TRANSICAO!$AC$50*CUSTOS!$T$3</f>
        <v>178.72294000000002</v>
      </c>
      <c r="AD50" s="17">
        <f>TRANSICAO!$AD$50*CUSTOS!$T$3</f>
        <v>0</v>
      </c>
      <c r="AE50" s="17">
        <v>0</v>
      </c>
      <c r="AF50" s="17">
        <v>0</v>
      </c>
      <c r="AG50" s="17"/>
      <c r="AH50" s="17">
        <f>(1 - CUSTOS!$M$32)*17.9049</f>
        <v>9.8476950000000016</v>
      </c>
      <c r="AI50" s="17">
        <f>(1 - CUSTOS!$M$32)*17.9049</f>
        <v>9.8476950000000016</v>
      </c>
      <c r="AJ50" s="17">
        <f ca="1">$N$64*(1-CUSTOS!$M$32)</f>
        <v>0</v>
      </c>
      <c r="AK50" s="17">
        <f t="shared" ca="1" si="0"/>
        <v>0</v>
      </c>
      <c r="AL50" s="17"/>
      <c r="AM50" s="17"/>
      <c r="AP50" s="17">
        <f>IF((1 - CUSTOS!$M$32)&lt;&gt;0,1/(1 - CUSTOS!$M$32),1)</f>
        <v>1.8181818181818181</v>
      </c>
    </row>
    <row r="51" spans="1:42" ht="11.25" customHeight="1" x14ac:dyDescent="0.25">
      <c r="A51" s="94"/>
      <c r="B51" s="94"/>
      <c r="C51" s="94"/>
      <c r="D51" s="27" t="s">
        <v>90</v>
      </c>
      <c r="E51" s="27" t="s">
        <v>25</v>
      </c>
      <c r="F51" s="27" t="s">
        <v>25</v>
      </c>
      <c r="G51" s="27" t="s">
        <v>78</v>
      </c>
      <c r="H51" s="27" t="s">
        <v>72</v>
      </c>
      <c r="I51" s="27">
        <f>'MERCADO TUSD'!$U$48</f>
        <v>0</v>
      </c>
      <c r="J51" s="15"/>
      <c r="L51" s="17">
        <f>1*(1 - CUSTOS!$M$33)</f>
        <v>0.6</v>
      </c>
      <c r="M51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CUSTOS!$M$33)</f>
        <v>0.86138461992538196</v>
      </c>
      <c r="N51" s="17">
        <f ca="1">(+M51+O51+R51+U51+V51+W51+X51+Y51+Z51+AA51+AC51+AH51+AI51+AJ51+AK51)*CUSTOS!$M$5</f>
        <v>2.8305002461992536E-12</v>
      </c>
      <c r="O51" s="17">
        <f>1 - CUSTOS!$M$33</f>
        <v>0.6</v>
      </c>
      <c r="P51" s="17">
        <f>1 - CUSTOS!$M$33</f>
        <v>0.6</v>
      </c>
      <c r="Q51" s="17">
        <f>1*(1 - CUSTOS!$M$33)</f>
        <v>0.6</v>
      </c>
      <c r="R51" s="17">
        <f>1 - CUSTOS!$M$33</f>
        <v>0.6</v>
      </c>
      <c r="S51" s="17">
        <f>1 - CUSTOS!$M$33</f>
        <v>0.6</v>
      </c>
      <c r="T51" s="17"/>
      <c r="U51" s="17">
        <f>TRANSICAO!$U$51*CUSTOS!$T$3</f>
        <v>0</v>
      </c>
      <c r="V51" s="17">
        <f>TRANSICAO!$V$51*CUSTOS!$T$3</f>
        <v>0</v>
      </c>
      <c r="W51" s="17">
        <f>TRANSICAO!$W$51*CUSTOS!$T$3</f>
        <v>0</v>
      </c>
      <c r="X51" s="17">
        <f>TRANSICAO!$X$51*CUSTOS!$T$3</f>
        <v>0</v>
      </c>
      <c r="Y51" s="17">
        <f>TRANSICAO!$Y$51*CUSTOS!$T$3</f>
        <v>64.53228</v>
      </c>
      <c r="Z51" s="17">
        <f>TRANSICAO!$Z$51*CUSTOS!$T$3</f>
        <v>0</v>
      </c>
      <c r="AA51" s="17">
        <f>TRANSICAO!$AA$51*CUSTOS!$T$3</f>
        <v>0</v>
      </c>
      <c r="AB51" s="17">
        <f>TRANSICAO!$AB$51*CUSTOS!$T$3</f>
        <v>0</v>
      </c>
      <c r="AC51" s="17">
        <f>TRANSICAO!$AC$51*CUSTOS!$T$3</f>
        <v>194.97048000000001</v>
      </c>
      <c r="AD51" s="17">
        <f>TRANSICAO!$AD$51*CUSTOS!$T$3</f>
        <v>0</v>
      </c>
      <c r="AE51" s="17">
        <v>0</v>
      </c>
      <c r="AF51" s="17">
        <v>0</v>
      </c>
      <c r="AG51" s="17"/>
      <c r="AH51" s="17">
        <f>(1 - CUSTOS!$M$33)*17.9049</f>
        <v>10.742940000000001</v>
      </c>
      <c r="AI51" s="17">
        <f>(1 - CUSTOS!$M$33)*17.9049</f>
        <v>10.742940000000001</v>
      </c>
      <c r="AJ51" s="17">
        <f ca="1">$N$64*(1-CUSTOS!$M$33)</f>
        <v>0</v>
      </c>
      <c r="AK51" s="17">
        <f t="shared" ca="1" si="0"/>
        <v>0</v>
      </c>
      <c r="AL51" s="17"/>
      <c r="AM51" s="17"/>
      <c r="AP51" s="17">
        <f>IF((1 - CUSTOS!$M$33)&lt;&gt;0,1/(1 - CUSTOS!$M$33),1)</f>
        <v>1.6666666666666667</v>
      </c>
    </row>
    <row r="53" spans="1:42" ht="11.25" customHeight="1" x14ac:dyDescent="0.25">
      <c r="K53" s="18" t="s">
        <v>490</v>
      </c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</row>
    <row r="54" spans="1:42" ht="11.25" customHeight="1" x14ac:dyDescent="0.25">
      <c r="K54" s="18" t="s">
        <v>491</v>
      </c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</row>
    <row r="55" spans="1:42" ht="11.25" customHeight="1" x14ac:dyDescent="0.25">
      <c r="K55" s="18" t="s">
        <v>492</v>
      </c>
      <c r="L55" s="17">
        <f>IF(ISERROR(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,0,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</f>
        <v>85829.420209999997</v>
      </c>
      <c r="M55" s="17">
        <f>IF(ISERROR(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,0,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</f>
        <v>109346.79519898194</v>
      </c>
      <c r="N55" s="17">
        <f ca="1">IF(ISERROR(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,0,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</f>
        <v>3.1103869606856742E-7</v>
      </c>
      <c r="O55" s="17">
        <f>IF(ISERROR(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,0,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</f>
        <v>91134.248649999994</v>
      </c>
      <c r="P55" s="17">
        <f>IF(ISERROR(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,0,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</f>
        <v>90961.597649999996</v>
      </c>
      <c r="Q55" s="17">
        <f>IF(ISERROR(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,0,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</f>
        <v>85829.420209999997</v>
      </c>
      <c r="R55" s="17">
        <f>IF(ISERROR(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,0,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</f>
        <v>90961.597649999996</v>
      </c>
      <c r="S55" s="17">
        <f>IF(ISERROR(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,0,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</f>
        <v>91134.248649999994</v>
      </c>
      <c r="T55" s="17"/>
      <c r="U55" s="17">
        <f>IF(ISERROR(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,0,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</f>
        <v>0</v>
      </c>
      <c r="V55" s="17">
        <f>IF(ISERROR(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,0,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</f>
        <v>0</v>
      </c>
      <c r="W55" s="17">
        <f>IF(ISERROR(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,0,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</f>
        <v>0</v>
      </c>
      <c r="X55" s="17">
        <f>IF(ISERROR(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,0,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</f>
        <v>0</v>
      </c>
      <c r="Y55" s="17">
        <f>IF(ISERROR(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,0,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</f>
        <v>9288501.2969366703</v>
      </c>
      <c r="Z55" s="17">
        <f>IF(ISERROR(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,0,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</f>
        <v>0</v>
      </c>
      <c r="AA55" s="17">
        <f>IF(ISERROR(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,0,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</f>
        <v>0</v>
      </c>
      <c r="AB55" s="17"/>
      <c r="AC55" s="17">
        <f>IF(ISERROR(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,0,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</f>
        <v>24789318.36464883</v>
      </c>
      <c r="AD55" s="17"/>
      <c r="AE55" s="17">
        <f>IF(ISERROR(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,0,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</f>
        <v>0</v>
      </c>
      <c r="AF55" s="17">
        <f>IF(ISERROR(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,0,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</f>
        <v>0</v>
      </c>
      <c r="AG55" s="17"/>
      <c r="AH55" s="17">
        <f>IF(ISERROR(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,0,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</f>
        <v>1279172.2261362849</v>
      </c>
      <c r="AI55" s="17">
        <f>IF(ISERROR(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,0,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</f>
        <v>1279172.2261362849</v>
      </c>
      <c r="AJ55" s="17">
        <f ca="1">IF(ISERROR(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,0,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</f>
        <v>0</v>
      </c>
      <c r="AK55" s="17">
        <f ca="1">IF(ISERROR(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,0,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</f>
        <v>0</v>
      </c>
      <c r="AL55" s="17"/>
      <c r="AM55" s="17"/>
    </row>
    <row r="56" spans="1:42" ht="11.25" customHeight="1" x14ac:dyDescent="0.25">
      <c r="K56" s="18" t="s">
        <v>428</v>
      </c>
      <c r="L56" s="17">
        <f>CUSTOS!$D$2</f>
        <v>0</v>
      </c>
      <c r="M56" s="17">
        <f>CUSTOS!$D$3</f>
        <v>109835.60937026615</v>
      </c>
      <c r="N56" s="17">
        <f>CUSTOS!$D$4</f>
        <v>0</v>
      </c>
      <c r="O56" s="17">
        <f>CUSTOS!$D$5</f>
        <v>0</v>
      </c>
      <c r="P56" s="17">
        <f>CUSTOS!$D$6</f>
        <v>0</v>
      </c>
      <c r="Q56" s="17">
        <f>CUSTOS!$D$7</f>
        <v>7706465.960090002</v>
      </c>
      <c r="R56" s="17">
        <f>CUSTOS!$D$8</f>
        <v>1291204.2324600006</v>
      </c>
      <c r="S56" s="17">
        <f>CUSTOS!$D$9</f>
        <v>0</v>
      </c>
      <c r="T56" s="17">
        <f>CUSTOS!$D$10</f>
        <v>9107505.8019202687</v>
      </c>
      <c r="U56" s="17">
        <f>CUSTOS!$D$11</f>
        <v>0</v>
      </c>
      <c r="V56" s="17">
        <f>IF(SUM(V53:V55)&lt;&gt;0,CUSTOS!$D$12+CUSTOS!$D$16+CUSTOS!$D$17-'TR TUSD'!$Z$54-'TR TUSD'!$AA$54,0)</f>
        <v>0</v>
      </c>
      <c r="W56" s="17">
        <f>CUSTOS!$D$13</f>
        <v>0</v>
      </c>
      <c r="X56" s="17">
        <f>CUSTOS!$D$14</f>
        <v>0</v>
      </c>
      <c r="Y56" s="17">
        <f>IF(SUM(V53:V55)=0,CUSTOS!$D$15+CUSTOS!$D$16+CUSTOS!$D$17-'TR TUSD'!$Z$54-'TR TUSD'!$AA$54,CUSTOS!$D$15)</f>
        <v>10275212.197579999</v>
      </c>
      <c r="Z56" s="17">
        <f>Z54</f>
        <v>0</v>
      </c>
      <c r="AA56" s="17">
        <f>AA54</f>
        <v>0</v>
      </c>
      <c r="AB56" s="17">
        <f>CUSTOS!$D$18</f>
        <v>10275212.197579999</v>
      </c>
      <c r="AC56" s="17">
        <f>CUSTOS!$D$19</f>
        <v>26000000</v>
      </c>
      <c r="AD56" s="17">
        <f>CUSTOS!$D$20</f>
        <v>26000000</v>
      </c>
      <c r="AE56" s="17">
        <f>CUSTOS!$D$21</f>
        <v>0</v>
      </c>
      <c r="AF56" s="17">
        <f>CUSTOS!$D$22</f>
        <v>0</v>
      </c>
      <c r="AG56" s="17">
        <f>CUSTOS!$D$23</f>
        <v>0</v>
      </c>
      <c r="AH56" s="17">
        <f>CUSTOS!$D$24</f>
        <v>1287955.9653249066</v>
      </c>
      <c r="AI56" s="17">
        <f>CUSTOS!$D$25</f>
        <v>0</v>
      </c>
      <c r="AJ56" s="17">
        <f>CUSTOS!$D$26</f>
        <v>0</v>
      </c>
      <c r="AK56" s="17">
        <f>CUSTOS!$D$27</f>
        <v>0</v>
      </c>
      <c r="AL56" s="17">
        <f>CUSTOS!$D$28</f>
        <v>1287955.9653249066</v>
      </c>
      <c r="AM56" s="17">
        <f>CUSTOS!$D$29</f>
        <v>46670673.964825176</v>
      </c>
    </row>
    <row r="57" spans="1:42" ht="11.25" customHeight="1" x14ac:dyDescent="0.25">
      <c r="K57" s="18" t="s">
        <v>429</v>
      </c>
      <c r="L57" s="17">
        <f>CUSTOS!$E$2</f>
        <v>0</v>
      </c>
      <c r="M57" s="17">
        <f>CUSTOS!$E$3</f>
        <v>4204.1088071347203</v>
      </c>
      <c r="N57" s="17">
        <f>CUSTOS!$E$4</f>
        <v>0</v>
      </c>
      <c r="O57" s="17">
        <f>CUSTOS!$E$5</f>
        <v>0</v>
      </c>
      <c r="P57" s="17">
        <f>CUSTOS!$E$6</f>
        <v>0</v>
      </c>
      <c r="Q57" s="17">
        <f>CUSTOS!$E$7</f>
        <v>181053.9608331761</v>
      </c>
      <c r="R57" s="17">
        <f>CUSTOS!$E$8</f>
        <v>27576.297970177777</v>
      </c>
      <c r="S57" s="17">
        <f>CUSTOS!$E$9</f>
        <v>0</v>
      </c>
      <c r="T57" s="17">
        <f>CUSTOS!$E$10</f>
        <v>212834.36761048861</v>
      </c>
      <c r="U57" s="17">
        <f>CUSTOS!$E$11</f>
        <v>0</v>
      </c>
      <c r="V57" s="17">
        <f>CUSTOS!$E$12</f>
        <v>0</v>
      </c>
      <c r="W57" s="17">
        <f>CUSTOS!$E$13</f>
        <v>0</v>
      </c>
      <c r="X57" s="17">
        <f>CUSTOS!$E$14</f>
        <v>0</v>
      </c>
      <c r="Y57" s="17">
        <f>CUSTOS!$E$15</f>
        <v>-1451207.6955431984</v>
      </c>
      <c r="Z57" s="17">
        <f>CUSTOS!$E$16</f>
        <v>0</v>
      </c>
      <c r="AA57" s="17">
        <f>CUSTOS!$E$17</f>
        <v>0</v>
      </c>
      <c r="AB57" s="17">
        <f>CUSTOS!$E$18</f>
        <v>-1451207.6955431984</v>
      </c>
      <c r="AC57" s="17">
        <f>CUSTOS!$E$19</f>
        <v>-11769398.069312805</v>
      </c>
      <c r="AD57" s="17">
        <f>CUSTOS!$E$20</f>
        <v>-11769398.069312805</v>
      </c>
      <c r="AE57" s="17">
        <f>CUSTOS!$E$21</f>
        <v>0</v>
      </c>
      <c r="AF57" s="17">
        <f>CUSTOS!$E$22</f>
        <v>0</v>
      </c>
      <c r="AG57" s="17">
        <f>CUSTOS!$E$23</f>
        <v>0</v>
      </c>
      <c r="AH57" s="17">
        <f>CUSTOS!$E$24</f>
        <v>74044.85200701881</v>
      </c>
      <c r="AI57" s="17">
        <f>CUSTOS!$E$25</f>
        <v>0</v>
      </c>
      <c r="AJ57" s="17">
        <f>CUSTOS!$E$26</f>
        <v>0</v>
      </c>
      <c r="AK57" s="17">
        <f>CUSTOS!$E$27</f>
        <v>0</v>
      </c>
      <c r="AL57" s="17">
        <f>CUSTOS!$E$28</f>
        <v>74044.85200701881</v>
      </c>
      <c r="AM57" s="17">
        <f>CUSTOS!$E$29</f>
        <v>-12933726.545238497</v>
      </c>
    </row>
    <row r="58" spans="1:42" ht="11.25" customHeight="1" x14ac:dyDescent="0.25">
      <c r="K58" s="18" t="s">
        <v>430</v>
      </c>
      <c r="L58" s="17">
        <f>CUSTOS!$F$2</f>
        <v>0</v>
      </c>
      <c r="M58" s="17">
        <f>CUSTOS!$F$3</f>
        <v>0</v>
      </c>
      <c r="N58" s="17">
        <f>CUSTOS!$F$4</f>
        <v>0</v>
      </c>
      <c r="O58" s="17">
        <f>CUSTOS!$F$5</f>
        <v>0</v>
      </c>
      <c r="P58" s="17">
        <f>CUSTOS!$F$6</f>
        <v>0</v>
      </c>
      <c r="Q58" s="17">
        <f>CUSTOS!$F$7</f>
        <v>0</v>
      </c>
      <c r="R58" s="17">
        <f>CUSTOS!$F$8</f>
        <v>0</v>
      </c>
      <c r="S58" s="17">
        <f>CUSTOS!$F$9</f>
        <v>0</v>
      </c>
      <c r="T58" s="17">
        <f>CUSTOS!$F$10</f>
        <v>0</v>
      </c>
      <c r="U58" s="17">
        <f>CUSTOS!$F$11</f>
        <v>0</v>
      </c>
      <c r="V58" s="17">
        <f>CUSTOS!$F$12</f>
        <v>0</v>
      </c>
      <c r="W58" s="17">
        <f>CUSTOS!$F$13</f>
        <v>0</v>
      </c>
      <c r="X58" s="17">
        <f>CUSTOS!$F$14</f>
        <v>0</v>
      </c>
      <c r="Y58" s="17">
        <f>CUSTOS!$F$15</f>
        <v>0</v>
      </c>
      <c r="Z58" s="17">
        <f>CUSTOS!$F$16</f>
        <v>0</v>
      </c>
      <c r="AA58" s="17">
        <f>CUSTOS!$F$17</f>
        <v>0</v>
      </c>
      <c r="AB58" s="17">
        <f>CUSTOS!$F$18</f>
        <v>0</v>
      </c>
      <c r="AC58" s="17">
        <f>CUSTOS!$F$19</f>
        <v>0</v>
      </c>
      <c r="AD58" s="17">
        <f>CUSTOS!$F$20</f>
        <v>0</v>
      </c>
      <c r="AE58" s="17">
        <f>CUSTOS!$F$21</f>
        <v>0</v>
      </c>
      <c r="AF58" s="17">
        <f>CUSTOS!$F$22</f>
        <v>0</v>
      </c>
      <c r="AG58" s="17">
        <f>CUSTOS!$F$23</f>
        <v>0</v>
      </c>
      <c r="AH58" s="17">
        <f>CUSTOS!$F$24</f>
        <v>0</v>
      </c>
      <c r="AI58" s="17">
        <f>CUSTOS!$F$25</f>
        <v>0</v>
      </c>
      <c r="AJ58" s="17">
        <f>CUSTOS!$F$26</f>
        <v>0</v>
      </c>
      <c r="AK58" s="17">
        <f>CUSTOS!$F$27</f>
        <v>0</v>
      </c>
      <c r="AL58" s="17">
        <f>CUSTOS!$F$28</f>
        <v>0</v>
      </c>
      <c r="AM58" s="17">
        <f>CUSTOS!$F$29</f>
        <v>0</v>
      </c>
    </row>
    <row r="59" spans="1:42" ht="11.25" customHeight="1" x14ac:dyDescent="0.25">
      <c r="K59" s="18" t="s">
        <v>493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/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/>
      <c r="AC59" s="17">
        <v>0</v>
      </c>
      <c r="AD59" s="17"/>
      <c r="AE59" s="17">
        <v>0</v>
      </c>
      <c r="AF59" s="17">
        <v>0</v>
      </c>
      <c r="AG59" s="17"/>
      <c r="AH59" s="17">
        <v>0</v>
      </c>
      <c r="AI59" s="17">
        <v>0</v>
      </c>
      <c r="AJ59" s="17">
        <v>0</v>
      </c>
      <c r="AK59" s="17">
        <v>0</v>
      </c>
      <c r="AL59" s="17"/>
      <c r="AM59" s="17"/>
    </row>
    <row r="60" spans="1:42" ht="11.25" customHeight="1" x14ac:dyDescent="0.25">
      <c r="K60" s="18" t="s">
        <v>494</v>
      </c>
      <c r="L60" s="17">
        <f t="shared" ref="L60:S60" si="1">IF((L55+L53)&lt;&gt;0,(L56-L54-L59)/(L55+L53),0)</f>
        <v>0</v>
      </c>
      <c r="M60" s="17">
        <f t="shared" si="1"/>
        <v>1.004470310907555</v>
      </c>
      <c r="N60" s="17">
        <f t="shared" ca="1" si="1"/>
        <v>0</v>
      </c>
      <c r="O60" s="17">
        <f t="shared" si="1"/>
        <v>0</v>
      </c>
      <c r="P60" s="17">
        <f t="shared" si="1"/>
        <v>0</v>
      </c>
      <c r="Q60" s="17">
        <f t="shared" si="1"/>
        <v>89.78816286110856</v>
      </c>
      <c r="R60" s="17">
        <f t="shared" si="1"/>
        <v>14.195047864355542</v>
      </c>
      <c r="S60" s="17">
        <f t="shared" si="1"/>
        <v>0</v>
      </c>
      <c r="T60" s="17"/>
      <c r="U60" s="17">
        <f>IF(U55&lt;&gt;0,(U56-U54-U53-U59)/U55,0)</f>
        <v>0</v>
      </c>
      <c r="V60" s="17">
        <f>IF(V55&lt;&gt;0,(V56-V54-V53-V59)/V55,0)</f>
        <v>0</v>
      </c>
      <c r="W60" s="17">
        <f>IF(W55&lt;&gt;0,(W56-W54-W53-W59)/W55,0)</f>
        <v>0</v>
      </c>
      <c r="X60" s="17">
        <f>IF(X55&lt;&gt;0,(X56-X54-X53-X59)/X55,0)</f>
        <v>0</v>
      </c>
      <c r="Y60" s="17">
        <f>IF(Y55&lt;&gt;0,(Y56-Y54-Y53-Y59)/Y55,0)</f>
        <v>1.106229290291292</v>
      </c>
      <c r="Z60" s="17"/>
      <c r="AA60" s="17"/>
      <c r="AB60" s="17"/>
      <c r="AC60" s="17">
        <f>IF(AC55&lt;&gt;0,(AC56-AC54-AC53-AC59)/AC55,0)</f>
        <v>1.0488388433091278</v>
      </c>
      <c r="AD60" s="17"/>
      <c r="AE60" s="17">
        <f>IF((AE55+AE53)&lt;&gt;0,(AE56-AE54-AE59)/(AE55+AE53),0)</f>
        <v>0</v>
      </c>
      <c r="AF60" s="17">
        <f>IF((AF55+AF53)&lt;&gt;0,(AF56-AF54-AF59)/(AF55+AF53),0)</f>
        <v>0</v>
      </c>
      <c r="AG60" s="17"/>
      <c r="AH60" s="17">
        <f>IF(AH55&lt;&gt;0,(AH56-AH54-AH53-AH59)/AH55,0)</f>
        <v>1.006866736948435</v>
      </c>
      <c r="AI60" s="17">
        <f>IF(AI55&lt;&gt;0,(AI56-AI54-AI53-AI59)/AI55,0)</f>
        <v>0</v>
      </c>
      <c r="AJ60" s="17">
        <f ca="1">IF((AJ55+AJ53)&lt;&gt;0,(AJ56-AJ54-AJ59)/(AJ55+AJ53),0)</f>
        <v>0</v>
      </c>
      <c r="AK60" s="17">
        <f ca="1">IF((AK55+AK53)&lt;&gt;0,(AK56-AK54-AK59)/(AK55+AK53),0)</f>
        <v>0</v>
      </c>
      <c r="AL60" s="17"/>
      <c r="AM60" s="17"/>
    </row>
    <row r="62" spans="1:42" ht="11.25" customHeight="1" x14ac:dyDescent="0.25">
      <c r="K62" s="28" t="s">
        <v>519</v>
      </c>
      <c r="L62" s="28" t="s">
        <v>520</v>
      </c>
      <c r="M62" s="28" t="s">
        <v>521</v>
      </c>
      <c r="N62" s="28" t="s">
        <v>522</v>
      </c>
      <c r="O62" s="28" t="s">
        <v>523</v>
      </c>
      <c r="P62" s="28" t="s">
        <v>524</v>
      </c>
    </row>
    <row r="63" spans="1:42" ht="11.25" customHeight="1" x14ac:dyDescent="0.25">
      <c r="K63" s="27" t="s">
        <v>35</v>
      </c>
      <c r="L63" s="27">
        <f ca="1">+(+'TUSD BE'!$L$5+'TUSD BE'!$M$5+'TUSD BE'!$N$5+'TUSD BE'!$O$5+'TUSD BE'!$P$5+'TUSD BE'!$Q$5+'TUSD BE'!$R$5+'TUSD BE'!$S$5+'TUSD BE'!$U$5+'TUSD BE'!$V$5+'TUSD BE'!$W$5+'TUSD BE'!$X$5+'TUSD BE'!$Y$5+'TUSD BE'!$Z$5+'TUSD BE'!$AA$5+'TUSD BE'!$AC$5+'TUSD BE'!$AH$5+'TUSD BE'!$AI$5)*'TUSD BE'!$I$5+(+'TUSD BE'!$L$6+'TUSD BE'!$M$6+'TUSD BE'!$N$6+'TUSD BE'!$O$6+'TUSD BE'!$P$6+'TUSD BE'!$Q$6+'TUSD BE'!$R$6+'TUSD BE'!$S$6+'TUSD BE'!$U$6+'TUSD BE'!$V$6+'TUSD BE'!$W$6+'TUSD BE'!$X$6+'TUSD BE'!$Y$6+'TUSD BE'!$Z$6+'TUSD BE'!$AA$6+'TUSD BE'!$AC$6+'TUSD BE'!$AH$6+'TUSD BE'!$AI$6)*'TUSD BE'!$I$6+(+'TUSD BE'!$L$7+'TUSD BE'!$M$7+'TUSD BE'!$N$7+'TUSD BE'!$O$7+'TUSD BE'!$P$7+'TUSD BE'!$Q$7+'TUSD BE'!$R$7+'TUSD BE'!$S$7+'TUSD BE'!$U$7+'TUSD BE'!$V$7+'TUSD BE'!$W$7+'TUSD BE'!$X$7+'TUSD BE'!$Y$7+'TUSD BE'!$Z$7+'TUSD BE'!$AA$7+'TUSD BE'!$AC$7+'TUSD BE'!$AH$7+'TUSD BE'!$AI$7)*'TUSD BE'!$I$7+(+'TUSD BE'!$L$8+'TUSD BE'!$M$8+'TUSD BE'!$N$8+'TUSD BE'!$O$8+'TUSD BE'!$P$8+'TUSD BE'!$Q$8+'TUSD BE'!$R$8+'TUSD BE'!$S$8+'TUSD BE'!$U$8+'TUSD BE'!$V$8+'TUSD BE'!$W$8+'TUSD BE'!$X$8+'TUSD BE'!$Y$8+'TUSD BE'!$Z$8+'TUSD BE'!$AA$8+'TUSD BE'!$AC$8+'TUSD BE'!$AH$8+'TUSD BE'!$AI$8)*'TUSD BE'!$I$8+(+'TUSD BE'!$L$10+'TUSD BE'!$M$10+'TUSD BE'!$N$10+'TUSD BE'!$O$10+'TUSD BE'!$P$10+'TUSD BE'!$Q$10+'TUSD BE'!$R$10+'TUSD BE'!$S$10+'TUSD BE'!$U$10+'TUSD BE'!$V$10+'TUSD BE'!$W$10+'TUSD BE'!$X$10+'TUSD BE'!$Y$10+'TUSD BE'!$Z$10+'TUSD BE'!$AA$10+'TUSD BE'!$AC$10+'TUSD BE'!$AH$10+'TUSD BE'!$AI$10)*'TUSD BE'!$I$10+(+'TUSD BE'!$L$11+'TUSD BE'!$M$11+'TUSD BE'!$N$11+'TUSD BE'!$O$11+'TUSD BE'!$P$11+'TUSD BE'!$Q$11+'TUSD BE'!$R$11+'TUSD BE'!$S$11+'TUSD BE'!$U$11+'TUSD BE'!$V$11+'TUSD BE'!$W$11+'TUSD BE'!$X$11+'TUSD BE'!$Y$11+'TUSD BE'!$Z$11+'TUSD BE'!$AA$11+'TUSD BE'!$AC$11+'TUSD BE'!$AH$11+'TUSD BE'!$AI$11)*'TUSD BE'!$I$11+(+'TUSD BE'!$L$12+'TUSD BE'!$M$12+'TUSD BE'!$N$12+'TUSD BE'!$O$12+'TUSD BE'!$P$12+'TUSD BE'!$Q$12+'TUSD BE'!$R$12+'TUSD BE'!$S$12+'TUSD BE'!$U$12+'TUSD BE'!$V$12+'TUSD BE'!$W$12+'TUSD BE'!$X$12+'TUSD BE'!$Y$12+'TUSD BE'!$Z$12+'TUSD BE'!$AA$12+'TUSD BE'!$AC$12+'TUSD BE'!$AH$12+'TUSD BE'!$AI$12)*'TUSD BE'!$I$12+(+'TUSD BE'!$L$13+'TUSD BE'!$M$13+'TUSD BE'!$N$13+'TUSD BE'!$O$13+'TUSD BE'!$P$13+'TUSD BE'!$Q$13+'TUSD BE'!$R$13+'TUSD BE'!$S$13+'TUSD BE'!$U$13+'TUSD BE'!$V$13+'TUSD BE'!$W$13+'TUSD BE'!$X$13+'TUSD BE'!$Y$13+'TUSD BE'!$Z$13+'TUSD BE'!$AA$13+'TUSD BE'!$AC$13+'TUSD BE'!$AH$13+'TUSD BE'!$AI$13)*'TUSD BE'!$I$13+(+'TUSD BE'!$L$14+'TUSD BE'!$M$14+'TUSD BE'!$N$14+'TUSD BE'!$O$14+'TUSD BE'!$P$14+'TUSD BE'!$Q$14+'TUSD BE'!$R$14+'TUSD BE'!$S$14+'TUSD BE'!$U$14+'TUSD BE'!$V$14+'TUSD BE'!$W$14+'TUSD BE'!$X$14+'TUSD BE'!$Y$14+'TUSD BE'!$Z$14+'TUSD BE'!$AA$14+'TUSD BE'!$AC$14+'TUSD BE'!$AH$14+'TUSD BE'!$AI$14)*'TUSD BE'!$I$14</f>
        <v>12174903.447511127</v>
      </c>
      <c r="M63" s="27">
        <f>+'TUSD BE'!$I$7+'TUSD BE'!$I$8+'TUSD BE'!$I$11+'TUSD BE'!$I$12+'TUSD BE'!$I$13+'TUSD BE'!$I$14</f>
        <v>32076.109000000004</v>
      </c>
      <c r="N63" s="27">
        <f ca="1">IF(AND($L$70&lt;&gt;0,M63&lt;&gt;0),(L63/$L$70*$AJ$56)/M63,0)</f>
        <v>0</v>
      </c>
      <c r="O63" s="27"/>
      <c r="P63" s="27"/>
    </row>
    <row r="64" spans="1:42" ht="11.25" customHeight="1" x14ac:dyDescent="0.25">
      <c r="K64" s="27" t="s">
        <v>80</v>
      </c>
      <c r="L64" s="27">
        <f ca="1">+$L$65+$L$66+$L$67+$L$68+$L$69</f>
        <v>34427902.203086458</v>
      </c>
      <c r="M64" s="27">
        <f>+$M$65+$M$66+$M$67+$M$68+$M$69</f>
        <v>59476.883999999991</v>
      </c>
      <c r="N64" s="27">
        <f ca="1">IF(AND($L$70&lt;&gt;0,M64&lt;&gt;0),(L64/$L$70*$AJ$56)/M64,0)</f>
        <v>0</v>
      </c>
      <c r="O64" s="27"/>
      <c r="P64" s="27"/>
    </row>
    <row r="65" spans="11:16" ht="11.25" customHeight="1" x14ac:dyDescent="0.25">
      <c r="K65" s="27" t="s">
        <v>80</v>
      </c>
      <c r="L65" s="27"/>
      <c r="M65" s="27"/>
      <c r="N65" s="27">
        <f ca="1">IF(AND($L$70&lt;&gt;0,M65&lt;&gt;0),(L65/$L$70*$AJ$56)/M65,0)</f>
        <v>0</v>
      </c>
      <c r="O65" s="27"/>
      <c r="P65" s="27"/>
    </row>
    <row r="66" spans="11:16" ht="11.25" customHeight="1" x14ac:dyDescent="0.25">
      <c r="K66" s="27" t="s">
        <v>22</v>
      </c>
      <c r="L66" s="27">
        <f ca="1">+(+'TUSD BE'!$L$17+'TUSD BE'!$M$17+'TUSD BE'!$N$17+'TUSD BE'!$O$17+'TUSD BE'!$P$17+'TUSD BE'!$Q$17+'TUSD BE'!$R$17+'TUSD BE'!$S$17+'TUSD BE'!$U$17+'TUSD BE'!$V$17+'TUSD BE'!$W$17+'TUSD BE'!$X$17+'TUSD BE'!$Y$17+'TUSD BE'!$Z$17+'TUSD BE'!$AA$17+'TUSD BE'!$AC$17+'TUSD BE'!$AH$17+'TUSD BE'!$AI$17)*'TUSD BE'!$I$17+(+'TUSD BE'!$L$18+'TUSD BE'!$M$18+'TUSD BE'!$N$18+'TUSD BE'!$O$18+'TUSD BE'!$P$18+'TUSD BE'!$Q$18+'TUSD BE'!$R$18+'TUSD BE'!$S$18+'TUSD BE'!$U$18+'TUSD BE'!$V$18+'TUSD BE'!$W$18+'TUSD BE'!$X$18+'TUSD BE'!$Y$18+'TUSD BE'!$Z$18+'TUSD BE'!$AA$18+'TUSD BE'!$AC$18+'TUSD BE'!$AH$18+'TUSD BE'!$AI$18)*'TUSD BE'!$I$18+(+'TUSD BE'!$L$19+'TUSD BE'!$M$19+'TUSD BE'!$N$19+'TUSD BE'!$O$19+'TUSD BE'!$P$19+'TUSD BE'!$Q$19+'TUSD BE'!$R$19+'TUSD BE'!$S$19+'TUSD BE'!$U$19+'TUSD BE'!$V$19+'TUSD BE'!$W$19+'TUSD BE'!$X$19+'TUSD BE'!$Y$19+'TUSD BE'!$Z$19+'TUSD BE'!$AA$19+'TUSD BE'!$AC$19+'TUSD BE'!$AH$19+'TUSD BE'!$AI$19)*'TUSD BE'!$I$19+(+'TUSD BE'!$L$20+'TUSD BE'!$M$20+'TUSD BE'!$N$20+'TUSD BE'!$O$20+'TUSD BE'!$P$20+'TUSD BE'!$Q$20+'TUSD BE'!$R$20+'TUSD BE'!$S$20+'TUSD BE'!$U$20+'TUSD BE'!$V$20+'TUSD BE'!$W$20+'TUSD BE'!$X$20+'TUSD BE'!$Y$20+'TUSD BE'!$Z$20+'TUSD BE'!$AA$20+'TUSD BE'!$AC$20+'TUSD BE'!$AH$20+'TUSD BE'!$AI$20)*'TUSD BE'!$I$20+(+'TUSD BE'!$L$21+'TUSD BE'!$M$21+'TUSD BE'!$N$21+'TUSD BE'!$O$21+'TUSD BE'!$P$21+'TUSD BE'!$Q$21+'TUSD BE'!$R$21+'TUSD BE'!$S$21+'TUSD BE'!$U$21+'TUSD BE'!$V$21+'TUSD BE'!$W$21+'TUSD BE'!$X$21+'TUSD BE'!$Y$21+'TUSD BE'!$Z$21+'TUSD BE'!$AA$21+'TUSD BE'!$AC$21+'TUSD BE'!$AH$21+'TUSD BE'!$AI$21)*'TUSD BE'!$I$21+(+'TUSD BE'!$L$22+'TUSD BE'!$M$22+'TUSD BE'!$N$22+'TUSD BE'!$O$22+'TUSD BE'!$P$22+'TUSD BE'!$Q$22+'TUSD BE'!$R$22+'TUSD BE'!$S$22+'TUSD BE'!$U$22+'TUSD BE'!$V$22+'TUSD BE'!$W$22+'TUSD BE'!$X$22+'TUSD BE'!$Y$22+'TUSD BE'!$Z$22+'TUSD BE'!$AA$22+'TUSD BE'!$AC$22+'TUSD BE'!$AH$22+'TUSD BE'!$AI$22)*'TUSD BE'!$I$22+(+'TUSD BE'!$L$23+'TUSD BE'!$M$23+'TUSD BE'!$N$23+'TUSD BE'!$O$23+'TUSD BE'!$P$23+'TUSD BE'!$Q$23+'TUSD BE'!$R$23+'TUSD BE'!$S$23+'TUSD BE'!$U$23+'TUSD BE'!$V$23+'TUSD BE'!$W$23+'TUSD BE'!$X$23+'TUSD BE'!$Y$23+'TUSD BE'!$Z$23+'TUSD BE'!$AA$23+'TUSD BE'!$AC$23+'TUSD BE'!$AH$23+'TUSD BE'!$AI$23)*'TUSD BE'!$I$23+(+'TUSD BE'!$L$24+'TUSD BE'!$M$24+'TUSD BE'!$N$24+'TUSD BE'!$O$24+'TUSD BE'!$P$24+'TUSD BE'!$Q$24+'TUSD BE'!$R$24+'TUSD BE'!$S$24+'TUSD BE'!$U$24+'TUSD BE'!$V$24+'TUSD BE'!$W$24+'TUSD BE'!$X$24+'TUSD BE'!$Y$24+'TUSD BE'!$Z$24+'TUSD BE'!$AA$24+'TUSD BE'!$AC$24+'TUSD BE'!$AH$24+'TUSD BE'!$AI$24)*'TUSD BE'!$I$24+(+'TUSD BE'!$L$25+'TUSD BE'!$M$25+'TUSD BE'!$N$25+'TUSD BE'!$O$25+'TUSD BE'!$P$25+'TUSD BE'!$Q$25+'TUSD BE'!$R$25+'TUSD BE'!$S$25+'TUSD BE'!$U$25+'TUSD BE'!$V$25+'TUSD BE'!$W$25+'TUSD BE'!$X$25+'TUSD BE'!$Y$25+'TUSD BE'!$Z$25+'TUSD BE'!$AA$25+'TUSD BE'!$AC$25+'TUSD BE'!$AH$25+'TUSD BE'!$AI$25)*'TUSD BE'!$I$25+(+'TUSD BE'!$L$26+'TUSD BE'!$M$26+'TUSD BE'!$N$26+'TUSD BE'!$O$26+'TUSD BE'!$P$26+'TUSD BE'!$Q$26+'TUSD BE'!$R$26+'TUSD BE'!$S$26+'TUSD BE'!$U$26+'TUSD BE'!$V$26+'TUSD BE'!$W$26+'TUSD BE'!$X$26+'TUSD BE'!$Y$26+'TUSD BE'!$Z$26+'TUSD BE'!$AA$26+'TUSD BE'!$AC$26+'TUSD BE'!$AH$26+'TUSD BE'!$AI$26)*'TUSD BE'!$I$26+(+'TUSD BE'!$L$27+'TUSD BE'!$M$27+'TUSD BE'!$N$27+'TUSD BE'!$O$27+'TUSD BE'!$P$27+'TUSD BE'!$Q$27+'TUSD BE'!$R$27+'TUSD BE'!$S$27+'TUSD BE'!$U$27+'TUSD BE'!$V$27+'TUSD BE'!$W$27+'TUSD BE'!$X$27+'TUSD BE'!$Y$27+'TUSD BE'!$Z$27+'TUSD BE'!$AA$27+'TUSD BE'!$AC$27+'TUSD BE'!$AH$27+'TUSD BE'!$AI$27)*'TUSD BE'!$I$27+(+'TUSD BE'!$L$28+'TUSD BE'!$M$28+'TUSD BE'!$N$28+'TUSD BE'!$O$28+'TUSD BE'!$P$28+'TUSD BE'!$Q$28+'TUSD BE'!$R$28+'TUSD BE'!$S$28+'TUSD BE'!$U$28+'TUSD BE'!$V$28+'TUSD BE'!$W$28+'TUSD BE'!$X$28+'TUSD BE'!$Y$28+'TUSD BE'!$Z$28+'TUSD BE'!$AA$28+'TUSD BE'!$AC$28+'TUSD BE'!$AH$28+'TUSD BE'!$AI$28)*'TUSD BE'!$I$28+(+'TUSD BE'!$L$29+'TUSD BE'!$M$29+'TUSD BE'!$N$29+'TUSD BE'!$O$29+'TUSD BE'!$P$29+'TUSD BE'!$Q$29+'TUSD BE'!$R$29+'TUSD BE'!$S$29+'TUSD BE'!$U$29+'TUSD BE'!$V$29+'TUSD BE'!$W$29+'TUSD BE'!$X$29+'TUSD BE'!$Y$29+'TUSD BE'!$Z$29+'TUSD BE'!$AA$29+'TUSD BE'!$AC$29+'TUSD BE'!$AH$29+'TUSD BE'!$AI$29)*'TUSD BE'!$I$29</f>
        <v>6903760.8552230764</v>
      </c>
      <c r="M66" s="27">
        <f>+'TUSD BE'!$I$17+'TUSD BE'!$I$18+'TUSD BE'!$I$19+'TUSD BE'!$I$20+'TUSD BE'!$I$21+'TUSD BE'!$I$22+'TUSD BE'!$I$23+'TUSD BE'!$I$24+'TUSD BE'!$I$25+'TUSD BE'!$I$26+'TUSD BE'!$I$27+'TUSD BE'!$I$28+'TUSD BE'!$I$29</f>
        <v>11867.422999999997</v>
      </c>
      <c r="N66" s="27"/>
      <c r="O66" s="27"/>
      <c r="P66" s="27"/>
    </row>
    <row r="67" spans="11:16" ht="11.25" customHeight="1" x14ac:dyDescent="0.25">
      <c r="K67" s="27" t="s">
        <v>40</v>
      </c>
      <c r="L67" s="27">
        <f ca="1">+(+'TUSD BE'!$L$30+'TUSD BE'!$M$30+'TUSD BE'!$N$30+'TUSD BE'!$O$30+'TUSD BE'!$P$30+'TUSD BE'!$Q$30+'TUSD BE'!$R$30+'TUSD BE'!$S$30+'TUSD BE'!$U$30+'TUSD BE'!$V$30+'TUSD BE'!$W$30+'TUSD BE'!$X$30+'TUSD BE'!$Y$30+'TUSD BE'!$Z$30+'TUSD BE'!$AA$30+'TUSD BE'!$AC$30+'TUSD BE'!$AH$30+'TUSD BE'!$AI$30)*'TUSD BE'!$I$30+(+'TUSD BE'!$L$31+'TUSD BE'!$M$31+'TUSD BE'!$N$31+'TUSD BE'!$O$31+'TUSD BE'!$P$31+'TUSD BE'!$Q$31+'TUSD BE'!$R$31+'TUSD BE'!$S$31+'TUSD BE'!$U$31+'TUSD BE'!$V$31+'TUSD BE'!$W$31+'TUSD BE'!$X$31+'TUSD BE'!$Y$31+'TUSD BE'!$Z$31+'TUSD BE'!$AA$31+'TUSD BE'!$AC$31+'TUSD BE'!$AH$31+'TUSD BE'!$AI$31)*'TUSD BE'!$I$31+(+'TUSD BE'!$L$32+'TUSD BE'!$M$32+'TUSD BE'!$N$32+'TUSD BE'!$O$32+'TUSD BE'!$P$32+'TUSD BE'!$Q$32+'TUSD BE'!$R$32+'TUSD BE'!$S$32+'TUSD BE'!$U$32+'TUSD BE'!$V$32+'TUSD BE'!$W$32+'TUSD BE'!$X$32+'TUSD BE'!$Y$32+'TUSD BE'!$Z$32+'TUSD BE'!$AA$32+'TUSD BE'!$AC$32+'TUSD BE'!$AH$32+'TUSD BE'!$AI$32)*'TUSD BE'!$I$32+(+'TUSD BE'!$L$33+'TUSD BE'!$M$33+'TUSD BE'!$N$33+'TUSD BE'!$O$33+'TUSD BE'!$P$33+'TUSD BE'!$Q$33+'TUSD BE'!$R$33+'TUSD BE'!$S$33+'TUSD BE'!$U$33+'TUSD BE'!$V$33+'TUSD BE'!$W$33+'TUSD BE'!$X$33+'TUSD BE'!$Y$33+'TUSD BE'!$Z$33+'TUSD BE'!$AA$33+'TUSD BE'!$AC$33+'TUSD BE'!$AH$33+'TUSD BE'!$AI$33)*'TUSD BE'!$I$33+(+'TUSD BE'!$L$34+'TUSD BE'!$M$34+'TUSD BE'!$N$34+'TUSD BE'!$O$34+'TUSD BE'!$P$34+'TUSD BE'!$Q$34+'TUSD BE'!$R$34+'TUSD BE'!$S$34+'TUSD BE'!$U$34+'TUSD BE'!$V$34+'TUSD BE'!$W$34+'TUSD BE'!$X$34+'TUSD BE'!$Y$34+'TUSD BE'!$Z$34+'TUSD BE'!$AA$34+'TUSD BE'!$AC$34+'TUSD BE'!$AH$34+'TUSD BE'!$AI$34)*'TUSD BE'!$I$34+(+'TUSD BE'!$L$35+'TUSD BE'!$M$35+'TUSD BE'!$N$35+'TUSD BE'!$O$35+'TUSD BE'!$P$35+'TUSD BE'!$Q$35+'TUSD BE'!$R$35+'TUSD BE'!$S$35+'TUSD BE'!$U$35+'TUSD BE'!$V$35+'TUSD BE'!$W$35+'TUSD BE'!$X$35+'TUSD BE'!$Y$35+'TUSD BE'!$Z$35+'TUSD BE'!$AA$35+'TUSD BE'!$AC$35+'TUSD BE'!$AH$35+'TUSD BE'!$AI$35)*'TUSD BE'!$I$35+(+'TUSD BE'!$L$36+'TUSD BE'!$M$36+'TUSD BE'!$N$36+'TUSD BE'!$O$36+'TUSD BE'!$P$36+'TUSD BE'!$Q$36+'TUSD BE'!$R$36+'TUSD BE'!$S$36+'TUSD BE'!$U$36+'TUSD BE'!$V$36+'TUSD BE'!$W$36+'TUSD BE'!$X$36+'TUSD BE'!$Y$36+'TUSD BE'!$Z$36+'TUSD BE'!$AA$36+'TUSD BE'!$AC$36+'TUSD BE'!$AH$36+'TUSD BE'!$AI$36)*'TUSD BE'!$I$36+(+'TUSD BE'!$L$37+'TUSD BE'!$M$37+'TUSD BE'!$N$37+'TUSD BE'!$O$37+'TUSD BE'!$P$37+'TUSD BE'!$Q$37+'TUSD BE'!$R$37+'TUSD BE'!$S$37+'TUSD BE'!$U$37+'TUSD BE'!$V$37+'TUSD BE'!$W$37+'TUSD BE'!$X$37+'TUSD BE'!$Y$37+'TUSD BE'!$Z$37+'TUSD BE'!$AA$37+'TUSD BE'!$AC$37+'TUSD BE'!$AH$37+'TUSD BE'!$AI$37)*'TUSD BE'!$I$37+(+'TUSD BE'!$L$38+'TUSD BE'!$M$38+'TUSD BE'!$N$38+'TUSD BE'!$O$38+'TUSD BE'!$P$38+'TUSD BE'!$Q$38+'TUSD BE'!$R$38+'TUSD BE'!$S$38+'TUSD BE'!$U$38+'TUSD BE'!$V$38+'TUSD BE'!$W$38+'TUSD BE'!$X$38+'TUSD BE'!$Y$38+'TUSD BE'!$Z$38+'TUSD BE'!$AA$38+'TUSD BE'!$AC$38+'TUSD BE'!$AH$38+'TUSD BE'!$AI$38)*'TUSD BE'!$I$38+(+'TUSD BE'!$L$39+'TUSD BE'!$M$39+'TUSD BE'!$N$39+'TUSD BE'!$O$39+'TUSD BE'!$P$39+'TUSD BE'!$Q$39+'TUSD BE'!$R$39+'TUSD BE'!$S$39+'TUSD BE'!$U$39+'TUSD BE'!$V$39+'TUSD BE'!$W$39+'TUSD BE'!$X$39+'TUSD BE'!$Y$39+'TUSD BE'!$Z$39+'TUSD BE'!$AA$39+'TUSD BE'!$AC$39+'TUSD BE'!$AH$39+'TUSD BE'!$AI$39)*'TUSD BE'!$I$39+(+'TUSD BE'!$L$40+'TUSD BE'!$M$40+'TUSD BE'!$N$40+'TUSD BE'!$O$40+'TUSD BE'!$P$40+'TUSD BE'!$Q$40+'TUSD BE'!$R$40+'TUSD BE'!$S$40+'TUSD BE'!$U$40+'TUSD BE'!$V$40+'TUSD BE'!$W$40+'TUSD BE'!$X$40+'TUSD BE'!$Y$40+'TUSD BE'!$Z$40+'TUSD BE'!$AA$40+'TUSD BE'!$AC$40+'TUSD BE'!$AH$40+'TUSD BE'!$AI$40)*'TUSD BE'!$I$40+(+'TUSD BE'!$L$41+'TUSD BE'!$M$41+'TUSD BE'!$N$41+'TUSD BE'!$O$41+'TUSD BE'!$P$41+'TUSD BE'!$Q$41+'TUSD BE'!$R$41+'TUSD BE'!$S$41+'TUSD BE'!$U$41+'TUSD BE'!$V$41+'TUSD BE'!$W$41+'TUSD BE'!$X$41+'TUSD BE'!$Y$41+'TUSD BE'!$Z$41+'TUSD BE'!$AA$41+'TUSD BE'!$AC$41+'TUSD BE'!$AH$41+'TUSD BE'!$AI$41)*'TUSD BE'!$I$41+(+'TUSD BE'!$L$42+'TUSD BE'!$M$42+'TUSD BE'!$N$42+'TUSD BE'!$O$42+'TUSD BE'!$P$42+'TUSD BE'!$Q$42+'TUSD BE'!$R$42+'TUSD BE'!$S$42+'TUSD BE'!$U$42+'TUSD BE'!$V$42+'TUSD BE'!$W$42+'TUSD BE'!$X$42+'TUSD BE'!$Y$42+'TUSD BE'!$Z$42+'TUSD BE'!$AA$42+'TUSD BE'!$AC$42+'TUSD BE'!$AH$42+'TUSD BE'!$AI$42)*'TUSD BE'!$I$42+(+'TUSD BE'!$L$43+'TUSD BE'!$M$43+'TUSD BE'!$N$43+'TUSD BE'!$O$43+'TUSD BE'!$P$43+'TUSD BE'!$Q$43+'TUSD BE'!$R$43+'TUSD BE'!$S$43+'TUSD BE'!$U$43+'TUSD BE'!$V$43+'TUSD BE'!$W$43+'TUSD BE'!$X$43+'TUSD BE'!$Y$43+'TUSD BE'!$Z$43+'TUSD BE'!$AA$43+'TUSD BE'!$AC$43+'TUSD BE'!$AH$43+'TUSD BE'!$AI$43)*'TUSD BE'!$I$43+(+'TUSD BE'!$L$44+'TUSD BE'!$M$44+'TUSD BE'!$N$44+'TUSD BE'!$O$44+'TUSD BE'!$P$44+'TUSD BE'!$Q$44+'TUSD BE'!$R$44+'TUSD BE'!$S$44+'TUSD BE'!$U$44+'TUSD BE'!$V$44+'TUSD BE'!$W$44+'TUSD BE'!$X$44+'TUSD BE'!$Y$44+'TUSD BE'!$Z$44+'TUSD BE'!$AA$44+'TUSD BE'!$AC$44+'TUSD BE'!$AH$44+'TUSD BE'!$AI$44)*'TUSD BE'!$I$44</f>
        <v>23363767.163679719</v>
      </c>
      <c r="M67" s="27">
        <f>+'TUSD BE'!$I$30+'TUSD BE'!$I$31+'TUSD BE'!$I$32+'TUSD BE'!$I$33+'TUSD BE'!$I$34+'TUSD BE'!$I$35+'TUSD BE'!$I$36+'TUSD BE'!$I$37+'TUSD BE'!$I$38+'TUSD BE'!$I$39+'TUSD BE'!$I$40+'TUSD BE'!$I$41+'TUSD BE'!$I$42+'TUSD BE'!$I$43+'TUSD BE'!$I$44</f>
        <v>40057.667999999998</v>
      </c>
      <c r="N67" s="27"/>
      <c r="O67" s="27"/>
      <c r="P67" s="27"/>
    </row>
    <row r="68" spans="11:16" ht="11.25" customHeight="1" x14ac:dyDescent="0.25">
      <c r="K68" s="27" t="s">
        <v>33</v>
      </c>
      <c r="L68" s="27">
        <f ca="1">+(+'TUSD BE'!$L$45+'TUSD BE'!$M$45+'TUSD BE'!$N$45+'TUSD BE'!$O$45+'TUSD BE'!$P$45+'TUSD BE'!$Q$45+'TUSD BE'!$R$45+'TUSD BE'!$S$45+'TUSD BE'!$U$45+'TUSD BE'!$V$45+'TUSD BE'!$W$45+'TUSD BE'!$X$45+'TUSD BE'!$Y$45+'TUSD BE'!$Z$45+'TUSD BE'!$AA$45+'TUSD BE'!$AC$45+'TUSD BE'!$AH$45+'TUSD BE'!$AI$45)*'TUSD BE'!$I$45+(+'TUSD BE'!$L$46+'TUSD BE'!$M$46+'TUSD BE'!$N$46+'TUSD BE'!$O$46+'TUSD BE'!$P$46+'TUSD BE'!$Q$46+'TUSD BE'!$R$46+'TUSD BE'!$S$46+'TUSD BE'!$U$46+'TUSD BE'!$V$46+'TUSD BE'!$W$46+'TUSD BE'!$X$46+'TUSD BE'!$Y$46+'TUSD BE'!$Z$46+'TUSD BE'!$AA$46+'TUSD BE'!$AC$46+'TUSD BE'!$AH$46+'TUSD BE'!$AI$46)*'TUSD BE'!$I$46+(+'TUSD BE'!$L$47+'TUSD BE'!$M$47+'TUSD BE'!$N$47+'TUSD BE'!$O$47+'TUSD BE'!$P$47+'TUSD BE'!$Q$47+'TUSD BE'!$R$47+'TUSD BE'!$S$47+'TUSD BE'!$U$47+'TUSD BE'!$V$47+'TUSD BE'!$W$47+'TUSD BE'!$X$47+'TUSD BE'!$Y$47+'TUSD BE'!$Z$47+'TUSD BE'!$AA$47+'TUSD BE'!$AC$47+'TUSD BE'!$AH$47+'TUSD BE'!$AI$47)*'TUSD BE'!$I$47+(+'TUSD BE'!$L$48+'TUSD BE'!$M$48+'TUSD BE'!$N$48+'TUSD BE'!$O$48+'TUSD BE'!$P$48+'TUSD BE'!$Q$48+'TUSD BE'!$R$48+'TUSD BE'!$S$48+'TUSD BE'!$U$48+'TUSD BE'!$V$48+'TUSD BE'!$W$48+'TUSD BE'!$X$48+'TUSD BE'!$Y$48+'TUSD BE'!$Z$48+'TUSD BE'!$AA$48+'TUSD BE'!$AC$48+'TUSD BE'!$AH$48+'TUSD BE'!$AI$48)*'TUSD BE'!$I$48+(+'TUSD BE'!$L$49+'TUSD BE'!$M$49+'TUSD BE'!$N$49+'TUSD BE'!$O$49+'TUSD BE'!$P$49+'TUSD BE'!$Q$49+'TUSD BE'!$R$49+'TUSD BE'!$S$49+'TUSD BE'!$U$49+'TUSD BE'!$V$49+'TUSD BE'!$W$49+'TUSD BE'!$X$49+'TUSD BE'!$Y$49+'TUSD BE'!$Z$49+'TUSD BE'!$AA$49+'TUSD BE'!$AC$49+'TUSD BE'!$AH$49+'TUSD BE'!$AI$49)*'TUSD BE'!$I$49</f>
        <v>3861865.9311998473</v>
      </c>
      <c r="M68" s="27">
        <f>+'TUSD BE'!$I$45+'TUSD BE'!$I$46+'TUSD BE'!$I$47+'TUSD BE'!$I$48+'TUSD BE'!$I$49</f>
        <v>6621.2499999999991</v>
      </c>
      <c r="N68" s="27"/>
      <c r="O68" s="27"/>
      <c r="P68" s="27"/>
    </row>
    <row r="69" spans="11:16" ht="11.25" customHeight="1" x14ac:dyDescent="0.25">
      <c r="K69" s="27" t="s">
        <v>43</v>
      </c>
      <c r="L69" s="27">
        <f ca="1">+(+'TUSD BE'!$L$50+'TUSD BE'!$M$50+'TUSD BE'!$N$50+'TUSD BE'!$O$50+'TUSD BE'!$P$50+'TUSD BE'!$Q$50+'TUSD BE'!$R$50+'TUSD BE'!$S$50+'TUSD BE'!$U$50+'TUSD BE'!$V$50+'TUSD BE'!$W$50+'TUSD BE'!$X$50+'TUSD BE'!$Y$50+'TUSD BE'!$Z$50+'TUSD BE'!$AA$50+'TUSD BE'!$AC$50+'TUSD BE'!$AH$50+'TUSD BE'!$AI$50)*'TUSD BE'!$I$50+(+'TUSD BE'!$L$51+'TUSD BE'!$M$51+'TUSD BE'!$N$51+'TUSD BE'!$O$51+'TUSD BE'!$P$51+'TUSD BE'!$Q$51+'TUSD BE'!$R$51+'TUSD BE'!$S$51+'TUSD BE'!$U$51+'TUSD BE'!$V$51+'TUSD BE'!$W$51+'TUSD BE'!$X$51+'TUSD BE'!$Y$51+'TUSD BE'!$Z$51+'TUSD BE'!$AA$51+'TUSD BE'!$AC$51+'TUSD BE'!$AH$51+'TUSD BE'!$AI$51)*'TUSD BE'!$I$51</f>
        <v>298508.25298381352</v>
      </c>
      <c r="M69" s="27">
        <f>+'TUSD BE'!$I$50+'TUSD BE'!$I$51</f>
        <v>930.54300000000012</v>
      </c>
      <c r="N69" s="27"/>
      <c r="O69" s="27"/>
      <c r="P69" s="27"/>
    </row>
    <row r="70" spans="11:16" ht="11.25" customHeight="1" x14ac:dyDescent="0.25">
      <c r="K70" s="27"/>
      <c r="L70" s="27">
        <f ca="1">SUM($L$63:$L$69,-$L$64)</f>
        <v>46602805.65059758</v>
      </c>
      <c r="M70" s="27">
        <f>SUM($M$63:$M$69,-$M$64)</f>
        <v>91552.992999999988</v>
      </c>
      <c r="N70" s="27"/>
      <c r="O70" s="27"/>
      <c r="P70" s="27"/>
    </row>
  </sheetData>
  <mergeCells count="73">
    <mergeCell ref="AH3:AL3"/>
    <mergeCell ref="AM3:AM4"/>
    <mergeCell ref="AP1:AP4"/>
    <mergeCell ref="G1:G4"/>
    <mergeCell ref="H1:H4"/>
    <mergeCell ref="I1:I4"/>
    <mergeCell ref="J1:J4"/>
    <mergeCell ref="L1:AM1"/>
    <mergeCell ref="L2:AM2"/>
    <mergeCell ref="L3:T3"/>
    <mergeCell ref="U3:AB3"/>
    <mergeCell ref="AC3:AD3"/>
    <mergeCell ref="AE3:AG3"/>
    <mergeCell ref="A1:A4"/>
    <mergeCell ref="B1:B4"/>
    <mergeCell ref="C1:C4"/>
    <mergeCell ref="D1:D4"/>
    <mergeCell ref="E1:E4"/>
    <mergeCell ref="F1:F4"/>
    <mergeCell ref="E45:E47"/>
    <mergeCell ref="F45:F47"/>
    <mergeCell ref="A50:A51"/>
    <mergeCell ref="B50:B51"/>
    <mergeCell ref="C50:C51"/>
    <mergeCell ref="B42:B44"/>
    <mergeCell ref="C42:C44"/>
    <mergeCell ref="A45:A49"/>
    <mergeCell ref="B45:B47"/>
    <mergeCell ref="C45:C47"/>
    <mergeCell ref="D45:D47"/>
    <mergeCell ref="F34:F36"/>
    <mergeCell ref="B38:B40"/>
    <mergeCell ref="C38:C40"/>
    <mergeCell ref="D38:D40"/>
    <mergeCell ref="E38:E40"/>
    <mergeCell ref="F38:F40"/>
    <mergeCell ref="A30:A44"/>
    <mergeCell ref="B30:B32"/>
    <mergeCell ref="C30:C32"/>
    <mergeCell ref="D30:D32"/>
    <mergeCell ref="E30:E32"/>
    <mergeCell ref="F30:F32"/>
    <mergeCell ref="B34:B36"/>
    <mergeCell ref="C34:C36"/>
    <mergeCell ref="D34:D36"/>
    <mergeCell ref="E34:E36"/>
    <mergeCell ref="F13:F14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E5:E7"/>
    <mergeCell ref="F5:F7"/>
    <mergeCell ref="B10:B14"/>
    <mergeCell ref="C10:C14"/>
    <mergeCell ref="A15:A16"/>
    <mergeCell ref="B15:B16"/>
    <mergeCell ref="C15:C16"/>
    <mergeCell ref="D15:D16"/>
    <mergeCell ref="A5:A14"/>
    <mergeCell ref="B5:B8"/>
    <mergeCell ref="C5:C8"/>
    <mergeCell ref="D5:D8"/>
    <mergeCell ref="D10:D14"/>
    <mergeCell ref="E10:E12"/>
    <mergeCell ref="F10:F12"/>
    <mergeCell ref="E13:E1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F39B-81BD-4566-A215-EA8245FDA79F}">
  <sheetPr codeName="Planilha9"/>
  <dimension ref="A1:AP58"/>
  <sheetViews>
    <sheetView showGridLines="0" workbookViewId="0">
      <selection activeCell="K14" sqref="K14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8.7109375" style="9" bestFit="1" customWidth="1"/>
    <col min="14" max="15" width="4.140625" style="9" bestFit="1" customWidth="1"/>
    <col min="16" max="16" width="4.42578125" style="9" bestFit="1" customWidth="1"/>
    <col min="17" max="18" width="10" style="9" bestFit="1" customWidth="1"/>
    <col min="19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.855468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1.4257812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95" t="s">
        <v>62</v>
      </c>
      <c r="B1" s="95" t="s">
        <v>63</v>
      </c>
      <c r="C1" s="95" t="s">
        <v>64</v>
      </c>
      <c r="D1" s="95" t="s">
        <v>65</v>
      </c>
      <c r="E1" s="95" t="s">
        <v>66</v>
      </c>
      <c r="F1" s="95" t="s">
        <v>15</v>
      </c>
      <c r="G1" s="95" t="s">
        <v>68</v>
      </c>
      <c r="H1" s="95" t="s">
        <v>69</v>
      </c>
      <c r="I1" s="95" t="s">
        <v>487</v>
      </c>
      <c r="J1" s="90"/>
      <c r="L1" s="96" t="s">
        <v>495</v>
      </c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P1" s="96" t="s">
        <v>489</v>
      </c>
    </row>
    <row r="2" spans="1:42" ht="11.25" customHeight="1" x14ac:dyDescent="0.25">
      <c r="A2" s="95"/>
      <c r="B2" s="95"/>
      <c r="C2" s="95"/>
      <c r="D2" s="95"/>
      <c r="E2" s="95"/>
      <c r="F2" s="95"/>
      <c r="G2" s="95"/>
      <c r="H2" s="95"/>
      <c r="I2" s="95"/>
      <c r="J2" s="90"/>
      <c r="L2" s="96" t="s">
        <v>386</v>
      </c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P2" s="97"/>
    </row>
    <row r="3" spans="1:42" ht="11.25" customHeight="1" x14ac:dyDescent="0.25">
      <c r="A3" s="95"/>
      <c r="B3" s="95"/>
      <c r="C3" s="95"/>
      <c r="D3" s="95"/>
      <c r="E3" s="95"/>
      <c r="F3" s="95"/>
      <c r="G3" s="95"/>
      <c r="H3" s="95"/>
      <c r="I3" s="95"/>
      <c r="J3" s="90"/>
      <c r="L3" s="96" t="s">
        <v>387</v>
      </c>
      <c r="M3" s="96"/>
      <c r="N3" s="96"/>
      <c r="O3" s="96"/>
      <c r="P3" s="96"/>
      <c r="Q3" s="96"/>
      <c r="R3" s="96"/>
      <c r="S3" s="96"/>
      <c r="T3" s="96"/>
      <c r="U3" s="96" t="s">
        <v>396</v>
      </c>
      <c r="V3" s="96"/>
      <c r="W3" s="96"/>
      <c r="X3" s="96"/>
      <c r="Y3" s="96"/>
      <c r="Z3" s="96"/>
      <c r="AA3" s="96"/>
      <c r="AB3" s="96"/>
      <c r="AC3" s="96" t="s">
        <v>404</v>
      </c>
      <c r="AD3" s="96"/>
      <c r="AE3" s="96" t="s">
        <v>406</v>
      </c>
      <c r="AF3" s="96"/>
      <c r="AG3" s="96"/>
      <c r="AH3" s="96" t="s">
        <v>409</v>
      </c>
      <c r="AI3" s="96"/>
      <c r="AJ3" s="96"/>
      <c r="AK3" s="96"/>
      <c r="AL3" s="96"/>
      <c r="AM3" s="96" t="s">
        <v>395</v>
      </c>
      <c r="AP3" s="97"/>
    </row>
    <row r="4" spans="1:42" ht="11.25" customHeight="1" x14ac:dyDescent="0.25">
      <c r="A4" s="95"/>
      <c r="B4" s="95"/>
      <c r="C4" s="95"/>
      <c r="D4" s="95"/>
      <c r="E4" s="95"/>
      <c r="F4" s="95"/>
      <c r="G4" s="95"/>
      <c r="H4" s="95"/>
      <c r="I4" s="95"/>
      <c r="J4" s="90"/>
      <c r="L4" s="25" t="s">
        <v>472</v>
      </c>
      <c r="M4" s="25" t="s">
        <v>388</v>
      </c>
      <c r="N4" s="25" t="s">
        <v>389</v>
      </c>
      <c r="O4" s="25" t="s">
        <v>390</v>
      </c>
      <c r="P4" s="25" t="s">
        <v>391</v>
      </c>
      <c r="Q4" s="25" t="s">
        <v>392</v>
      </c>
      <c r="R4" s="25" t="s">
        <v>393</v>
      </c>
      <c r="S4" s="25" t="s">
        <v>394</v>
      </c>
      <c r="T4" s="25" t="s">
        <v>395</v>
      </c>
      <c r="U4" s="25" t="s">
        <v>397</v>
      </c>
      <c r="V4" s="25" t="s">
        <v>398</v>
      </c>
      <c r="W4" s="25" t="s">
        <v>399</v>
      </c>
      <c r="X4" s="25" t="s">
        <v>400</v>
      </c>
      <c r="Y4" s="25" t="s">
        <v>401</v>
      </c>
      <c r="Z4" s="25" t="s">
        <v>402</v>
      </c>
      <c r="AA4" s="25" t="s">
        <v>403</v>
      </c>
      <c r="AB4" s="25" t="s">
        <v>395</v>
      </c>
      <c r="AC4" s="25" t="s">
        <v>405</v>
      </c>
      <c r="AD4" s="25" t="s">
        <v>395</v>
      </c>
      <c r="AE4" s="25" t="s">
        <v>407</v>
      </c>
      <c r="AF4" s="25" t="s">
        <v>408</v>
      </c>
      <c r="AG4" s="25" t="s">
        <v>395</v>
      </c>
      <c r="AH4" s="25" t="s">
        <v>410</v>
      </c>
      <c r="AI4" s="25" t="s">
        <v>411</v>
      </c>
      <c r="AJ4" s="25" t="s">
        <v>412</v>
      </c>
      <c r="AK4" s="25" t="s">
        <v>413</v>
      </c>
      <c r="AL4" s="25" t="s">
        <v>395</v>
      </c>
      <c r="AM4" s="98"/>
      <c r="AP4" s="97"/>
    </row>
    <row r="5" spans="1:42" ht="11.25" customHeight="1" x14ac:dyDescent="0.25">
      <c r="A5" s="94" t="s">
        <v>35</v>
      </c>
      <c r="B5" s="94" t="s">
        <v>48</v>
      </c>
      <c r="C5" s="94" t="s">
        <v>25</v>
      </c>
      <c r="D5" s="94" t="s">
        <v>25</v>
      </c>
      <c r="E5" s="94" t="s">
        <v>25</v>
      </c>
      <c r="F5" s="94" t="s">
        <v>25</v>
      </c>
      <c r="G5" s="27" t="s">
        <v>76</v>
      </c>
      <c r="H5" s="27" t="s">
        <v>75</v>
      </c>
      <c r="I5" s="27">
        <f>'MERCADO TUSD'!$U$2</f>
        <v>5811</v>
      </c>
      <c r="J5" s="15"/>
      <c r="L5" s="17">
        <f>'TR TUSD'!$L$5*'TR TUSD'!$L$60</f>
        <v>0</v>
      </c>
      <c r="M5" s="17">
        <f>'TR TUSD'!$M$5*'TR TUSD'!$M$60</f>
        <v>0</v>
      </c>
      <c r="N5" s="17">
        <f ca="1">'TR TUSD'!$N$5*'TR TUSD'!$N$60</f>
        <v>0</v>
      </c>
      <c r="O5" s="17">
        <f>'TR TUSD'!$O$5*'TR TUSD'!$O$60</f>
        <v>0</v>
      </c>
      <c r="P5" s="17">
        <f>'TR TUSD'!$P$5*'TR TUSD'!$P$60</f>
        <v>0</v>
      </c>
      <c r="Q5" s="17">
        <f>'TR TUSD'!$Q$5*'TR TUSD'!$Q$60</f>
        <v>0</v>
      </c>
      <c r="R5" s="17">
        <f>'TR TUSD'!$R$5*'TR TUSD'!$R$60</f>
        <v>0</v>
      </c>
      <c r="S5" s="17">
        <f>'TR TUSD'!$S$5*'TR TUSD'!$S$60</f>
        <v>0</v>
      </c>
      <c r="T5" s="17">
        <f ca="1">SUM($L$5:$S$5)</f>
        <v>0</v>
      </c>
      <c r="U5" s="17">
        <f>'TR TUSD'!$U$5*'TR TUSD'!$U$60</f>
        <v>0</v>
      </c>
      <c r="V5" s="17">
        <f>'TR TUSD'!$V$5*'TR TUSD'!$V$60</f>
        <v>0</v>
      </c>
      <c r="W5" s="17">
        <f>'TR TUSD'!$W$5*'TR TUSD'!$W$60</f>
        <v>0</v>
      </c>
      <c r="X5" s="17">
        <f>'TR TUSD'!$X$5*'TR TUSD'!$X$60</f>
        <v>0</v>
      </c>
      <c r="Y5" s="17">
        <f>'TR TUSD'!$Y$5*'TR TUSD'!$Y$60</f>
        <v>36.486981927535737</v>
      </c>
      <c r="Z5" s="17">
        <f>'TR TUSD'!$Z$5</f>
        <v>0</v>
      </c>
      <c r="AA5" s="17">
        <f>'TR TUSD'!$AA$5</f>
        <v>0</v>
      </c>
      <c r="AB5" s="17">
        <f>SUM($U$5:$AA$5)</f>
        <v>36.486981927535737</v>
      </c>
      <c r="AC5" s="17">
        <f>'TR TUSD'!$AC$5*'TR TUSD'!$AC$60</f>
        <v>81.892602698386384</v>
      </c>
      <c r="AD5" s="17">
        <f>SUM($AC$5:$AC$5)</f>
        <v>81.892602698386384</v>
      </c>
      <c r="AE5" s="17">
        <v>0</v>
      </c>
      <c r="AF5" s="17">
        <v>0</v>
      </c>
      <c r="AG5" s="17">
        <f>SUM($AE$5:$AF$5)</f>
        <v>0</v>
      </c>
      <c r="AH5" s="17">
        <f>'TR TUSD'!$AH$5*'TR TUSD'!$AH$60</f>
        <v>0</v>
      </c>
      <c r="AI5" s="17">
        <f>'TR TUSD'!$AI$5*'TR TUSD'!$AI$60</f>
        <v>0</v>
      </c>
      <c r="AJ5" s="17">
        <f ca="1">'TR TUSD'!$AJ$5*'TR TUSD'!$AJ$60</f>
        <v>0</v>
      </c>
      <c r="AK5" s="17">
        <f ca="1">'TR TUSD'!$AK$5*'TR TUSD'!$AK$60</f>
        <v>0</v>
      </c>
      <c r="AL5" s="17">
        <f ca="1">SUM($AH$5:$AK$5)</f>
        <v>0</v>
      </c>
      <c r="AM5" s="17">
        <f ca="1">SUMIF($L$4:$AL$4,"SUBTOTAL",$L$5:$AL$5)</f>
        <v>118.37958462592212</v>
      </c>
      <c r="AP5" s="17">
        <v>1</v>
      </c>
    </row>
    <row r="6" spans="1:42" ht="11.25" customHeight="1" x14ac:dyDescent="0.25">
      <c r="A6" s="94"/>
      <c r="B6" s="94"/>
      <c r="C6" s="94"/>
      <c r="D6" s="94"/>
      <c r="E6" s="94"/>
      <c r="F6" s="94"/>
      <c r="G6" s="27" t="s">
        <v>77</v>
      </c>
      <c r="H6" s="27" t="s">
        <v>75</v>
      </c>
      <c r="I6" s="27">
        <f>'MERCADO TUSD'!$U$3</f>
        <v>5810</v>
      </c>
      <c r="J6" s="15"/>
      <c r="L6" s="17">
        <f>'TR TUSD'!$L$6*'TR TUSD'!$L$60</f>
        <v>0</v>
      </c>
      <c r="M6" s="17">
        <f>'TR TUSD'!$M$6*'TR TUSD'!$M$60</f>
        <v>0</v>
      </c>
      <c r="N6" s="17">
        <f ca="1">'TR TUSD'!$N$6*'TR TUSD'!$N$60</f>
        <v>0</v>
      </c>
      <c r="O6" s="17">
        <f>'TR TUSD'!$O$6*'TR TUSD'!$O$60</f>
        <v>0</v>
      </c>
      <c r="P6" s="17">
        <f>'TR TUSD'!$P$6*'TR TUSD'!$P$60</f>
        <v>0</v>
      </c>
      <c r="Q6" s="17">
        <f>'TR TUSD'!$Q$6*'TR TUSD'!$Q$60</f>
        <v>0</v>
      </c>
      <c r="R6" s="17">
        <f>'TR TUSD'!$R$6*'TR TUSD'!$R$60</f>
        <v>0</v>
      </c>
      <c r="S6" s="17">
        <f>'TR TUSD'!$S$6*'TR TUSD'!$S$60</f>
        <v>0</v>
      </c>
      <c r="T6" s="17">
        <f ca="1">SUM($L$6:$S$6)</f>
        <v>0</v>
      </c>
      <c r="U6" s="17">
        <f>'TR TUSD'!$U$6*'TR TUSD'!$U$60</f>
        <v>0</v>
      </c>
      <c r="V6" s="17">
        <f>'TR TUSD'!$V$6*'TR TUSD'!$V$60</f>
        <v>0</v>
      </c>
      <c r="W6" s="17">
        <f>'TR TUSD'!$W$6*'TR TUSD'!$W$60</f>
        <v>0</v>
      </c>
      <c r="X6" s="17">
        <f>'TR TUSD'!$X$6*'TR TUSD'!$X$60</f>
        <v>0</v>
      </c>
      <c r="Y6" s="17">
        <f>'TR TUSD'!$Y$6*'TR TUSD'!$Y$60</f>
        <v>14.747585160589331</v>
      </c>
      <c r="Z6" s="17">
        <f>'TR TUSD'!$Z$6</f>
        <v>0</v>
      </c>
      <c r="AA6" s="17">
        <f>'TR TUSD'!$AA$6</f>
        <v>0</v>
      </c>
      <c r="AB6" s="17">
        <f>SUM($U$6:$AA$6)</f>
        <v>14.747585160589331</v>
      </c>
      <c r="AC6" s="17">
        <f>'TR TUSD'!$AC$6*'TR TUSD'!$AC$60</f>
        <v>22.883565883318553</v>
      </c>
      <c r="AD6" s="17">
        <f>SUM($AC$6:$AC$6)</f>
        <v>22.883565883318553</v>
      </c>
      <c r="AE6" s="17">
        <v>0</v>
      </c>
      <c r="AF6" s="17">
        <v>0</v>
      </c>
      <c r="AG6" s="17">
        <f>SUM($AE$6:$AF$6)</f>
        <v>0</v>
      </c>
      <c r="AH6" s="17">
        <f>'TR TUSD'!$AH$6*'TR TUSD'!$AH$60</f>
        <v>0</v>
      </c>
      <c r="AI6" s="17">
        <f>'TR TUSD'!$AI$6*'TR TUSD'!$AI$60</f>
        <v>0</v>
      </c>
      <c r="AJ6" s="17">
        <f ca="1">'TR TUSD'!$AJ$6*'TR TUSD'!$AJ$60</f>
        <v>0</v>
      </c>
      <c r="AK6" s="17">
        <f ca="1">'TR TUSD'!$AK$6*'TR TUSD'!$AK$60</f>
        <v>0</v>
      </c>
      <c r="AL6" s="17">
        <f ca="1">SUM($AH$6:$AK$6)</f>
        <v>0</v>
      </c>
      <c r="AM6" s="17">
        <f ca="1">SUMIF($L$4:$AL$4,"SUBTOTAL",$L$6:$AL$6)</f>
        <v>37.631151043907884</v>
      </c>
      <c r="AP6" s="17">
        <v>1</v>
      </c>
    </row>
    <row r="7" spans="1:42" ht="11.25" customHeight="1" x14ac:dyDescent="0.25">
      <c r="A7" s="94"/>
      <c r="B7" s="94"/>
      <c r="C7" s="94"/>
      <c r="D7" s="94"/>
      <c r="E7" s="94"/>
      <c r="F7" s="94"/>
      <c r="G7" s="27" t="s">
        <v>78</v>
      </c>
      <c r="H7" s="27" t="s">
        <v>72</v>
      </c>
      <c r="I7" s="27">
        <f>'MERCADO TUSD'!$U$4</f>
        <v>2834.2459999999996</v>
      </c>
      <c r="J7" s="15"/>
      <c r="L7" s="17">
        <f>'TR TUSD'!$L$7*'TR TUSD'!$L$60</f>
        <v>0</v>
      </c>
      <c r="M7" s="17">
        <f>'TR TUSD'!$M$7*'TR TUSD'!$M$60</f>
        <v>0.76559925091671244</v>
      </c>
      <c r="N7" s="17">
        <f ca="1">'TR TUSD'!$N$7*'TR TUSD'!$N$60</f>
        <v>0</v>
      </c>
      <c r="O7" s="17">
        <f>'TR TUSD'!$O$7*'TR TUSD'!$O$60</f>
        <v>0</v>
      </c>
      <c r="P7" s="17">
        <f>'TR TUSD'!$P$7*'TR TUSD'!$P$60</f>
        <v>0</v>
      </c>
      <c r="Q7" s="17">
        <f>'TR TUSD'!$Q$7*'TR TUSD'!$Q$60</f>
        <v>75.422056803331188</v>
      </c>
      <c r="R7" s="17">
        <f>'TR TUSD'!$R$7*'TR TUSD'!$R$60</f>
        <v>14.195047864355542</v>
      </c>
      <c r="S7" s="17">
        <f>'TR TUSD'!$S$7*'TR TUSD'!$S$60</f>
        <v>0</v>
      </c>
      <c r="T7" s="17">
        <f ca="1">SUM($L$7:$S$7)</f>
        <v>90.38270391860344</v>
      </c>
      <c r="U7" s="17">
        <f>'TR TUSD'!$U$7*'TR TUSD'!$U$60</f>
        <v>0</v>
      </c>
      <c r="V7" s="17">
        <f>'TR TUSD'!$V$7*'TR TUSD'!$V$60</f>
        <v>0</v>
      </c>
      <c r="W7" s="17">
        <f>'TR TUSD'!$W$7*'TR TUSD'!$W$60</f>
        <v>0</v>
      </c>
      <c r="X7" s="17">
        <f>'TR TUSD'!$X$7*'TR TUSD'!$X$60</f>
        <v>0</v>
      </c>
      <c r="Y7" s="17">
        <f>'TR TUSD'!$Y$7*'TR TUSD'!$Y$60</f>
        <v>0</v>
      </c>
      <c r="Z7" s="17">
        <f>'TR TUSD'!$Z$7</f>
        <v>0</v>
      </c>
      <c r="AA7" s="17">
        <f>'TR TUSD'!$AA$7</f>
        <v>0</v>
      </c>
      <c r="AB7" s="17">
        <f>SUM($U$7:$AA$7)</f>
        <v>0</v>
      </c>
      <c r="AC7" s="17">
        <f>'TR TUSD'!$AC$7*'TR TUSD'!$AC$60</f>
        <v>0</v>
      </c>
      <c r="AD7" s="17">
        <f>SUM($AC$7:$AC$7)</f>
        <v>0</v>
      </c>
      <c r="AE7" s="17">
        <v>0</v>
      </c>
      <c r="AF7" s="17">
        <v>0</v>
      </c>
      <c r="AG7" s="17">
        <f>SUM($AE$7:$AF$7)</f>
        <v>0</v>
      </c>
      <c r="AH7" s="17">
        <f>'TR TUSD'!$AH$7*'TR TUSD'!$AH$60</f>
        <v>6.9604697525245314</v>
      </c>
      <c r="AI7" s="17">
        <f>'TR TUSD'!$AI$7*'TR TUSD'!$AI$60</f>
        <v>0</v>
      </c>
      <c r="AJ7" s="17">
        <f ca="1">'TR TUSD'!$AJ$7*'TR TUSD'!$AJ$60</f>
        <v>0</v>
      </c>
      <c r="AK7" s="17">
        <f ca="1">'TR TUSD'!$AK$7*'TR TUSD'!$AK$60</f>
        <v>0</v>
      </c>
      <c r="AL7" s="17">
        <f ca="1">SUM($AH$7:$AK$7)</f>
        <v>6.9604697525245314</v>
      </c>
      <c r="AM7" s="17">
        <f ca="1">SUMIF($L$4:$AL$4,"SUBTOTAL",$L$7:$AL$7)</f>
        <v>97.343173671127971</v>
      </c>
      <c r="AP7" s="17">
        <v>1</v>
      </c>
    </row>
    <row r="8" spans="1:42" ht="11.25" customHeight="1" x14ac:dyDescent="0.25">
      <c r="A8" s="94"/>
      <c r="B8" s="94"/>
      <c r="C8" s="94"/>
      <c r="D8" s="94"/>
      <c r="E8" s="26" t="s">
        <v>79</v>
      </c>
      <c r="F8" s="26" t="s">
        <v>25</v>
      </c>
      <c r="G8" s="27" t="s">
        <v>78</v>
      </c>
      <c r="H8" s="27" t="s">
        <v>72</v>
      </c>
      <c r="I8" s="27">
        <f>'MERCADO TUSD'!$U$5</f>
        <v>0</v>
      </c>
      <c r="J8" s="15"/>
      <c r="L8" s="17">
        <f>'TR TUSD'!$L$8*'TR TUSD'!$L$60</f>
        <v>0</v>
      </c>
      <c r="M8" s="17">
        <f>'TR TUSD'!$M$8*'TR TUSD'!$M$60</f>
        <v>0.76559925091671244</v>
      </c>
      <c r="N8" s="17">
        <f ca="1">'TR TUSD'!$N$8*'TR TUSD'!$N$60</f>
        <v>0</v>
      </c>
      <c r="O8" s="17">
        <f>'TR TUSD'!$O$8*'TR TUSD'!$O$60</f>
        <v>0</v>
      </c>
      <c r="P8" s="17">
        <f>'TR TUSD'!$P$8*'TR TUSD'!$P$60</f>
        <v>0</v>
      </c>
      <c r="Q8" s="17">
        <f>'TR TUSD'!$Q$8*'TR TUSD'!$Q$60</f>
        <v>0</v>
      </c>
      <c r="R8" s="17">
        <f>'TR TUSD'!$R$8*'TR TUSD'!$R$60</f>
        <v>0</v>
      </c>
      <c r="S8" s="17">
        <f>'TR TUSD'!$S$8*'TR TUSD'!$S$60</f>
        <v>0</v>
      </c>
      <c r="T8" s="17">
        <f ca="1">SUM($L$8:$S$8)</f>
        <v>0.76559925091671244</v>
      </c>
      <c r="U8" s="17">
        <f>'TR TUSD'!$U$8*'TR TUSD'!$U$60</f>
        <v>0</v>
      </c>
      <c r="V8" s="17">
        <f>'TR TUSD'!$V$8*'TR TUSD'!$V$60</f>
        <v>0</v>
      </c>
      <c r="W8" s="17">
        <f>'TR TUSD'!$W$8*'TR TUSD'!$W$60</f>
        <v>0</v>
      </c>
      <c r="X8" s="17">
        <f>'TR TUSD'!$X$8*'TR TUSD'!$X$60</f>
        <v>0</v>
      </c>
      <c r="Y8" s="17">
        <f>'TR TUSD'!$Y$8*'TR TUSD'!$Y$60</f>
        <v>0</v>
      </c>
      <c r="Z8" s="17">
        <f>'TR TUSD'!$Z$8</f>
        <v>0</v>
      </c>
      <c r="AA8" s="17">
        <f>'TR TUSD'!$AA$8</f>
        <v>0</v>
      </c>
      <c r="AB8" s="17">
        <f>SUM($U$8:$AA$8)</f>
        <v>0</v>
      </c>
      <c r="AC8" s="17">
        <f>'TR TUSD'!$AC$8*'TR TUSD'!$AC$60</f>
        <v>0</v>
      </c>
      <c r="AD8" s="17">
        <f>SUM($AC$8:$AC$8)</f>
        <v>0</v>
      </c>
      <c r="AE8" s="17">
        <v>0</v>
      </c>
      <c r="AF8" s="17">
        <v>0</v>
      </c>
      <c r="AG8" s="17">
        <f>SUM($AE$8:$AF$8)</f>
        <v>0</v>
      </c>
      <c r="AH8" s="17">
        <f>'TR TUSD'!$AH$8*'TR TUSD'!$AH$60</f>
        <v>6.9604697525245314</v>
      </c>
      <c r="AI8" s="17">
        <f>'TR TUSD'!$AI$8*'TR TUSD'!$AI$60</f>
        <v>0</v>
      </c>
      <c r="AJ8" s="17">
        <f ca="1">'TR TUSD'!$AJ$8*'TR TUSD'!$AJ$60</f>
        <v>0</v>
      </c>
      <c r="AK8" s="17">
        <f ca="1">'TR TUSD'!$AK$8*'TR TUSD'!$AK$60</f>
        <v>0</v>
      </c>
      <c r="AL8" s="17">
        <f ca="1">SUM($AH$8:$AK$8)</f>
        <v>6.9604697525245314</v>
      </c>
      <c r="AM8" s="17">
        <f ca="1">SUMIF($L$4:$AL$4,"SUBTOTAL",$L$8:$AL$8)</f>
        <v>7.7260690034412436</v>
      </c>
      <c r="AP8" s="17">
        <v>1</v>
      </c>
    </row>
    <row r="9" spans="1:42" ht="11.25" customHeight="1" x14ac:dyDescent="0.25">
      <c r="A9" s="94"/>
      <c r="B9" s="26" t="s">
        <v>53</v>
      </c>
      <c r="C9" s="26" t="s">
        <v>25</v>
      </c>
      <c r="D9" s="26" t="s">
        <v>25</v>
      </c>
      <c r="E9" s="26" t="s">
        <v>25</v>
      </c>
      <c r="F9" s="26" t="s">
        <v>25</v>
      </c>
      <c r="G9" s="27" t="s">
        <v>9</v>
      </c>
      <c r="H9" s="27" t="s">
        <v>75</v>
      </c>
      <c r="I9" s="27">
        <f>'MERCADO TUSD'!$U$6</f>
        <v>10908</v>
      </c>
      <c r="J9" s="15"/>
      <c r="L9" s="17">
        <f>'TR TUSD'!$L$9*'TR TUSD'!$L$60</f>
        <v>0</v>
      </c>
      <c r="M9" s="17">
        <f>'TR TUSD'!$M$9*'TR TUSD'!$M$60</f>
        <v>1.0346044202347816E-2</v>
      </c>
      <c r="N9" s="17">
        <f ca="1">'TR TUSD'!$N$9*'TR TUSD'!$N$60</f>
        <v>0</v>
      </c>
      <c r="O9" s="17">
        <f>'TR TUSD'!$O$9*'TR TUSD'!$O$60</f>
        <v>0</v>
      </c>
      <c r="P9" s="17">
        <f>'TR TUSD'!$P$9*'TR TUSD'!$P$60</f>
        <v>0</v>
      </c>
      <c r="Q9" s="17">
        <f>'TR TUSD'!$Q$9*'TR TUSD'!$Q$60</f>
        <v>0</v>
      </c>
      <c r="R9" s="17">
        <f>'TR TUSD'!$R$9*'TR TUSD'!$R$60</f>
        <v>0</v>
      </c>
      <c r="S9" s="17">
        <f>'TR TUSD'!$S$9*'TR TUSD'!$S$60</f>
        <v>0</v>
      </c>
      <c r="T9" s="17">
        <f ca="1">SUM($L$9:$S$9)</f>
        <v>1.0346044202347816E-2</v>
      </c>
      <c r="U9" s="17">
        <f>'TR TUSD'!$U$9*'TR TUSD'!$U$60</f>
        <v>0</v>
      </c>
      <c r="V9" s="17">
        <f>'TR TUSD'!$V$9*'TR TUSD'!$V$60</f>
        <v>0</v>
      </c>
      <c r="W9" s="17">
        <f>'TR TUSD'!$W$9*'TR TUSD'!$W$60</f>
        <v>0</v>
      </c>
      <c r="X9" s="17">
        <f>'TR TUSD'!$X$9*'TR TUSD'!$X$60</f>
        <v>0</v>
      </c>
      <c r="Y9" s="17">
        <f>'TR TUSD'!$Y$9*'TR TUSD'!$Y$60</f>
        <v>0</v>
      </c>
      <c r="Z9" s="17">
        <f>'TR TUSD'!$Z$9*'TR TUSD'!$Z$60</f>
        <v>0</v>
      </c>
      <c r="AA9" s="17">
        <f>'TR TUSD'!$AA$9*'TR TUSD'!$AA$60</f>
        <v>0</v>
      </c>
      <c r="AB9" s="17">
        <f>SUM($U$9:$AA$9)</f>
        <v>0</v>
      </c>
      <c r="AC9" s="17">
        <f>'TR TUSD'!$AC$9*'TR TUSD'!$AC$60</f>
        <v>6.2115382817296476</v>
      </c>
      <c r="AD9" s="17">
        <f>SUM($AC$9:$AC$9)</f>
        <v>6.2115382817296476</v>
      </c>
      <c r="AE9" s="17">
        <v>0</v>
      </c>
      <c r="AF9" s="17">
        <v>0</v>
      </c>
      <c r="AG9" s="17">
        <f>SUM($AE$9:$AF$9)</f>
        <v>0</v>
      </c>
      <c r="AH9" s="17">
        <f>'TR TUSD'!$AH$9*'TR TUSD'!$AH$60</f>
        <v>0</v>
      </c>
      <c r="AI9" s="17">
        <f>'TR TUSD'!$AI$9*'TR TUSD'!$AI$60</f>
        <v>0</v>
      </c>
      <c r="AJ9" s="17">
        <f ca="1">'TR TUSD'!$AJ$9*'TR TUSD'!$AJ$60</f>
        <v>0</v>
      </c>
      <c r="AK9" s="17">
        <f ca="1">'TR TUSD'!$AK$9*'TR TUSD'!$AK$60</f>
        <v>0</v>
      </c>
      <c r="AL9" s="17">
        <f ca="1">SUM($AH$9:$AK$9)</f>
        <v>0</v>
      </c>
      <c r="AM9" s="17">
        <f ca="1">SUMIF($L$4:$AL$4,"SUBTOTAL",$L$9:$AL$9)</f>
        <v>6.2218843259319954</v>
      </c>
      <c r="AP9" s="17"/>
    </row>
    <row r="10" spans="1:42" ht="11.25" customHeight="1" x14ac:dyDescent="0.25">
      <c r="A10" s="94"/>
      <c r="B10" s="94" t="s">
        <v>36</v>
      </c>
      <c r="C10" s="94" t="s">
        <v>25</v>
      </c>
      <c r="D10" s="94" t="s">
        <v>25</v>
      </c>
      <c r="E10" s="94" t="s">
        <v>25</v>
      </c>
      <c r="F10" s="94" t="s">
        <v>25</v>
      </c>
      <c r="G10" s="27" t="s">
        <v>9</v>
      </c>
      <c r="H10" s="27" t="s">
        <v>75</v>
      </c>
      <c r="I10" s="27">
        <f>'MERCADO TUSD'!$U$7</f>
        <v>139673</v>
      </c>
      <c r="J10" s="15"/>
      <c r="L10" s="17">
        <f>'TR TUSD'!$L$10*'TR TUSD'!$L$60</f>
        <v>0</v>
      </c>
      <c r="M10" s="17">
        <f>'TR TUSD'!$M$10*'TR TUSD'!$M$60</f>
        <v>0</v>
      </c>
      <c r="N10" s="17">
        <f ca="1">'TR TUSD'!$N$10*'TR TUSD'!$N$60</f>
        <v>0</v>
      </c>
      <c r="O10" s="17">
        <f>'TR TUSD'!$O$10*'TR TUSD'!$O$60</f>
        <v>0</v>
      </c>
      <c r="P10" s="17">
        <f>'TR TUSD'!$P$10*'TR TUSD'!$P$60</f>
        <v>0</v>
      </c>
      <c r="Q10" s="17">
        <f>'TR TUSD'!$Q$10*'TR TUSD'!$Q$60</f>
        <v>0</v>
      </c>
      <c r="R10" s="17">
        <f>'TR TUSD'!$R$10*'TR TUSD'!$R$60</f>
        <v>0</v>
      </c>
      <c r="S10" s="17">
        <f>'TR TUSD'!$S$10*'TR TUSD'!$S$60</f>
        <v>0</v>
      </c>
      <c r="T10" s="17">
        <f ca="1">SUM($L$10:$S$10)</f>
        <v>0</v>
      </c>
      <c r="U10" s="17">
        <f>'TR TUSD'!$U$10*'TR TUSD'!$U$60</f>
        <v>0</v>
      </c>
      <c r="V10" s="17">
        <f>'TR TUSD'!$V$10*'TR TUSD'!$V$60</f>
        <v>0</v>
      </c>
      <c r="W10" s="17">
        <f>'TR TUSD'!$W$10*'TR TUSD'!$W$60</f>
        <v>0</v>
      </c>
      <c r="X10" s="17">
        <f>'TR TUSD'!$X$10*'TR TUSD'!$X$60</f>
        <v>0</v>
      </c>
      <c r="Y10" s="17">
        <f>'TR TUSD'!$Y$10*'TR TUSD'!$Y$60</f>
        <v>14.747585160589331</v>
      </c>
      <c r="Z10" s="17">
        <f>'TR TUSD'!$Z$10</f>
        <v>0</v>
      </c>
      <c r="AA10" s="17">
        <f>'TR TUSD'!$AA$10</f>
        <v>0</v>
      </c>
      <c r="AB10" s="17">
        <f>SUM($U$10:$AA$10)</f>
        <v>14.747585160589331</v>
      </c>
      <c r="AC10" s="17">
        <f>'TR TUSD'!$AC$10*'TR TUSD'!$AC$60</f>
        <v>22.883565883318553</v>
      </c>
      <c r="AD10" s="17">
        <f>SUM($AC$10:$AC$10)</f>
        <v>22.883565883318553</v>
      </c>
      <c r="AE10" s="17">
        <v>0</v>
      </c>
      <c r="AF10" s="17">
        <v>0</v>
      </c>
      <c r="AG10" s="17">
        <f>SUM($AE$10:$AF$10)</f>
        <v>0</v>
      </c>
      <c r="AH10" s="17">
        <f>'TR TUSD'!$AH$10*'TR TUSD'!$AH$60</f>
        <v>0</v>
      </c>
      <c r="AI10" s="17">
        <f>'TR TUSD'!$AI$10*'TR TUSD'!$AI$60</f>
        <v>0</v>
      </c>
      <c r="AJ10" s="17">
        <f ca="1">'TR TUSD'!$AJ$10*'TR TUSD'!$AJ$60</f>
        <v>0</v>
      </c>
      <c r="AK10" s="17">
        <f ca="1">'TR TUSD'!$AK$10*'TR TUSD'!$AK$60</f>
        <v>0</v>
      </c>
      <c r="AL10" s="17">
        <f ca="1">SUM($AH$10:$AK$10)</f>
        <v>0</v>
      </c>
      <c r="AM10" s="17">
        <f ca="1">SUMIF($L$4:$AL$4,"SUBTOTAL",$L$10:$AL$10)</f>
        <v>37.631151043907884</v>
      </c>
      <c r="AP10" s="17">
        <v>1</v>
      </c>
    </row>
    <row r="11" spans="1:42" ht="11.25" customHeight="1" x14ac:dyDescent="0.25">
      <c r="A11" s="94"/>
      <c r="B11" s="94"/>
      <c r="C11" s="94"/>
      <c r="D11" s="94"/>
      <c r="E11" s="94"/>
      <c r="F11" s="94"/>
      <c r="G11" s="27" t="s">
        <v>73</v>
      </c>
      <c r="H11" s="27" t="s">
        <v>72</v>
      </c>
      <c r="I11" s="27">
        <f>'MERCADO TUSD'!$U$8</f>
        <v>1014.939</v>
      </c>
      <c r="J11" s="15"/>
      <c r="L11" s="17">
        <f>'TR TUSD'!$L$11*'TR TUSD'!$L$60</f>
        <v>0</v>
      </c>
      <c r="M11" s="17">
        <f>'TR TUSD'!$M$11*'TR TUSD'!$M$60</f>
        <v>0.76559925091671244</v>
      </c>
      <c r="N11" s="17">
        <f ca="1">'TR TUSD'!$N$11*'TR TUSD'!$N$60</f>
        <v>0</v>
      </c>
      <c r="O11" s="17">
        <f>'TR TUSD'!$O$11*'TR TUSD'!$O$60</f>
        <v>0</v>
      </c>
      <c r="P11" s="17">
        <f>'TR TUSD'!$P$11*'TR TUSD'!$P$60</f>
        <v>0</v>
      </c>
      <c r="Q11" s="17">
        <f>'TR TUSD'!$Q$11*'TR TUSD'!$Q$60</f>
        <v>75.422056803331188</v>
      </c>
      <c r="R11" s="17">
        <f>'TR TUSD'!$R$11*'TR TUSD'!$R$60</f>
        <v>14.195047864355542</v>
      </c>
      <c r="S11" s="17">
        <f>'TR TUSD'!$S$11*'TR TUSD'!$S$60</f>
        <v>0</v>
      </c>
      <c r="T11" s="17">
        <f ca="1">SUM($L$11:$S$11)</f>
        <v>90.38270391860344</v>
      </c>
      <c r="U11" s="17">
        <f>'TR TUSD'!$U$11*'TR TUSD'!$U$60</f>
        <v>0</v>
      </c>
      <c r="V11" s="17">
        <f>'TR TUSD'!$V$11*'TR TUSD'!$V$60</f>
        <v>0</v>
      </c>
      <c r="W11" s="17">
        <f>'TR TUSD'!$W$11*'TR TUSD'!$W$60</f>
        <v>0</v>
      </c>
      <c r="X11" s="17">
        <f>'TR TUSD'!$X$11*'TR TUSD'!$X$60</f>
        <v>0</v>
      </c>
      <c r="Y11" s="17">
        <f>'TR TUSD'!$Y$11*'TR TUSD'!$Y$60</f>
        <v>877.8609749474931</v>
      </c>
      <c r="Z11" s="17">
        <f>'TR TUSD'!$Z$11</f>
        <v>0</v>
      </c>
      <c r="AA11" s="17">
        <f>'TR TUSD'!$AA$11</f>
        <v>0</v>
      </c>
      <c r="AB11" s="17">
        <f>SUM($U$11:$AA$11)</f>
        <v>877.8609749474931</v>
      </c>
      <c r="AC11" s="17">
        <f>'TR TUSD'!$AC$11*'TR TUSD'!$AC$60</f>
        <v>1969.518704863817</v>
      </c>
      <c r="AD11" s="17">
        <f>SUM($AC$11:$AC$11)</f>
        <v>1969.518704863817</v>
      </c>
      <c r="AE11" s="17">
        <v>0</v>
      </c>
      <c r="AF11" s="17">
        <v>0</v>
      </c>
      <c r="AG11" s="17">
        <f>SUM($AE$11:$AF$11)</f>
        <v>0</v>
      </c>
      <c r="AH11" s="17">
        <f>'TR TUSD'!$AH$11*'TR TUSD'!$AH$60</f>
        <v>6.9604697525245314</v>
      </c>
      <c r="AI11" s="17">
        <f>'TR TUSD'!$AI$11*'TR TUSD'!$AI$60</f>
        <v>0</v>
      </c>
      <c r="AJ11" s="17">
        <f ca="1">'TR TUSD'!$AJ$11*'TR TUSD'!$AJ$60</f>
        <v>0</v>
      </c>
      <c r="AK11" s="17">
        <f ca="1">'TR TUSD'!$AK$11*'TR TUSD'!$AK$60</f>
        <v>0</v>
      </c>
      <c r="AL11" s="17">
        <f ca="1">SUM($AH$11:$AK$11)</f>
        <v>6.9604697525245314</v>
      </c>
      <c r="AM11" s="17">
        <f ca="1">SUMIF($L$4:$AL$4,"SUBTOTAL",$L$11:$AL$11)</f>
        <v>2944.722853482438</v>
      </c>
      <c r="AP11" s="17">
        <v>1</v>
      </c>
    </row>
    <row r="12" spans="1:42" ht="11.25" customHeight="1" x14ac:dyDescent="0.25">
      <c r="A12" s="94"/>
      <c r="B12" s="94"/>
      <c r="C12" s="94"/>
      <c r="D12" s="94"/>
      <c r="E12" s="94"/>
      <c r="F12" s="94"/>
      <c r="G12" s="27" t="s">
        <v>74</v>
      </c>
      <c r="H12" s="27" t="s">
        <v>72</v>
      </c>
      <c r="I12" s="27">
        <f>'MERCADO TUSD'!$U$9</f>
        <v>28226.924000000003</v>
      </c>
      <c r="J12" s="15"/>
      <c r="L12" s="17">
        <f>'TR TUSD'!$L$12*'TR TUSD'!$L$60</f>
        <v>0</v>
      </c>
      <c r="M12" s="17">
        <f>'TR TUSD'!$M$12*'TR TUSD'!$M$60</f>
        <v>0.76559925091671244</v>
      </c>
      <c r="N12" s="17">
        <f ca="1">'TR TUSD'!$N$12*'TR TUSD'!$N$60</f>
        <v>0</v>
      </c>
      <c r="O12" s="17">
        <f>'TR TUSD'!$O$12*'TR TUSD'!$O$60</f>
        <v>0</v>
      </c>
      <c r="P12" s="17">
        <f>'TR TUSD'!$P$12*'TR TUSD'!$P$60</f>
        <v>0</v>
      </c>
      <c r="Q12" s="17">
        <f>'TR TUSD'!$Q$12*'TR TUSD'!$Q$60</f>
        <v>75.422056803331188</v>
      </c>
      <c r="R12" s="17">
        <f>'TR TUSD'!$R$12*'TR TUSD'!$R$60</f>
        <v>14.195047864355542</v>
      </c>
      <c r="S12" s="17">
        <f>'TR TUSD'!$S$12*'TR TUSD'!$S$60</f>
        <v>0</v>
      </c>
      <c r="T12" s="17">
        <f ca="1">SUM($L$12:$S$12)</f>
        <v>90.38270391860344</v>
      </c>
      <c r="U12" s="17">
        <f>'TR TUSD'!$U$12*'TR TUSD'!$U$60</f>
        <v>0</v>
      </c>
      <c r="V12" s="17">
        <f>'TR TUSD'!$V$12*'TR TUSD'!$V$60</f>
        <v>0</v>
      </c>
      <c r="W12" s="17">
        <f>'TR TUSD'!$W$12*'TR TUSD'!$W$60</f>
        <v>0</v>
      </c>
      <c r="X12" s="17">
        <f>'TR TUSD'!$X$12*'TR TUSD'!$X$60</f>
        <v>0</v>
      </c>
      <c r="Y12" s="17">
        <f>'TR TUSD'!$Y$12*'TR TUSD'!$Y$60</f>
        <v>0</v>
      </c>
      <c r="Z12" s="17">
        <f>'TR TUSD'!$Z$12</f>
        <v>0</v>
      </c>
      <c r="AA12" s="17">
        <f>'TR TUSD'!$AA$12</f>
        <v>0</v>
      </c>
      <c r="AB12" s="17">
        <f>SUM($U$12:$AA$12)</f>
        <v>0</v>
      </c>
      <c r="AC12" s="17">
        <f>'TR TUSD'!$AC$12*'TR TUSD'!$AC$60</f>
        <v>0</v>
      </c>
      <c r="AD12" s="17">
        <f>SUM($AC$12:$AC$12)</f>
        <v>0</v>
      </c>
      <c r="AE12" s="17">
        <v>0</v>
      </c>
      <c r="AF12" s="17">
        <v>0</v>
      </c>
      <c r="AG12" s="17">
        <f>SUM($AE$12:$AF$12)</f>
        <v>0</v>
      </c>
      <c r="AH12" s="17">
        <f>'TR TUSD'!$AH$12*'TR TUSD'!$AH$60</f>
        <v>6.9604697525245314</v>
      </c>
      <c r="AI12" s="17">
        <f>'TR TUSD'!$AI$12*'TR TUSD'!$AI$60</f>
        <v>0</v>
      </c>
      <c r="AJ12" s="17">
        <f ca="1">'TR TUSD'!$AJ$12*'TR TUSD'!$AJ$60</f>
        <v>0</v>
      </c>
      <c r="AK12" s="17">
        <f ca="1">'TR TUSD'!$AK$12*'TR TUSD'!$AK$60</f>
        <v>0</v>
      </c>
      <c r="AL12" s="17">
        <f ca="1">SUM($AH$12:$AK$12)</f>
        <v>6.9604697525245314</v>
      </c>
      <c r="AM12" s="17">
        <f ca="1">SUMIF($L$4:$AL$4,"SUBTOTAL",$L$12:$AL$12)</f>
        <v>97.343173671127971</v>
      </c>
      <c r="AP12" s="17">
        <v>1</v>
      </c>
    </row>
    <row r="13" spans="1:42" ht="11.25" customHeight="1" x14ac:dyDescent="0.25">
      <c r="A13" s="94"/>
      <c r="B13" s="94"/>
      <c r="C13" s="94"/>
      <c r="D13" s="94"/>
      <c r="E13" s="94" t="s">
        <v>79</v>
      </c>
      <c r="F13" s="94" t="s">
        <v>25</v>
      </c>
      <c r="G13" s="27" t="s">
        <v>73</v>
      </c>
      <c r="H13" s="27" t="s">
        <v>72</v>
      </c>
      <c r="I13" s="27">
        <f>'MERCADO TUSD'!$U$10</f>
        <v>0</v>
      </c>
      <c r="J13" s="15"/>
      <c r="L13" s="17">
        <f>'TR TUSD'!$L$13*'TR TUSD'!$L$60</f>
        <v>0</v>
      </c>
      <c r="M13" s="17">
        <f>'TR TUSD'!$M$13*'TR TUSD'!$M$60</f>
        <v>0.76559925091671244</v>
      </c>
      <c r="N13" s="17">
        <f ca="1">'TR TUSD'!$N$13*'TR TUSD'!$N$60</f>
        <v>0</v>
      </c>
      <c r="O13" s="17">
        <f>'TR TUSD'!$O$13*'TR TUSD'!$O$60</f>
        <v>0</v>
      </c>
      <c r="P13" s="17">
        <f>'TR TUSD'!$P$13*'TR TUSD'!$P$60</f>
        <v>0</v>
      </c>
      <c r="Q13" s="17">
        <f>'TR TUSD'!$Q$13*'TR TUSD'!$Q$60</f>
        <v>0</v>
      </c>
      <c r="R13" s="17">
        <f>'TR TUSD'!$R$13*'TR TUSD'!$R$60</f>
        <v>0</v>
      </c>
      <c r="S13" s="17">
        <f>'TR TUSD'!$S$13*'TR TUSD'!$S$60</f>
        <v>0</v>
      </c>
      <c r="T13" s="17">
        <f ca="1">SUM($L$13:$S$13)</f>
        <v>0.76559925091671244</v>
      </c>
      <c r="U13" s="17">
        <f>'TR TUSD'!$U$13*'TR TUSD'!$U$60</f>
        <v>0</v>
      </c>
      <c r="V13" s="17">
        <f>'TR TUSD'!$V$13*'TR TUSD'!$V$60</f>
        <v>0</v>
      </c>
      <c r="W13" s="17">
        <f>'TR TUSD'!$W$13*'TR TUSD'!$W$60</f>
        <v>0</v>
      </c>
      <c r="X13" s="17">
        <f>'TR TUSD'!$X$13*'TR TUSD'!$X$60</f>
        <v>0</v>
      </c>
      <c r="Y13" s="17">
        <f>'TR TUSD'!$Y$13*'TR TUSD'!$Y$60</f>
        <v>877.8609749474931</v>
      </c>
      <c r="Z13" s="17">
        <f>'TR TUSD'!$Z$13</f>
        <v>0</v>
      </c>
      <c r="AA13" s="17">
        <f>'TR TUSD'!$AA$13</f>
        <v>0</v>
      </c>
      <c r="AB13" s="17">
        <f>SUM($U$13:$AA$13)</f>
        <v>877.8609749474931</v>
      </c>
      <c r="AC13" s="17">
        <f>'TR TUSD'!$AC$13*'TR TUSD'!$AC$60</f>
        <v>1969.518704863817</v>
      </c>
      <c r="AD13" s="17">
        <f>SUM($AC$13:$AC$13)</f>
        <v>1969.518704863817</v>
      </c>
      <c r="AE13" s="17">
        <v>0</v>
      </c>
      <c r="AF13" s="17">
        <v>0</v>
      </c>
      <c r="AG13" s="17">
        <f>SUM($AE$13:$AF$13)</f>
        <v>0</v>
      </c>
      <c r="AH13" s="17">
        <f>'TR TUSD'!$AH$13*'TR TUSD'!$AH$60</f>
        <v>6.9604697525245314</v>
      </c>
      <c r="AI13" s="17">
        <f>'TR TUSD'!$AI$13*'TR TUSD'!$AI$60</f>
        <v>0</v>
      </c>
      <c r="AJ13" s="17">
        <f ca="1">'TR TUSD'!$AJ$13*'TR TUSD'!$AJ$60</f>
        <v>0</v>
      </c>
      <c r="AK13" s="17">
        <f ca="1">'TR TUSD'!$AK$13*'TR TUSD'!$AK$60</f>
        <v>0</v>
      </c>
      <c r="AL13" s="17">
        <f ca="1">SUM($AH$13:$AK$13)</f>
        <v>6.9604697525245314</v>
      </c>
      <c r="AM13" s="17">
        <f ca="1">SUMIF($L$4:$AL$4,"SUBTOTAL",$L$13:$AL$13)</f>
        <v>2855.1057488147517</v>
      </c>
      <c r="AP13" s="17">
        <v>1</v>
      </c>
    </row>
    <row r="14" spans="1:42" ht="11.25" customHeight="1" x14ac:dyDescent="0.25">
      <c r="A14" s="94"/>
      <c r="B14" s="94"/>
      <c r="C14" s="94"/>
      <c r="D14" s="94"/>
      <c r="E14" s="94"/>
      <c r="F14" s="94"/>
      <c r="G14" s="27" t="s">
        <v>74</v>
      </c>
      <c r="H14" s="27" t="s">
        <v>72</v>
      </c>
      <c r="I14" s="27">
        <f>'MERCADO TUSD'!$U$11</f>
        <v>0</v>
      </c>
      <c r="J14" s="15"/>
      <c r="L14" s="17">
        <f>'TR TUSD'!$L$14*'TR TUSD'!$L$60</f>
        <v>0</v>
      </c>
      <c r="M14" s="17">
        <f>'TR TUSD'!$M$14*'TR TUSD'!$M$60</f>
        <v>0.76559925091671244</v>
      </c>
      <c r="N14" s="17">
        <f ca="1">'TR TUSD'!$N$14*'TR TUSD'!$N$60</f>
        <v>0</v>
      </c>
      <c r="O14" s="17">
        <f>'TR TUSD'!$O$14*'TR TUSD'!$O$60</f>
        <v>0</v>
      </c>
      <c r="P14" s="17">
        <f>'TR TUSD'!$P$14*'TR TUSD'!$P$60</f>
        <v>0</v>
      </c>
      <c r="Q14" s="17">
        <f>'TR TUSD'!$Q$14*'TR TUSD'!$Q$60</f>
        <v>0</v>
      </c>
      <c r="R14" s="17">
        <f>'TR TUSD'!$R$14*'TR TUSD'!$R$60</f>
        <v>0</v>
      </c>
      <c r="S14" s="17">
        <f>'TR TUSD'!$S$14*'TR TUSD'!$S$60</f>
        <v>0</v>
      </c>
      <c r="T14" s="17">
        <f ca="1">SUM($L$14:$S$14)</f>
        <v>0.76559925091671244</v>
      </c>
      <c r="U14" s="17">
        <f>'TR TUSD'!$U$14*'TR TUSD'!$U$60</f>
        <v>0</v>
      </c>
      <c r="V14" s="17">
        <f>'TR TUSD'!$V$14*'TR TUSD'!$V$60</f>
        <v>0</v>
      </c>
      <c r="W14" s="17">
        <f>'TR TUSD'!$W$14*'TR TUSD'!$W$60</f>
        <v>0</v>
      </c>
      <c r="X14" s="17">
        <f>'TR TUSD'!$X$14*'TR TUSD'!$X$60</f>
        <v>0</v>
      </c>
      <c r="Y14" s="17">
        <f>'TR TUSD'!$Y$14*'TR TUSD'!$Y$60</f>
        <v>0</v>
      </c>
      <c r="Z14" s="17">
        <f>'TR TUSD'!$Z$14</f>
        <v>0</v>
      </c>
      <c r="AA14" s="17">
        <f>'TR TUSD'!$AA$14</f>
        <v>0</v>
      </c>
      <c r="AB14" s="17">
        <f>SUM($U$14:$AA$14)</f>
        <v>0</v>
      </c>
      <c r="AC14" s="17">
        <f>'TR TUSD'!$AC$14*'TR TUSD'!$AC$60</f>
        <v>0</v>
      </c>
      <c r="AD14" s="17">
        <f>SUM($AC$14:$AC$14)</f>
        <v>0</v>
      </c>
      <c r="AE14" s="17">
        <v>0</v>
      </c>
      <c r="AF14" s="17">
        <v>0</v>
      </c>
      <c r="AG14" s="17">
        <f>SUM($AE$14:$AF$14)</f>
        <v>0</v>
      </c>
      <c r="AH14" s="17">
        <f>'TR TUSD'!$AH$14*'TR TUSD'!$AH$60</f>
        <v>6.9604697525245314</v>
      </c>
      <c r="AI14" s="17">
        <f>'TR TUSD'!$AI$14*'TR TUSD'!$AI$60</f>
        <v>0</v>
      </c>
      <c r="AJ14" s="17">
        <f ca="1">'TR TUSD'!$AJ$14*'TR TUSD'!$AJ$60</f>
        <v>0</v>
      </c>
      <c r="AK14" s="17">
        <f ca="1">'TR TUSD'!$AK$14*'TR TUSD'!$AK$60</f>
        <v>0</v>
      </c>
      <c r="AL14" s="17">
        <f ca="1">SUM($AH$14:$AK$14)</f>
        <v>6.9604697525245314</v>
      </c>
      <c r="AM14" s="17">
        <f ca="1">SUMIF($L$4:$AL$4,"SUBTOTAL",$L$14:$AL$14)</f>
        <v>7.7260690034412436</v>
      </c>
      <c r="AP14" s="17">
        <v>1</v>
      </c>
    </row>
    <row r="15" spans="1:42" ht="11.25" customHeight="1" x14ac:dyDescent="0.25">
      <c r="A15" s="94" t="s">
        <v>80</v>
      </c>
      <c r="B15" s="94" t="s">
        <v>53</v>
      </c>
      <c r="C15" s="94" t="s">
        <v>25</v>
      </c>
      <c r="D15" s="94" t="s">
        <v>25</v>
      </c>
      <c r="E15" s="26" t="s">
        <v>81</v>
      </c>
      <c r="F15" s="26" t="s">
        <v>25</v>
      </c>
      <c r="G15" s="27" t="s">
        <v>9</v>
      </c>
      <c r="H15" s="27" t="s">
        <v>75</v>
      </c>
      <c r="I15" s="27">
        <f>'MERCADO TUSD'!$U$12+0.00000001</f>
        <v>1E-8</v>
      </c>
      <c r="J15" s="15"/>
      <c r="L15" s="17">
        <f>'TR TUSD'!$L$15*'TR TUSD'!$L$60</f>
        <v>0</v>
      </c>
      <c r="M15" s="17">
        <f>'TR TUSD'!$M$15*'TR TUSD'!$M$60</f>
        <v>1.0647385295620083E-2</v>
      </c>
      <c r="N15" s="17">
        <f ca="1">'TR TUSD'!$N$15*'TR TUSD'!$N$60</f>
        <v>0</v>
      </c>
      <c r="O15" s="17">
        <f>'TR TUSD'!$O$15*'TR TUSD'!$O$60</f>
        <v>0</v>
      </c>
      <c r="P15" s="17">
        <f>'TR TUSD'!$P$15*'TR TUSD'!$P$60</f>
        <v>0</v>
      </c>
      <c r="Q15" s="17">
        <f>'TR TUSD'!$Q$15*'TR TUSD'!$Q$60</f>
        <v>0</v>
      </c>
      <c r="R15" s="17">
        <f>'TR TUSD'!$R$15*'TR TUSD'!$R$60</f>
        <v>0</v>
      </c>
      <c r="S15" s="17">
        <f>'TR TUSD'!$S$15*'TR TUSD'!$S$60</f>
        <v>0</v>
      </c>
      <c r="T15" s="17">
        <f ca="1">SUM($L$15:$S$15)</f>
        <v>1.0647385295620083E-2</v>
      </c>
      <c r="U15" s="17">
        <f>'TR TUSD'!$U$15*'TR TUSD'!$U$60</f>
        <v>0</v>
      </c>
      <c r="V15" s="17">
        <f>'TR TUSD'!$V$15*'TR TUSD'!$V$60</f>
        <v>0</v>
      </c>
      <c r="W15" s="17">
        <f>'TR TUSD'!$W$15*'TR TUSD'!$W$60</f>
        <v>0</v>
      </c>
      <c r="X15" s="17">
        <f>'TR TUSD'!$X$15*'TR TUSD'!$X$60</f>
        <v>0</v>
      </c>
      <c r="Y15" s="17">
        <f>'TR TUSD'!$Y$15*'TR TUSD'!$Y$60</f>
        <v>0</v>
      </c>
      <c r="Z15" s="17">
        <f>'TR TUSD'!$Z$15*'TR TUSD'!$Z$60</f>
        <v>0</v>
      </c>
      <c r="AA15" s="17">
        <f>'TR TUSD'!$AA$15*'TR TUSD'!$AA$60</f>
        <v>0</v>
      </c>
      <c r="AB15" s="17">
        <f>SUM($U$15:$AA$15)</f>
        <v>0</v>
      </c>
      <c r="AC15" s="17">
        <f>'TR TUSD'!$AC$15*'TR TUSD'!$AC$60</f>
        <v>10.678542915383224</v>
      </c>
      <c r="AD15" s="17">
        <f>SUM($AC$15:$AC$15)</f>
        <v>10.678542915383224</v>
      </c>
      <c r="AE15" s="17">
        <v>0</v>
      </c>
      <c r="AF15" s="17">
        <v>0</v>
      </c>
      <c r="AG15" s="17">
        <f>SUM($AE$15:$AF$15)</f>
        <v>0</v>
      </c>
      <c r="AH15" s="17">
        <f>'TR TUSD'!$AH$15*'TR TUSD'!$AH$60</f>
        <v>0</v>
      </c>
      <c r="AI15" s="17">
        <f>'TR TUSD'!$AI$15*'TR TUSD'!$AI$60</f>
        <v>0</v>
      </c>
      <c r="AJ15" s="17">
        <f ca="1">'TR TUSD'!$AJ$15*'TR TUSD'!$AJ$60</f>
        <v>0</v>
      </c>
      <c r="AK15" s="17">
        <f ca="1">'TR TUSD'!$AK$15*'TR TUSD'!$AK$60</f>
        <v>0</v>
      </c>
      <c r="AL15" s="17">
        <f ca="1">SUM($AH$15:$AK$15)</f>
        <v>0</v>
      </c>
      <c r="AM15" s="17">
        <f ca="1">SUMIF($L$4:$AL$4,"SUBTOTAL",$L$15:$AL$15)</f>
        <v>10.689190300678844</v>
      </c>
      <c r="AP15" s="17"/>
    </row>
    <row r="16" spans="1:42" ht="11.25" customHeight="1" x14ac:dyDescent="0.25">
      <c r="A16" s="94"/>
      <c r="B16" s="94"/>
      <c r="C16" s="94"/>
      <c r="D16" s="94"/>
      <c r="E16" s="26" t="s">
        <v>82</v>
      </c>
      <c r="F16" s="26" t="s">
        <v>25</v>
      </c>
      <c r="G16" s="27" t="s">
        <v>9</v>
      </c>
      <c r="H16" s="27" t="s">
        <v>75</v>
      </c>
      <c r="I16" s="27">
        <f>'MERCADO TUSD'!$U$13+0.00000001</f>
        <v>1E-8</v>
      </c>
      <c r="J16" s="15"/>
      <c r="L16" s="17">
        <f>'TR TUSD'!$L$16*'TR TUSD'!$L$60</f>
        <v>0</v>
      </c>
      <c r="M16" s="17">
        <f>'TR TUSD'!$M$16*'TR TUSD'!$M$60</f>
        <v>1.0647385295620083E-2</v>
      </c>
      <c r="N16" s="17">
        <f ca="1">'TR TUSD'!$N$16*'TR TUSD'!$N$60</f>
        <v>0</v>
      </c>
      <c r="O16" s="17">
        <f>'TR TUSD'!$O$16*'TR TUSD'!$O$60</f>
        <v>0</v>
      </c>
      <c r="P16" s="17">
        <f>'TR TUSD'!$P$16*'TR TUSD'!$P$60</f>
        <v>0</v>
      </c>
      <c r="Q16" s="17">
        <f>'TR TUSD'!$Q$16*'TR TUSD'!$Q$60</f>
        <v>0</v>
      </c>
      <c r="R16" s="17">
        <f>'TR TUSD'!$R$16*'TR TUSD'!$R$60</f>
        <v>0</v>
      </c>
      <c r="S16" s="17">
        <f>'TR TUSD'!$S$16*'TR TUSD'!$S$60</f>
        <v>0</v>
      </c>
      <c r="T16" s="17">
        <f ca="1">SUM($L$16:$S$16)</f>
        <v>1.0647385295620083E-2</v>
      </c>
      <c r="U16" s="17">
        <f>'TR TUSD'!$U$16*'TR TUSD'!$U$60</f>
        <v>0</v>
      </c>
      <c r="V16" s="17">
        <f>'TR TUSD'!$V$16*'TR TUSD'!$V$60</f>
        <v>0</v>
      </c>
      <c r="W16" s="17">
        <f>'TR TUSD'!$W$16*'TR TUSD'!$W$60</f>
        <v>0</v>
      </c>
      <c r="X16" s="17">
        <f>'TR TUSD'!$X$16*'TR TUSD'!$X$60</f>
        <v>0</v>
      </c>
      <c r="Y16" s="17">
        <f>'TR TUSD'!$Y$16*'TR TUSD'!$Y$60</f>
        <v>0</v>
      </c>
      <c r="Z16" s="17">
        <f>'TR TUSD'!$Z$16*'TR TUSD'!$Z$60</f>
        <v>0</v>
      </c>
      <c r="AA16" s="17">
        <f>'TR TUSD'!$AA$16*'TR TUSD'!$AA$60</f>
        <v>0</v>
      </c>
      <c r="AB16" s="17">
        <f>SUM($U$16:$AA$16)</f>
        <v>0</v>
      </c>
      <c r="AC16" s="17">
        <f>'TR TUSD'!$AC$16*'TR TUSD'!$AC$60</f>
        <v>21.725962451958267</v>
      </c>
      <c r="AD16" s="17">
        <f>SUM($AC$16:$AC$16)</f>
        <v>21.725962451958267</v>
      </c>
      <c r="AE16" s="17">
        <v>0</v>
      </c>
      <c r="AF16" s="17">
        <v>0</v>
      </c>
      <c r="AG16" s="17">
        <f>SUM($AE$16:$AF$16)</f>
        <v>0</v>
      </c>
      <c r="AH16" s="17">
        <f>'TR TUSD'!$AH$16*'TR TUSD'!$AH$60</f>
        <v>0</v>
      </c>
      <c r="AI16" s="17">
        <f>'TR TUSD'!$AI$16*'TR TUSD'!$AI$60</f>
        <v>0</v>
      </c>
      <c r="AJ16" s="17">
        <f ca="1">'TR TUSD'!$AJ$16*'TR TUSD'!$AJ$60</f>
        <v>0</v>
      </c>
      <c r="AK16" s="17">
        <f ca="1">'TR TUSD'!$AK$16*'TR TUSD'!$AK$60</f>
        <v>0</v>
      </c>
      <c r="AL16" s="17">
        <f ca="1">SUM($AH$16:$AK$16)</f>
        <v>0</v>
      </c>
      <c r="AM16" s="17">
        <f ca="1">SUMIF($L$4:$AL$4,"SUBTOTAL",$L$16:$AL$16)</f>
        <v>21.736609837253887</v>
      </c>
      <c r="AP16" s="17"/>
    </row>
    <row r="17" spans="1:42" ht="11.25" customHeight="1" x14ac:dyDescent="0.25">
      <c r="A17" s="94" t="s">
        <v>22</v>
      </c>
      <c r="B17" s="94" t="s">
        <v>85</v>
      </c>
      <c r="C17" s="94" t="s">
        <v>24</v>
      </c>
      <c r="D17" s="94" t="s">
        <v>24</v>
      </c>
      <c r="E17" s="94" t="s">
        <v>25</v>
      </c>
      <c r="F17" s="94" t="s">
        <v>25</v>
      </c>
      <c r="G17" s="27" t="s">
        <v>73</v>
      </c>
      <c r="H17" s="27" t="s">
        <v>72</v>
      </c>
      <c r="I17" s="27">
        <f>'MERCADO TUSD'!$U$14</f>
        <v>0</v>
      </c>
      <c r="J17" s="15"/>
      <c r="L17" s="17">
        <f>'TR TUSD'!$L$17*'TR TUSD'!$L$60</f>
        <v>0</v>
      </c>
      <c r="M17" s="17">
        <f>'TR TUSD'!$M$17*'TR TUSD'!$M$60</f>
        <v>1.4420587949790575</v>
      </c>
      <c r="N17" s="17">
        <f ca="1">'TR TUSD'!$N$17*'TR TUSD'!$N$60</f>
        <v>0</v>
      </c>
      <c r="O17" s="17">
        <f>'TR TUSD'!$O$17*'TR TUSD'!$O$60</f>
        <v>0</v>
      </c>
      <c r="P17" s="17">
        <f>'TR TUSD'!$P$17*'TR TUSD'!$P$60</f>
        <v>0</v>
      </c>
      <c r="Q17" s="17">
        <f>'TR TUSD'!$Q$17*'TR TUSD'!$Q$60</f>
        <v>89.78816286110856</v>
      </c>
      <c r="R17" s="17">
        <f>'TR TUSD'!$R$17*'TR TUSD'!$R$60</f>
        <v>14.195047864355542</v>
      </c>
      <c r="S17" s="17">
        <f>'TR TUSD'!$S$17*'TR TUSD'!$S$60</f>
        <v>0</v>
      </c>
      <c r="T17" s="17">
        <f ca="1">SUM($L$17:$S$17)</f>
        <v>105.42526952044317</v>
      </c>
      <c r="U17" s="17">
        <f>'TR TUSD'!$U$17*'TR TUSD'!$U$60</f>
        <v>0</v>
      </c>
      <c r="V17" s="17">
        <f>'TR TUSD'!$V$17*'TR TUSD'!$V$60</f>
        <v>0</v>
      </c>
      <c r="W17" s="17">
        <f>'TR TUSD'!$W$17*'TR TUSD'!$W$60</f>
        <v>0</v>
      </c>
      <c r="X17" s="17">
        <f>'TR TUSD'!$X$17*'TR TUSD'!$X$60</f>
        <v>0</v>
      </c>
      <c r="Y17" s="17">
        <f>'TR TUSD'!$Y$17*'TR TUSD'!$Y$60</f>
        <v>321.3906938726775</v>
      </c>
      <c r="Z17" s="17">
        <f>'TR TUSD'!$Z$17</f>
        <v>0</v>
      </c>
      <c r="AA17" s="17">
        <f>'TR TUSD'!$AA$17</f>
        <v>0</v>
      </c>
      <c r="AB17" s="17">
        <f>SUM($U$17:$AA$17)</f>
        <v>321.3906938726775</v>
      </c>
      <c r="AC17" s="17">
        <f>'TR TUSD'!$AC$17*'TR TUSD'!$AC$60</f>
        <v>920.21658943759951</v>
      </c>
      <c r="AD17" s="17">
        <f>SUM($AC$17:$AC$17)</f>
        <v>920.21658943759951</v>
      </c>
      <c r="AE17" s="17">
        <v>0</v>
      </c>
      <c r="AF17" s="17">
        <v>0</v>
      </c>
      <c r="AG17" s="17">
        <f>SUM($AE$17:$AF$17)</f>
        <v>0</v>
      </c>
      <c r="AH17" s="17">
        <f>'TR TUSD'!$AH$17*'TR TUSD'!$AH$60</f>
        <v>18.027848238388035</v>
      </c>
      <c r="AI17" s="17">
        <f>'TR TUSD'!$AI$17*'TR TUSD'!$AI$60</f>
        <v>0</v>
      </c>
      <c r="AJ17" s="17">
        <f ca="1">'TR TUSD'!$AJ$17*'TR TUSD'!$AJ$60</f>
        <v>0</v>
      </c>
      <c r="AK17" s="17">
        <f ca="1">'TR TUSD'!$AK$17*'TR TUSD'!$AK$60</f>
        <v>0</v>
      </c>
      <c r="AL17" s="17">
        <f ca="1">SUM($AH$17:$AK$17)</f>
        <v>18.027848238388035</v>
      </c>
      <c r="AM17" s="17">
        <f ca="1">SUMIF($L$4:$AL$4,"SUBTOTAL",$L$17:$AL$17)</f>
        <v>1365.0604010691084</v>
      </c>
      <c r="AP17" s="17">
        <v>1</v>
      </c>
    </row>
    <row r="18" spans="1:42" ht="11.25" customHeight="1" x14ac:dyDescent="0.25">
      <c r="A18" s="94"/>
      <c r="B18" s="94"/>
      <c r="C18" s="94"/>
      <c r="D18" s="94"/>
      <c r="E18" s="94"/>
      <c r="F18" s="94"/>
      <c r="G18" s="27" t="s">
        <v>83</v>
      </c>
      <c r="H18" s="27" t="s">
        <v>72</v>
      </c>
      <c r="I18" s="27">
        <f>'MERCADO TUSD'!$U$15</f>
        <v>0</v>
      </c>
      <c r="J18" s="15"/>
      <c r="L18" s="17">
        <f>'TR TUSD'!$L$18*'TR TUSD'!$L$60</f>
        <v>0</v>
      </c>
      <c r="M18" s="17">
        <f>'TR TUSD'!$M$18*'TR TUSD'!$M$60</f>
        <v>1.4420587949790575</v>
      </c>
      <c r="N18" s="17">
        <f ca="1">'TR TUSD'!$N$18*'TR TUSD'!$N$60</f>
        <v>0</v>
      </c>
      <c r="O18" s="17">
        <f>'TR TUSD'!$O$18*'TR TUSD'!$O$60</f>
        <v>0</v>
      </c>
      <c r="P18" s="17">
        <f>'TR TUSD'!$P$18*'TR TUSD'!$P$60</f>
        <v>0</v>
      </c>
      <c r="Q18" s="17">
        <f>'TR TUSD'!$Q$18*'TR TUSD'!$Q$60</f>
        <v>89.78816286110856</v>
      </c>
      <c r="R18" s="17">
        <f>'TR TUSD'!$R$18*'TR TUSD'!$R$60</f>
        <v>14.195047864355542</v>
      </c>
      <c r="S18" s="17">
        <f>'TR TUSD'!$S$18*'TR TUSD'!$S$60</f>
        <v>0</v>
      </c>
      <c r="T18" s="17">
        <f ca="1">SUM($L$18:$S$18)</f>
        <v>105.42526952044317</v>
      </c>
      <c r="U18" s="17">
        <f>'TR TUSD'!$U$18*'TR TUSD'!$U$60</f>
        <v>0</v>
      </c>
      <c r="V18" s="17">
        <f>'TR TUSD'!$V$18*'TR TUSD'!$V$60</f>
        <v>0</v>
      </c>
      <c r="W18" s="17">
        <f>'TR TUSD'!$W$18*'TR TUSD'!$W$60</f>
        <v>0</v>
      </c>
      <c r="X18" s="17">
        <f>'TR TUSD'!$X$18*'TR TUSD'!$X$60</f>
        <v>0</v>
      </c>
      <c r="Y18" s="17">
        <f>'TR TUSD'!$Y$18*'TR TUSD'!$Y$60</f>
        <v>192.83446057277811</v>
      </c>
      <c r="Z18" s="17">
        <f>'TR TUSD'!$Z$18</f>
        <v>0</v>
      </c>
      <c r="AA18" s="17">
        <f>'TR TUSD'!$AA$18</f>
        <v>0</v>
      </c>
      <c r="AB18" s="17">
        <f>SUM($U$18:$AA$18)</f>
        <v>192.83446057277811</v>
      </c>
      <c r="AC18" s="17">
        <f>'TR TUSD'!$AC$18*'TR TUSD'!$AC$60</f>
        <v>552.13016343032837</v>
      </c>
      <c r="AD18" s="17">
        <f>SUM($AC$18:$AC$18)</f>
        <v>552.13016343032837</v>
      </c>
      <c r="AE18" s="17">
        <v>0</v>
      </c>
      <c r="AF18" s="17">
        <v>0</v>
      </c>
      <c r="AG18" s="17">
        <f>SUM($AE$18:$AF$18)</f>
        <v>0</v>
      </c>
      <c r="AH18" s="17">
        <f>'TR TUSD'!$AH$18*'TR TUSD'!$AH$60</f>
        <v>18.027848238388035</v>
      </c>
      <c r="AI18" s="17">
        <f>'TR TUSD'!$AI$18*'TR TUSD'!$AI$60</f>
        <v>0</v>
      </c>
      <c r="AJ18" s="17">
        <f ca="1">'TR TUSD'!$AJ$18*'TR TUSD'!$AJ$60</f>
        <v>0</v>
      </c>
      <c r="AK18" s="17">
        <f ca="1">'TR TUSD'!$AK$18*'TR TUSD'!$AK$60</f>
        <v>0</v>
      </c>
      <c r="AL18" s="17">
        <f ca="1">SUM($AH$18:$AK$18)</f>
        <v>18.027848238388035</v>
      </c>
      <c r="AM18" s="17">
        <f ca="1">SUMIF($L$4:$AL$4,"SUBTOTAL",$L$18:$AL$18)</f>
        <v>868.41774176193769</v>
      </c>
      <c r="AP18" s="17">
        <v>1</v>
      </c>
    </row>
    <row r="19" spans="1:42" ht="11.25" customHeight="1" x14ac:dyDescent="0.25">
      <c r="A19" s="94"/>
      <c r="B19" s="94"/>
      <c r="C19" s="94"/>
      <c r="D19" s="94"/>
      <c r="E19" s="94"/>
      <c r="F19" s="94"/>
      <c r="G19" s="27" t="s">
        <v>74</v>
      </c>
      <c r="H19" s="27" t="s">
        <v>72</v>
      </c>
      <c r="I19" s="27">
        <f>'MERCADO TUSD'!$U$16</f>
        <v>0</v>
      </c>
      <c r="J19" s="15"/>
      <c r="L19" s="17">
        <f>'TR TUSD'!$L$19*'TR TUSD'!$L$60</f>
        <v>0</v>
      </c>
      <c r="M19" s="17">
        <f>'TR TUSD'!$M$19*'TR TUSD'!$M$60</f>
        <v>1.4420587949790575</v>
      </c>
      <c r="N19" s="17">
        <f ca="1">'TR TUSD'!$N$19*'TR TUSD'!$N$60</f>
        <v>0</v>
      </c>
      <c r="O19" s="17">
        <f>'TR TUSD'!$O$19*'TR TUSD'!$O$60</f>
        <v>0</v>
      </c>
      <c r="P19" s="17">
        <f>'TR TUSD'!$P$19*'TR TUSD'!$P$60</f>
        <v>0</v>
      </c>
      <c r="Q19" s="17">
        <f>'TR TUSD'!$Q$19*'TR TUSD'!$Q$60</f>
        <v>89.78816286110856</v>
      </c>
      <c r="R19" s="17">
        <f>'TR TUSD'!$R$19*'TR TUSD'!$R$60</f>
        <v>14.195047864355542</v>
      </c>
      <c r="S19" s="17">
        <f>'TR TUSD'!$S$19*'TR TUSD'!$S$60</f>
        <v>0</v>
      </c>
      <c r="T19" s="17">
        <f ca="1">SUM($L$19:$S$19)</f>
        <v>105.42526952044317</v>
      </c>
      <c r="U19" s="17">
        <f>'TR TUSD'!$U$19*'TR TUSD'!$U$60</f>
        <v>0</v>
      </c>
      <c r="V19" s="17">
        <f>'TR TUSD'!$V$19*'TR TUSD'!$V$60</f>
        <v>0</v>
      </c>
      <c r="W19" s="17">
        <f>'TR TUSD'!$W$19*'TR TUSD'!$W$60</f>
        <v>0</v>
      </c>
      <c r="X19" s="17">
        <f>'TR TUSD'!$X$19*'TR TUSD'!$X$60</f>
        <v>0</v>
      </c>
      <c r="Y19" s="17">
        <f>'TR TUSD'!$Y$19*'TR TUSD'!$Y$60</f>
        <v>64.336968048193199</v>
      </c>
      <c r="Z19" s="17">
        <f>'TR TUSD'!$Z$19</f>
        <v>0</v>
      </c>
      <c r="AA19" s="17">
        <f>'TR TUSD'!$AA$19</f>
        <v>0</v>
      </c>
      <c r="AB19" s="17">
        <f>SUM($U$19:$AA$19)</f>
        <v>64.336968048193199</v>
      </c>
      <c r="AC19" s="17">
        <f>'TR TUSD'!$AC$19*'TR TUSD'!$AC$60</f>
        <v>184.04310811975122</v>
      </c>
      <c r="AD19" s="17">
        <f>SUM($AC$19:$AC$19)</f>
        <v>184.04310811975122</v>
      </c>
      <c r="AE19" s="17">
        <v>0</v>
      </c>
      <c r="AF19" s="17">
        <v>0</v>
      </c>
      <c r="AG19" s="17">
        <f>SUM($AE$19:$AF$19)</f>
        <v>0</v>
      </c>
      <c r="AH19" s="17">
        <f>'TR TUSD'!$AH$19*'TR TUSD'!$AH$60</f>
        <v>18.027848238388035</v>
      </c>
      <c r="AI19" s="17">
        <f>'TR TUSD'!$AI$19*'TR TUSD'!$AI$60</f>
        <v>0</v>
      </c>
      <c r="AJ19" s="17">
        <f ca="1">'TR TUSD'!$AJ$19*'TR TUSD'!$AJ$60</f>
        <v>0</v>
      </c>
      <c r="AK19" s="17">
        <f ca="1">'TR TUSD'!$AK$19*'TR TUSD'!$AK$60</f>
        <v>0</v>
      </c>
      <c r="AL19" s="17">
        <f ca="1">SUM($AH$19:$AK$19)</f>
        <v>18.027848238388035</v>
      </c>
      <c r="AM19" s="17">
        <f ca="1">SUMIF($L$4:$AL$4,"SUBTOTAL",$L$19:$AL$19)</f>
        <v>371.83319392677561</v>
      </c>
      <c r="AP19" s="17">
        <v>1</v>
      </c>
    </row>
    <row r="20" spans="1:42" ht="11.25" customHeight="1" x14ac:dyDescent="0.25">
      <c r="A20" s="94"/>
      <c r="B20" s="94" t="s">
        <v>23</v>
      </c>
      <c r="C20" s="94" t="s">
        <v>24</v>
      </c>
      <c r="D20" s="26" t="s">
        <v>24</v>
      </c>
      <c r="E20" s="26" t="s">
        <v>25</v>
      </c>
      <c r="F20" s="26" t="s">
        <v>25</v>
      </c>
      <c r="G20" s="27" t="s">
        <v>78</v>
      </c>
      <c r="H20" s="27" t="s">
        <v>72</v>
      </c>
      <c r="I20" s="27">
        <f>'MERCADO TUSD'!$U$17</f>
        <v>11694.771999999999</v>
      </c>
      <c r="J20" s="15"/>
      <c r="L20" s="17">
        <f>'TR TUSD'!$L$20*'TR TUSD'!$L$60</f>
        <v>0</v>
      </c>
      <c r="M20" s="17">
        <f>'TR TUSD'!$M$20*'TR TUSD'!$M$60</f>
        <v>1.4420587949790575</v>
      </c>
      <c r="N20" s="17">
        <f ca="1">'TR TUSD'!$N$20*'TR TUSD'!$N$60</f>
        <v>0</v>
      </c>
      <c r="O20" s="17">
        <f>'TR TUSD'!$O$20*'TR TUSD'!$O$60</f>
        <v>0</v>
      </c>
      <c r="P20" s="17">
        <f>'TR TUSD'!$P$20*'TR TUSD'!$P$60</f>
        <v>0</v>
      </c>
      <c r="Q20" s="17">
        <f>'TR TUSD'!$Q$20*'TR TUSD'!$Q$60</f>
        <v>89.78816286110856</v>
      </c>
      <c r="R20" s="17">
        <f>'TR TUSD'!$R$20*'TR TUSD'!$R$60</f>
        <v>14.195047864355542</v>
      </c>
      <c r="S20" s="17">
        <f>'TR TUSD'!$S$20*'TR TUSD'!$S$60</f>
        <v>0</v>
      </c>
      <c r="T20" s="17">
        <f ca="1">SUM($L$20:$S$20)</f>
        <v>105.42526952044317</v>
      </c>
      <c r="U20" s="17">
        <f>'TR TUSD'!$U$20*'TR TUSD'!$U$60</f>
        <v>0</v>
      </c>
      <c r="V20" s="17">
        <f>'TR TUSD'!$V$20*'TR TUSD'!$V$60</f>
        <v>0</v>
      </c>
      <c r="W20" s="17">
        <f>'TR TUSD'!$W$20*'TR TUSD'!$W$60</f>
        <v>0</v>
      </c>
      <c r="X20" s="17">
        <f>'TR TUSD'!$X$20*'TR TUSD'!$X$60</f>
        <v>0</v>
      </c>
      <c r="Y20" s="17">
        <f>'TR TUSD'!$Y$20*'TR TUSD'!$Y$60</f>
        <v>118.97916384213156</v>
      </c>
      <c r="Z20" s="17">
        <f>'TR TUSD'!$Z$20</f>
        <v>0</v>
      </c>
      <c r="AA20" s="17">
        <f>'TR TUSD'!$AA$20</f>
        <v>0</v>
      </c>
      <c r="AB20" s="17">
        <f>SUM($U$20:$AA$20)</f>
        <v>118.97916384213156</v>
      </c>
      <c r="AC20" s="17">
        <f>'TR TUSD'!$AC$20*'TR TUSD'!$AC$60</f>
        <v>340.82102120437577</v>
      </c>
      <c r="AD20" s="17">
        <f>SUM($AC$20:$AC$20)</f>
        <v>340.82102120437577</v>
      </c>
      <c r="AE20" s="17">
        <v>0</v>
      </c>
      <c r="AF20" s="17">
        <v>0</v>
      </c>
      <c r="AG20" s="17">
        <f>SUM($AE$20:$AF$20)</f>
        <v>0</v>
      </c>
      <c r="AH20" s="17">
        <f>'TR TUSD'!$AH$20*'TR TUSD'!$AH$60</f>
        <v>18.027848238388035</v>
      </c>
      <c r="AI20" s="17">
        <f>'TR TUSD'!$AI$20*'TR TUSD'!$AI$60</f>
        <v>0</v>
      </c>
      <c r="AJ20" s="17">
        <f ca="1">'TR TUSD'!$AJ$20*'TR TUSD'!$AJ$60</f>
        <v>0</v>
      </c>
      <c r="AK20" s="17">
        <f ca="1">'TR TUSD'!$AK$20*'TR TUSD'!$AK$60</f>
        <v>0</v>
      </c>
      <c r="AL20" s="17">
        <f ca="1">SUM($AH$20:$AK$20)</f>
        <v>18.027848238388035</v>
      </c>
      <c r="AM20" s="17">
        <f ca="1">SUMIF($L$4:$AL$4,"SUBTOTAL",$L$20:$AL$20)</f>
        <v>583.25330280533854</v>
      </c>
      <c r="AP20" s="17">
        <v>1</v>
      </c>
    </row>
    <row r="21" spans="1:42" ht="11.25" customHeight="1" x14ac:dyDescent="0.25">
      <c r="A21" s="94"/>
      <c r="B21" s="94"/>
      <c r="C21" s="94"/>
      <c r="D21" s="26" t="s">
        <v>29</v>
      </c>
      <c r="E21" s="26" t="s">
        <v>25</v>
      </c>
      <c r="F21" s="26" t="s">
        <v>25</v>
      </c>
      <c r="G21" s="27" t="s">
        <v>78</v>
      </c>
      <c r="H21" s="27" t="s">
        <v>72</v>
      </c>
      <c r="I21" s="27">
        <f>'MERCADO TUSD'!$U$18</f>
        <v>30.416</v>
      </c>
      <c r="J21" s="15"/>
      <c r="L21" s="17">
        <f>'TR TUSD'!$L$21*'TR TUSD'!$L$60</f>
        <v>0</v>
      </c>
      <c r="M21" s="17">
        <f>'TR TUSD'!$M$21*'TR TUSD'!$M$60</f>
        <v>1.4420587949790575</v>
      </c>
      <c r="N21" s="17">
        <f ca="1">'TR TUSD'!$N$21*'TR TUSD'!$N$60</f>
        <v>0</v>
      </c>
      <c r="O21" s="17">
        <f>'TR TUSD'!$O$21*'TR TUSD'!$O$60</f>
        <v>0</v>
      </c>
      <c r="P21" s="17">
        <f>'TR TUSD'!$P$21*'TR TUSD'!$P$60</f>
        <v>0</v>
      </c>
      <c r="Q21" s="17">
        <f>'TR TUSD'!$Q$21*'TR TUSD'!$Q$60</f>
        <v>0</v>
      </c>
      <c r="R21" s="17">
        <f>'TR TUSD'!$R$21*'TR TUSD'!$R$60</f>
        <v>0</v>
      </c>
      <c r="S21" s="17">
        <f>'TR TUSD'!$S$21*'TR TUSD'!$S$60</f>
        <v>0</v>
      </c>
      <c r="T21" s="17">
        <f ca="1">SUM($L$21:$S$21)</f>
        <v>1.4420587949790575</v>
      </c>
      <c r="U21" s="17">
        <f>'TR TUSD'!$U$21*'TR TUSD'!$U$60</f>
        <v>0</v>
      </c>
      <c r="V21" s="17">
        <f>'TR TUSD'!$V$21*'TR TUSD'!$V$60</f>
        <v>0</v>
      </c>
      <c r="W21" s="17">
        <f>'TR TUSD'!$W$21*'TR TUSD'!$W$60</f>
        <v>0</v>
      </c>
      <c r="X21" s="17">
        <f>'TR TUSD'!$X$21*'TR TUSD'!$X$60</f>
        <v>0</v>
      </c>
      <c r="Y21" s="17">
        <f>'TR TUSD'!$Y$21*'TR TUSD'!$Y$60</f>
        <v>118.97916384213156</v>
      </c>
      <c r="Z21" s="17">
        <f>'TR TUSD'!$Z$21</f>
        <v>0</v>
      </c>
      <c r="AA21" s="17">
        <f>'TR TUSD'!$AA$21</f>
        <v>0</v>
      </c>
      <c r="AB21" s="17">
        <f>SUM($U$21:$AA$21)</f>
        <v>118.97916384213156</v>
      </c>
      <c r="AC21" s="17">
        <f>'TR TUSD'!$AC$21*'TR TUSD'!$AC$60</f>
        <v>340.82102120437577</v>
      </c>
      <c r="AD21" s="17">
        <f>SUM($AC$21:$AC$21)</f>
        <v>340.82102120437577</v>
      </c>
      <c r="AE21" s="17">
        <v>0</v>
      </c>
      <c r="AF21" s="17">
        <v>0</v>
      </c>
      <c r="AG21" s="17">
        <f>SUM($AE$21:$AF$21)</f>
        <v>0</v>
      </c>
      <c r="AH21" s="17">
        <f>'TR TUSD'!$AH$21*'TR TUSD'!$AH$60</f>
        <v>18.027848238388035</v>
      </c>
      <c r="AI21" s="17">
        <f>'TR TUSD'!$AI$21*'TR TUSD'!$AI$60</f>
        <v>0</v>
      </c>
      <c r="AJ21" s="17">
        <f ca="1">'TR TUSD'!$AJ$21*'TR TUSD'!$AJ$60</f>
        <v>0</v>
      </c>
      <c r="AK21" s="17">
        <f ca="1">'TR TUSD'!$AK$21*'TR TUSD'!$AK$60</f>
        <v>0</v>
      </c>
      <c r="AL21" s="17">
        <f ca="1">SUM($AH$21:$AK$21)</f>
        <v>18.027848238388035</v>
      </c>
      <c r="AM21" s="17">
        <f ca="1">SUMIF($L$4:$AL$4,"SUBTOTAL",$L$21:$AL$21)</f>
        <v>479.27009207987442</v>
      </c>
      <c r="AP21" s="17">
        <f>IF((1 - CUSTOS!$M$24)&lt;&gt;0,1/(1 - CUSTOS!$M$24),1)</f>
        <v>1</v>
      </c>
    </row>
    <row r="22" spans="1:42" ht="11.25" customHeight="1" x14ac:dyDescent="0.25">
      <c r="A22" s="94"/>
      <c r="B22" s="94"/>
      <c r="C22" s="94"/>
      <c r="D22" s="26" t="s">
        <v>30</v>
      </c>
      <c r="E22" s="26" t="s">
        <v>25</v>
      </c>
      <c r="F22" s="26" t="s">
        <v>25</v>
      </c>
      <c r="G22" s="27" t="s">
        <v>78</v>
      </c>
      <c r="H22" s="27" t="s">
        <v>72</v>
      </c>
      <c r="I22" s="27">
        <f>'MERCADO TUSD'!$U$19</f>
        <v>60.935000000000002</v>
      </c>
      <c r="J22" s="15"/>
      <c r="L22" s="17">
        <f>'TR TUSD'!$L$22*'TR TUSD'!$L$60</f>
        <v>0</v>
      </c>
      <c r="M22" s="17">
        <f>'TR TUSD'!$M$22*'TR TUSD'!$M$60</f>
        <v>1.4420587949790575</v>
      </c>
      <c r="N22" s="17">
        <f ca="1">'TR TUSD'!$N$22*'TR TUSD'!$N$60</f>
        <v>0</v>
      </c>
      <c r="O22" s="17">
        <f>'TR TUSD'!$O$22*'TR TUSD'!$O$60</f>
        <v>0</v>
      </c>
      <c r="P22" s="17">
        <f>'TR TUSD'!$P$22*'TR TUSD'!$P$60</f>
        <v>0</v>
      </c>
      <c r="Q22" s="17">
        <f>'TR TUSD'!$Q$22*'TR TUSD'!$Q$60</f>
        <v>0</v>
      </c>
      <c r="R22" s="17">
        <f>'TR TUSD'!$R$22*'TR TUSD'!$R$60</f>
        <v>0</v>
      </c>
      <c r="S22" s="17">
        <f>'TR TUSD'!$S$22*'TR TUSD'!$S$60</f>
        <v>0</v>
      </c>
      <c r="T22" s="17">
        <f ca="1">SUM($L$22:$S$22)</f>
        <v>1.4420587949790575</v>
      </c>
      <c r="U22" s="17">
        <f>'TR TUSD'!$U$22*'TR TUSD'!$U$60</f>
        <v>0</v>
      </c>
      <c r="V22" s="17">
        <f>'TR TUSD'!$V$22*'TR TUSD'!$V$60</f>
        <v>0</v>
      </c>
      <c r="W22" s="17">
        <f>'TR TUSD'!$W$22*'TR TUSD'!$W$60</f>
        <v>0</v>
      </c>
      <c r="X22" s="17">
        <f>'TR TUSD'!$X$22*'TR TUSD'!$X$60</f>
        <v>0</v>
      </c>
      <c r="Y22" s="17">
        <f>'TR TUSD'!$Y$22*'TR TUSD'!$Y$60</f>
        <v>118.97916384213156</v>
      </c>
      <c r="Z22" s="17">
        <f>'TR TUSD'!$Z$22</f>
        <v>0</v>
      </c>
      <c r="AA22" s="17">
        <f>'TR TUSD'!$AA$22</f>
        <v>0</v>
      </c>
      <c r="AB22" s="17">
        <f>SUM($U$22:$AA$22)</f>
        <v>118.97916384213156</v>
      </c>
      <c r="AC22" s="17">
        <f>'TR TUSD'!$AC$22*'TR TUSD'!$AC$60</f>
        <v>340.82102120437577</v>
      </c>
      <c r="AD22" s="17">
        <f>SUM($AC$22:$AC$22)</f>
        <v>340.82102120437577</v>
      </c>
      <c r="AE22" s="17">
        <v>0</v>
      </c>
      <c r="AF22" s="17">
        <v>0</v>
      </c>
      <c r="AG22" s="17">
        <f>SUM($AE$22:$AF$22)</f>
        <v>0</v>
      </c>
      <c r="AH22" s="17">
        <f>'TR TUSD'!$AH$22*'TR TUSD'!$AH$60</f>
        <v>18.027848238388035</v>
      </c>
      <c r="AI22" s="17">
        <f>'TR TUSD'!$AI$22*'TR TUSD'!$AI$60</f>
        <v>0</v>
      </c>
      <c r="AJ22" s="17">
        <f ca="1">'TR TUSD'!$AJ$22*'TR TUSD'!$AJ$60</f>
        <v>0</v>
      </c>
      <c r="AK22" s="17">
        <f ca="1">'TR TUSD'!$AK$22*'TR TUSD'!$AK$60</f>
        <v>0</v>
      </c>
      <c r="AL22" s="17">
        <f ca="1">SUM($AH$22:$AK$22)</f>
        <v>18.027848238388035</v>
      </c>
      <c r="AM22" s="17">
        <f ca="1">SUMIF($L$4:$AL$4,"SUBTOTAL",$L$22:$AL$22)</f>
        <v>479.27009207987442</v>
      </c>
      <c r="AP22" s="17">
        <f>IF((1 - CUSTOS!$M$25)&lt;&gt;0,1/(1 - CUSTOS!$M$25),1)</f>
        <v>1</v>
      </c>
    </row>
    <row r="23" spans="1:42" ht="11.25" customHeight="1" x14ac:dyDescent="0.25">
      <c r="A23" s="94"/>
      <c r="B23" s="94"/>
      <c r="C23" s="94"/>
      <c r="D23" s="26" t="s">
        <v>31</v>
      </c>
      <c r="E23" s="26" t="s">
        <v>25</v>
      </c>
      <c r="F23" s="26" t="s">
        <v>25</v>
      </c>
      <c r="G23" s="27" t="s">
        <v>78</v>
      </c>
      <c r="H23" s="27" t="s">
        <v>72</v>
      </c>
      <c r="I23" s="27">
        <f>'MERCADO TUSD'!$U$20</f>
        <v>58.873999999999995</v>
      </c>
      <c r="J23" s="15"/>
      <c r="L23" s="17">
        <f>'TR TUSD'!$L$23*'TR TUSD'!$L$60</f>
        <v>0</v>
      </c>
      <c r="M23" s="17">
        <f>'TR TUSD'!$M$23*'TR TUSD'!$M$60</f>
        <v>1.4420587949790575</v>
      </c>
      <c r="N23" s="17">
        <f ca="1">'TR TUSD'!$N$23*'TR TUSD'!$N$60</f>
        <v>0</v>
      </c>
      <c r="O23" s="17">
        <f>'TR TUSD'!$O$23*'TR TUSD'!$O$60</f>
        <v>0</v>
      </c>
      <c r="P23" s="17">
        <f>'TR TUSD'!$P$23*'TR TUSD'!$P$60</f>
        <v>0</v>
      </c>
      <c r="Q23" s="17">
        <f>'TR TUSD'!$Q$23*'TR TUSD'!$Q$60</f>
        <v>0</v>
      </c>
      <c r="R23" s="17">
        <f>'TR TUSD'!$R$23*'TR TUSD'!$R$60</f>
        <v>0</v>
      </c>
      <c r="S23" s="17">
        <f>'TR TUSD'!$S$23*'TR TUSD'!$S$60</f>
        <v>0</v>
      </c>
      <c r="T23" s="17">
        <f ca="1">SUM($L$23:$S$23)</f>
        <v>1.4420587949790575</v>
      </c>
      <c r="U23" s="17">
        <f>'TR TUSD'!$U$23*'TR TUSD'!$U$60</f>
        <v>0</v>
      </c>
      <c r="V23" s="17">
        <f>'TR TUSD'!$V$23*'TR TUSD'!$V$60</f>
        <v>0</v>
      </c>
      <c r="W23" s="17">
        <f>'TR TUSD'!$W$23*'TR TUSD'!$W$60</f>
        <v>0</v>
      </c>
      <c r="X23" s="17">
        <f>'TR TUSD'!$X$23*'TR TUSD'!$X$60</f>
        <v>0</v>
      </c>
      <c r="Y23" s="17">
        <f>'TR TUSD'!$Y$23*'TR TUSD'!$Y$60</f>
        <v>118.97916384213156</v>
      </c>
      <c r="Z23" s="17">
        <f>'TR TUSD'!$Z$23</f>
        <v>0</v>
      </c>
      <c r="AA23" s="17">
        <f>'TR TUSD'!$AA$23</f>
        <v>0</v>
      </c>
      <c r="AB23" s="17">
        <f>SUM($U$23:$AA$23)</f>
        <v>118.97916384213156</v>
      </c>
      <c r="AC23" s="17">
        <f>'TR TUSD'!$AC$23*'TR TUSD'!$AC$60</f>
        <v>340.82102120437577</v>
      </c>
      <c r="AD23" s="17">
        <f>SUM($AC$23:$AC$23)</f>
        <v>340.82102120437577</v>
      </c>
      <c r="AE23" s="17">
        <v>0</v>
      </c>
      <c r="AF23" s="17">
        <v>0</v>
      </c>
      <c r="AG23" s="17">
        <f>SUM($AE$23:$AF$23)</f>
        <v>0</v>
      </c>
      <c r="AH23" s="17">
        <f>'TR TUSD'!$AH$23*'TR TUSD'!$AH$60</f>
        <v>18.027848238388035</v>
      </c>
      <c r="AI23" s="17">
        <f>'TR TUSD'!$AI$23*'TR TUSD'!$AI$60</f>
        <v>0</v>
      </c>
      <c r="AJ23" s="17">
        <f ca="1">'TR TUSD'!$AJ$23*'TR TUSD'!$AJ$60</f>
        <v>0</v>
      </c>
      <c r="AK23" s="17">
        <f ca="1">'TR TUSD'!$AK$23*'TR TUSD'!$AK$60</f>
        <v>0</v>
      </c>
      <c r="AL23" s="17">
        <f ca="1">SUM($AH$23:$AK$23)</f>
        <v>18.027848238388035</v>
      </c>
      <c r="AM23" s="17">
        <f ca="1">SUMIF($L$4:$AL$4,"SUBTOTAL",$L$23:$AL$23)</f>
        <v>479.27009207987442</v>
      </c>
      <c r="AP23" s="17">
        <f>IF((1 - CUSTOS!$M$26)&lt;&gt;0,1/(1 - CUSTOS!$M$26),1)</f>
        <v>1</v>
      </c>
    </row>
    <row r="24" spans="1:42" ht="11.25" customHeight="1" x14ac:dyDescent="0.25">
      <c r="A24" s="94"/>
      <c r="B24" s="94"/>
      <c r="C24" s="94"/>
      <c r="D24" s="26" t="s">
        <v>32</v>
      </c>
      <c r="E24" s="26" t="s">
        <v>25</v>
      </c>
      <c r="F24" s="26" t="s">
        <v>25</v>
      </c>
      <c r="G24" s="27" t="s">
        <v>78</v>
      </c>
      <c r="H24" s="27" t="s">
        <v>72</v>
      </c>
      <c r="I24" s="27">
        <f>'MERCADO TUSD'!$U$21</f>
        <v>22.426000000000002</v>
      </c>
      <c r="J24" s="15"/>
      <c r="L24" s="17">
        <f>'TR TUSD'!$L$24*'TR TUSD'!$L$60</f>
        <v>0</v>
      </c>
      <c r="M24" s="17">
        <f>'TR TUSD'!$M$24*'TR TUSD'!$M$60</f>
        <v>1.4420587949790575</v>
      </c>
      <c r="N24" s="17">
        <f ca="1">'TR TUSD'!$N$24*'TR TUSD'!$N$60</f>
        <v>0</v>
      </c>
      <c r="O24" s="17">
        <f>'TR TUSD'!$O$24*'TR TUSD'!$O$60</f>
        <v>0</v>
      </c>
      <c r="P24" s="17">
        <f>'TR TUSD'!$P$24*'TR TUSD'!$P$60</f>
        <v>0</v>
      </c>
      <c r="Q24" s="17">
        <f>'TR TUSD'!$Q$24*'TR TUSD'!$Q$60</f>
        <v>0</v>
      </c>
      <c r="R24" s="17">
        <f>'TR TUSD'!$R$24*'TR TUSD'!$R$60</f>
        <v>0</v>
      </c>
      <c r="S24" s="17">
        <f>'TR TUSD'!$S$24*'TR TUSD'!$S$60</f>
        <v>0</v>
      </c>
      <c r="T24" s="17">
        <f ca="1">SUM($L$24:$S$24)</f>
        <v>1.4420587949790575</v>
      </c>
      <c r="U24" s="17">
        <f>'TR TUSD'!$U$24*'TR TUSD'!$U$60</f>
        <v>0</v>
      </c>
      <c r="V24" s="17">
        <f>'TR TUSD'!$V$24*'TR TUSD'!$V$60</f>
        <v>0</v>
      </c>
      <c r="W24" s="17">
        <f>'TR TUSD'!$W$24*'TR TUSD'!$W$60</f>
        <v>0</v>
      </c>
      <c r="X24" s="17">
        <f>'TR TUSD'!$X$24*'TR TUSD'!$X$60</f>
        <v>0</v>
      </c>
      <c r="Y24" s="17">
        <f>'TR TUSD'!$Y$24*'TR TUSD'!$Y$60</f>
        <v>118.97916384213156</v>
      </c>
      <c r="Z24" s="17">
        <f>'TR TUSD'!$Z$24</f>
        <v>0</v>
      </c>
      <c r="AA24" s="17">
        <f>'TR TUSD'!$AA$24</f>
        <v>0</v>
      </c>
      <c r="AB24" s="17">
        <f>SUM($U$24:$AA$24)</f>
        <v>118.97916384213156</v>
      </c>
      <c r="AC24" s="17">
        <f>'TR TUSD'!$AC$24*'TR TUSD'!$AC$60</f>
        <v>340.82102120437577</v>
      </c>
      <c r="AD24" s="17">
        <f>SUM($AC$24:$AC$24)</f>
        <v>340.82102120437577</v>
      </c>
      <c r="AE24" s="17">
        <v>0</v>
      </c>
      <c r="AF24" s="17">
        <v>0</v>
      </c>
      <c r="AG24" s="17">
        <f>SUM($AE$24:$AF$24)</f>
        <v>0</v>
      </c>
      <c r="AH24" s="17">
        <f>'TR TUSD'!$AH$24*'TR TUSD'!$AH$60</f>
        <v>18.027848238388035</v>
      </c>
      <c r="AI24" s="17">
        <f>'TR TUSD'!$AI$24*'TR TUSD'!$AI$60</f>
        <v>0</v>
      </c>
      <c r="AJ24" s="17">
        <f ca="1">'TR TUSD'!$AJ$24*'TR TUSD'!$AJ$60</f>
        <v>0</v>
      </c>
      <c r="AK24" s="17">
        <f ca="1">'TR TUSD'!$AK$24*'TR TUSD'!$AK$60</f>
        <v>0</v>
      </c>
      <c r="AL24" s="17">
        <f ca="1">SUM($AH$24:$AK$24)</f>
        <v>18.027848238388035</v>
      </c>
      <c r="AM24" s="17">
        <f ca="1">SUMIF($L$4:$AL$4,"SUBTOTAL",$L$24:$AL$24)</f>
        <v>479.27009207987442</v>
      </c>
      <c r="AP24" s="17">
        <f>IF((1 - CUSTOS!$M$27)&lt;&gt;0,1/(1 - CUSTOS!$M$27),1)</f>
        <v>1</v>
      </c>
    </row>
    <row r="25" spans="1:42" ht="11.25" customHeight="1" x14ac:dyDescent="0.25">
      <c r="A25" s="94"/>
      <c r="B25" s="94" t="s">
        <v>87</v>
      </c>
      <c r="C25" s="94" t="s">
        <v>24</v>
      </c>
      <c r="D25" s="26" t="s">
        <v>24</v>
      </c>
      <c r="E25" s="26" t="s">
        <v>25</v>
      </c>
      <c r="F25" s="26" t="s">
        <v>25</v>
      </c>
      <c r="G25" s="27" t="s">
        <v>78</v>
      </c>
      <c r="H25" s="27" t="s">
        <v>72</v>
      </c>
      <c r="I25" s="27">
        <f>'MERCADO TUSD'!$U$22</f>
        <v>0</v>
      </c>
      <c r="J25" s="15"/>
      <c r="L25" s="17">
        <f>'TR TUSD'!$L$25*'TR TUSD'!$L$60</f>
        <v>0</v>
      </c>
      <c r="M25" s="17">
        <f>'TR TUSD'!$M$25*'TR TUSD'!$M$60</f>
        <v>1.4420587949790575</v>
      </c>
      <c r="N25" s="17">
        <f ca="1">'TR TUSD'!$N$25*'TR TUSD'!$N$60</f>
        <v>0</v>
      </c>
      <c r="O25" s="17">
        <f>'TR TUSD'!$O$25*'TR TUSD'!$O$60</f>
        <v>0</v>
      </c>
      <c r="P25" s="17">
        <f>'TR TUSD'!$P$25*'TR TUSD'!$P$60</f>
        <v>0</v>
      </c>
      <c r="Q25" s="17">
        <f>'TR TUSD'!$Q$25*'TR TUSD'!$Q$60</f>
        <v>89.78816286110856</v>
      </c>
      <c r="R25" s="17">
        <f>'TR TUSD'!$R$25*'TR TUSD'!$R$60</f>
        <v>14.195047864355542</v>
      </c>
      <c r="S25" s="17">
        <f>'TR TUSD'!$S$25*'TR TUSD'!$S$60</f>
        <v>0</v>
      </c>
      <c r="T25" s="17">
        <f ca="1">SUM($L$25:$S$25)</f>
        <v>105.42526952044317</v>
      </c>
      <c r="U25" s="17">
        <f>'TR TUSD'!$U$25*'TR TUSD'!$U$60</f>
        <v>0</v>
      </c>
      <c r="V25" s="17">
        <f>'TR TUSD'!$V$25*'TR TUSD'!$V$60</f>
        <v>0</v>
      </c>
      <c r="W25" s="17">
        <f>'TR TUSD'!$W$25*'TR TUSD'!$W$60</f>
        <v>0</v>
      </c>
      <c r="X25" s="17">
        <f>'TR TUSD'!$X$25*'TR TUSD'!$X$60</f>
        <v>0</v>
      </c>
      <c r="Y25" s="17">
        <f>'TR TUSD'!$Y$25*'TR TUSD'!$Y$60</f>
        <v>118.97916384213156</v>
      </c>
      <c r="Z25" s="17">
        <f>'TR TUSD'!$Z$25</f>
        <v>0</v>
      </c>
      <c r="AA25" s="17">
        <f>'TR TUSD'!$AA$25</f>
        <v>0</v>
      </c>
      <c r="AB25" s="17">
        <f>SUM($U$25:$AA$25)</f>
        <v>118.97916384213156</v>
      </c>
      <c r="AC25" s="17">
        <f>'TR TUSD'!$AC$25*'TR TUSD'!$AC$60</f>
        <v>340.82102120437577</v>
      </c>
      <c r="AD25" s="17">
        <f>SUM($AC$25:$AC$25)</f>
        <v>340.82102120437577</v>
      </c>
      <c r="AE25" s="17">
        <v>0</v>
      </c>
      <c r="AF25" s="17">
        <v>0</v>
      </c>
      <c r="AG25" s="17">
        <f>SUM($AE$25:$AF$25)</f>
        <v>0</v>
      </c>
      <c r="AH25" s="17">
        <f>'TR TUSD'!$AH$25*'TR TUSD'!$AH$60</f>
        <v>18.027848238388035</v>
      </c>
      <c r="AI25" s="17">
        <f>'TR TUSD'!$AI$25*'TR TUSD'!$AI$60</f>
        <v>0</v>
      </c>
      <c r="AJ25" s="17">
        <f ca="1">'TR TUSD'!$AJ$25*'TR TUSD'!$AJ$60</f>
        <v>0</v>
      </c>
      <c r="AK25" s="17">
        <f ca="1">'TR TUSD'!$AK$25*'TR TUSD'!$AK$60</f>
        <v>0</v>
      </c>
      <c r="AL25" s="17">
        <f ca="1">SUM($AH$25:$AK$25)</f>
        <v>18.027848238388035</v>
      </c>
      <c r="AM25" s="17">
        <f ca="1">SUMIF($L$4:$AL$4,"SUBTOTAL",$L$25:$AL$25)</f>
        <v>583.25330280533854</v>
      </c>
      <c r="AP25" s="17">
        <v>1</v>
      </c>
    </row>
    <row r="26" spans="1:42" ht="11.25" customHeight="1" x14ac:dyDescent="0.25">
      <c r="A26" s="94"/>
      <c r="B26" s="94"/>
      <c r="C26" s="94"/>
      <c r="D26" s="26" t="s">
        <v>29</v>
      </c>
      <c r="E26" s="26" t="s">
        <v>25</v>
      </c>
      <c r="F26" s="26" t="s">
        <v>25</v>
      </c>
      <c r="G26" s="27" t="s">
        <v>78</v>
      </c>
      <c r="H26" s="27" t="s">
        <v>72</v>
      </c>
      <c r="I26" s="27">
        <f>'MERCADO TUSD'!$U$23</f>
        <v>0</v>
      </c>
      <c r="J26" s="15"/>
      <c r="L26" s="17">
        <f>'TR TUSD'!$L$26*'TR TUSD'!$L$60</f>
        <v>0</v>
      </c>
      <c r="M26" s="17">
        <f>'TR TUSD'!$M$26*'TR TUSD'!$M$60</f>
        <v>1.4420587949790575</v>
      </c>
      <c r="N26" s="17">
        <f ca="1">'TR TUSD'!$N$26*'TR TUSD'!$N$60</f>
        <v>0</v>
      </c>
      <c r="O26" s="17">
        <f>'TR TUSD'!$O$26*'TR TUSD'!$O$60</f>
        <v>0</v>
      </c>
      <c r="P26" s="17">
        <f>'TR TUSD'!$P$26*'TR TUSD'!$P$60</f>
        <v>0</v>
      </c>
      <c r="Q26" s="17">
        <f>'TR TUSD'!$Q$26*'TR TUSD'!$Q$60</f>
        <v>0</v>
      </c>
      <c r="R26" s="17">
        <f>'TR TUSD'!$R$26*'TR TUSD'!$R$60</f>
        <v>0</v>
      </c>
      <c r="S26" s="17">
        <f>'TR TUSD'!$S$26*'TR TUSD'!$S$60</f>
        <v>0</v>
      </c>
      <c r="T26" s="17">
        <f ca="1">SUM($L$26:$S$26)</f>
        <v>1.4420587949790575</v>
      </c>
      <c r="U26" s="17">
        <f>'TR TUSD'!$U$26*'TR TUSD'!$U$60</f>
        <v>0</v>
      </c>
      <c r="V26" s="17">
        <f>'TR TUSD'!$V$26*'TR TUSD'!$V$60</f>
        <v>0</v>
      </c>
      <c r="W26" s="17">
        <f>'TR TUSD'!$W$26*'TR TUSD'!$W$60</f>
        <v>0</v>
      </c>
      <c r="X26" s="17">
        <f>'TR TUSD'!$X$26*'TR TUSD'!$X$60</f>
        <v>0</v>
      </c>
      <c r="Y26" s="17">
        <f>'TR TUSD'!$Y$26*'TR TUSD'!$Y$60</f>
        <v>118.97916384213156</v>
      </c>
      <c r="Z26" s="17">
        <f>'TR TUSD'!$Z$26</f>
        <v>0</v>
      </c>
      <c r="AA26" s="17">
        <f>'TR TUSD'!$AA$26</f>
        <v>0</v>
      </c>
      <c r="AB26" s="17">
        <f>SUM($U$26:$AA$26)</f>
        <v>118.97916384213156</v>
      </c>
      <c r="AC26" s="17">
        <f>'TR TUSD'!$AC$26*'TR TUSD'!$AC$60</f>
        <v>340.82102120437577</v>
      </c>
      <c r="AD26" s="17">
        <f>SUM($AC$26:$AC$26)</f>
        <v>340.82102120437577</v>
      </c>
      <c r="AE26" s="17">
        <v>0</v>
      </c>
      <c r="AF26" s="17">
        <v>0</v>
      </c>
      <c r="AG26" s="17">
        <f>SUM($AE$26:$AF$26)</f>
        <v>0</v>
      </c>
      <c r="AH26" s="17">
        <f>'TR TUSD'!$AH$26*'TR TUSD'!$AH$60</f>
        <v>18.027848238388035</v>
      </c>
      <c r="AI26" s="17">
        <f>'TR TUSD'!$AI$26*'TR TUSD'!$AI$60</f>
        <v>0</v>
      </c>
      <c r="AJ26" s="17">
        <f ca="1">'TR TUSD'!$AJ$26*'TR TUSD'!$AJ$60</f>
        <v>0</v>
      </c>
      <c r="AK26" s="17">
        <f ca="1">'TR TUSD'!$AK$26*'TR TUSD'!$AK$60</f>
        <v>0</v>
      </c>
      <c r="AL26" s="17">
        <f ca="1">SUM($AH$26:$AK$26)</f>
        <v>18.027848238388035</v>
      </c>
      <c r="AM26" s="17">
        <f ca="1">SUMIF($L$4:$AL$4,"SUBTOTAL",$L$26:$AL$26)</f>
        <v>479.27009207987442</v>
      </c>
      <c r="AP26" s="17">
        <f>IF((1 - CUSTOS!$M$24)&lt;&gt;0,1/(1 - CUSTOS!$M$24),1)</f>
        <v>1</v>
      </c>
    </row>
    <row r="27" spans="1:42" ht="11.25" customHeight="1" x14ac:dyDescent="0.25">
      <c r="A27" s="94"/>
      <c r="B27" s="94"/>
      <c r="C27" s="94"/>
      <c r="D27" s="26" t="s">
        <v>30</v>
      </c>
      <c r="E27" s="26" t="s">
        <v>25</v>
      </c>
      <c r="F27" s="26" t="s">
        <v>25</v>
      </c>
      <c r="G27" s="27" t="s">
        <v>78</v>
      </c>
      <c r="H27" s="27" t="s">
        <v>72</v>
      </c>
      <c r="I27" s="27">
        <f>'MERCADO TUSD'!$U$24</f>
        <v>0</v>
      </c>
      <c r="J27" s="15"/>
      <c r="L27" s="17">
        <f>'TR TUSD'!$L$27*'TR TUSD'!$L$60</f>
        <v>0</v>
      </c>
      <c r="M27" s="17">
        <f>'TR TUSD'!$M$27*'TR TUSD'!$M$60</f>
        <v>1.4420587949790575</v>
      </c>
      <c r="N27" s="17">
        <f ca="1">'TR TUSD'!$N$27*'TR TUSD'!$N$60</f>
        <v>0</v>
      </c>
      <c r="O27" s="17">
        <f>'TR TUSD'!$O$27*'TR TUSD'!$O$60</f>
        <v>0</v>
      </c>
      <c r="P27" s="17">
        <f>'TR TUSD'!$P$27*'TR TUSD'!$P$60</f>
        <v>0</v>
      </c>
      <c r="Q27" s="17">
        <f>'TR TUSD'!$Q$27*'TR TUSD'!$Q$60</f>
        <v>0</v>
      </c>
      <c r="R27" s="17">
        <f>'TR TUSD'!$R$27*'TR TUSD'!$R$60</f>
        <v>0</v>
      </c>
      <c r="S27" s="17">
        <f>'TR TUSD'!$S$27*'TR TUSD'!$S$60</f>
        <v>0</v>
      </c>
      <c r="T27" s="17">
        <f ca="1">SUM($L$27:$S$27)</f>
        <v>1.4420587949790575</v>
      </c>
      <c r="U27" s="17">
        <f>'TR TUSD'!$U$27*'TR TUSD'!$U$60</f>
        <v>0</v>
      </c>
      <c r="V27" s="17">
        <f>'TR TUSD'!$V$27*'TR TUSD'!$V$60</f>
        <v>0</v>
      </c>
      <c r="W27" s="17">
        <f>'TR TUSD'!$W$27*'TR TUSD'!$W$60</f>
        <v>0</v>
      </c>
      <c r="X27" s="17">
        <f>'TR TUSD'!$X$27*'TR TUSD'!$X$60</f>
        <v>0</v>
      </c>
      <c r="Y27" s="17">
        <f>'TR TUSD'!$Y$27*'TR TUSD'!$Y$60</f>
        <v>118.97916384213156</v>
      </c>
      <c r="Z27" s="17">
        <f>'TR TUSD'!$Z$27</f>
        <v>0</v>
      </c>
      <c r="AA27" s="17">
        <f>'TR TUSD'!$AA$27</f>
        <v>0</v>
      </c>
      <c r="AB27" s="17">
        <f>SUM($U$27:$AA$27)</f>
        <v>118.97916384213156</v>
      </c>
      <c r="AC27" s="17">
        <f>'TR TUSD'!$AC$27*'TR TUSD'!$AC$60</f>
        <v>340.82102120437577</v>
      </c>
      <c r="AD27" s="17">
        <f>SUM($AC$27:$AC$27)</f>
        <v>340.82102120437577</v>
      </c>
      <c r="AE27" s="17">
        <v>0</v>
      </c>
      <c r="AF27" s="17">
        <v>0</v>
      </c>
      <c r="AG27" s="17">
        <f>SUM($AE$27:$AF$27)</f>
        <v>0</v>
      </c>
      <c r="AH27" s="17">
        <f>'TR TUSD'!$AH$27*'TR TUSD'!$AH$60</f>
        <v>18.027848238388035</v>
      </c>
      <c r="AI27" s="17">
        <f>'TR TUSD'!$AI$27*'TR TUSD'!$AI$60</f>
        <v>0</v>
      </c>
      <c r="AJ27" s="17">
        <f ca="1">'TR TUSD'!$AJ$27*'TR TUSD'!$AJ$60</f>
        <v>0</v>
      </c>
      <c r="AK27" s="17">
        <f ca="1">'TR TUSD'!$AK$27*'TR TUSD'!$AK$60</f>
        <v>0</v>
      </c>
      <c r="AL27" s="17">
        <f ca="1">SUM($AH$27:$AK$27)</f>
        <v>18.027848238388035</v>
      </c>
      <c r="AM27" s="17">
        <f ca="1">SUMIF($L$4:$AL$4,"SUBTOTAL",$L$27:$AL$27)</f>
        <v>479.27009207987442</v>
      </c>
      <c r="AP27" s="17">
        <f>IF((1 - CUSTOS!$M$25)&lt;&gt;0,1/(1 - CUSTOS!$M$25),1)</f>
        <v>1</v>
      </c>
    </row>
    <row r="28" spans="1:42" ht="11.25" customHeight="1" x14ac:dyDescent="0.25">
      <c r="A28" s="94"/>
      <c r="B28" s="94"/>
      <c r="C28" s="94"/>
      <c r="D28" s="26" t="s">
        <v>31</v>
      </c>
      <c r="E28" s="26" t="s">
        <v>25</v>
      </c>
      <c r="F28" s="26" t="s">
        <v>25</v>
      </c>
      <c r="G28" s="27" t="s">
        <v>78</v>
      </c>
      <c r="H28" s="27" t="s">
        <v>72</v>
      </c>
      <c r="I28" s="27">
        <f>'MERCADO TUSD'!$U$25</f>
        <v>0</v>
      </c>
      <c r="J28" s="15"/>
      <c r="L28" s="17">
        <f>'TR TUSD'!$L$28*'TR TUSD'!$L$60</f>
        <v>0</v>
      </c>
      <c r="M28" s="17">
        <f>'TR TUSD'!$M$28*'TR TUSD'!$M$60</f>
        <v>1.4420587949790575</v>
      </c>
      <c r="N28" s="17">
        <f ca="1">'TR TUSD'!$N$28*'TR TUSD'!$N$60</f>
        <v>0</v>
      </c>
      <c r="O28" s="17">
        <f>'TR TUSD'!$O$28*'TR TUSD'!$O$60</f>
        <v>0</v>
      </c>
      <c r="P28" s="17">
        <f>'TR TUSD'!$P$28*'TR TUSD'!$P$60</f>
        <v>0</v>
      </c>
      <c r="Q28" s="17">
        <f>'TR TUSD'!$Q$28*'TR TUSD'!$Q$60</f>
        <v>0</v>
      </c>
      <c r="R28" s="17">
        <f>'TR TUSD'!$R$28*'TR TUSD'!$R$60</f>
        <v>0</v>
      </c>
      <c r="S28" s="17">
        <f>'TR TUSD'!$S$28*'TR TUSD'!$S$60</f>
        <v>0</v>
      </c>
      <c r="T28" s="17">
        <f ca="1">SUM($L$28:$S$28)</f>
        <v>1.4420587949790575</v>
      </c>
      <c r="U28" s="17">
        <f>'TR TUSD'!$U$28*'TR TUSD'!$U$60</f>
        <v>0</v>
      </c>
      <c r="V28" s="17">
        <f>'TR TUSD'!$V$28*'TR TUSD'!$V$60</f>
        <v>0</v>
      </c>
      <c r="W28" s="17">
        <f>'TR TUSD'!$W$28*'TR TUSD'!$W$60</f>
        <v>0</v>
      </c>
      <c r="X28" s="17">
        <f>'TR TUSD'!$X$28*'TR TUSD'!$X$60</f>
        <v>0</v>
      </c>
      <c r="Y28" s="17">
        <f>'TR TUSD'!$Y$28*'TR TUSD'!$Y$60</f>
        <v>118.97916384213156</v>
      </c>
      <c r="Z28" s="17">
        <f>'TR TUSD'!$Z$28</f>
        <v>0</v>
      </c>
      <c r="AA28" s="17">
        <f>'TR TUSD'!$AA$28</f>
        <v>0</v>
      </c>
      <c r="AB28" s="17">
        <f>SUM($U$28:$AA$28)</f>
        <v>118.97916384213156</v>
      </c>
      <c r="AC28" s="17">
        <f>'TR TUSD'!$AC$28*'TR TUSD'!$AC$60</f>
        <v>340.82102120437577</v>
      </c>
      <c r="AD28" s="17">
        <f>SUM($AC$28:$AC$28)</f>
        <v>340.82102120437577</v>
      </c>
      <c r="AE28" s="17">
        <v>0</v>
      </c>
      <c r="AF28" s="17">
        <v>0</v>
      </c>
      <c r="AG28" s="17">
        <f>SUM($AE$28:$AF$28)</f>
        <v>0</v>
      </c>
      <c r="AH28" s="17">
        <f>'TR TUSD'!$AH$28*'TR TUSD'!$AH$60</f>
        <v>18.027848238388035</v>
      </c>
      <c r="AI28" s="17">
        <f>'TR TUSD'!$AI$28*'TR TUSD'!$AI$60</f>
        <v>0</v>
      </c>
      <c r="AJ28" s="17">
        <f ca="1">'TR TUSD'!$AJ$28*'TR TUSD'!$AJ$60</f>
        <v>0</v>
      </c>
      <c r="AK28" s="17">
        <f ca="1">'TR TUSD'!$AK$28*'TR TUSD'!$AK$60</f>
        <v>0</v>
      </c>
      <c r="AL28" s="17">
        <f ca="1">SUM($AH$28:$AK$28)</f>
        <v>18.027848238388035</v>
      </c>
      <c r="AM28" s="17">
        <f ca="1">SUMIF($L$4:$AL$4,"SUBTOTAL",$L$28:$AL$28)</f>
        <v>479.27009207987442</v>
      </c>
      <c r="AP28" s="17">
        <f>IF((1 - CUSTOS!$M$26)&lt;&gt;0,1/(1 - CUSTOS!$M$26),1)</f>
        <v>1</v>
      </c>
    </row>
    <row r="29" spans="1:42" ht="11.25" customHeight="1" x14ac:dyDescent="0.25">
      <c r="A29" s="94"/>
      <c r="B29" s="94"/>
      <c r="C29" s="94"/>
      <c r="D29" s="26" t="s">
        <v>32</v>
      </c>
      <c r="E29" s="26" t="s">
        <v>25</v>
      </c>
      <c r="F29" s="26" t="s">
        <v>25</v>
      </c>
      <c r="G29" s="27" t="s">
        <v>78</v>
      </c>
      <c r="H29" s="27" t="s">
        <v>72</v>
      </c>
      <c r="I29" s="27">
        <f>'MERCADO TUSD'!$U$26</f>
        <v>0</v>
      </c>
      <c r="J29" s="15"/>
      <c r="L29" s="17">
        <f>'TR TUSD'!$L$29*'TR TUSD'!$L$60</f>
        <v>0</v>
      </c>
      <c r="M29" s="17">
        <f>'TR TUSD'!$M$29*'TR TUSD'!$M$60</f>
        <v>1.4420587949790575</v>
      </c>
      <c r="N29" s="17">
        <f ca="1">'TR TUSD'!$N$29*'TR TUSD'!$N$60</f>
        <v>0</v>
      </c>
      <c r="O29" s="17">
        <f>'TR TUSD'!$O$29*'TR TUSD'!$O$60</f>
        <v>0</v>
      </c>
      <c r="P29" s="17">
        <f>'TR TUSD'!$P$29*'TR TUSD'!$P$60</f>
        <v>0</v>
      </c>
      <c r="Q29" s="17">
        <f>'TR TUSD'!$Q$29*'TR TUSD'!$Q$60</f>
        <v>0</v>
      </c>
      <c r="R29" s="17">
        <f>'TR TUSD'!$R$29*'TR TUSD'!$R$60</f>
        <v>0</v>
      </c>
      <c r="S29" s="17">
        <f>'TR TUSD'!$S$29*'TR TUSD'!$S$60</f>
        <v>0</v>
      </c>
      <c r="T29" s="17">
        <f ca="1">SUM($L$29:$S$29)</f>
        <v>1.4420587949790575</v>
      </c>
      <c r="U29" s="17">
        <f>'TR TUSD'!$U$29*'TR TUSD'!$U$60</f>
        <v>0</v>
      </c>
      <c r="V29" s="17">
        <f>'TR TUSD'!$V$29*'TR TUSD'!$V$60</f>
        <v>0</v>
      </c>
      <c r="W29" s="17">
        <f>'TR TUSD'!$W$29*'TR TUSD'!$W$60</f>
        <v>0</v>
      </c>
      <c r="X29" s="17">
        <f>'TR TUSD'!$X$29*'TR TUSD'!$X$60</f>
        <v>0</v>
      </c>
      <c r="Y29" s="17">
        <f>'TR TUSD'!$Y$29*'TR TUSD'!$Y$60</f>
        <v>118.97916384213156</v>
      </c>
      <c r="Z29" s="17">
        <f>'TR TUSD'!$Z$29</f>
        <v>0</v>
      </c>
      <c r="AA29" s="17">
        <f>'TR TUSD'!$AA$29</f>
        <v>0</v>
      </c>
      <c r="AB29" s="17">
        <f>SUM($U$29:$AA$29)</f>
        <v>118.97916384213156</v>
      </c>
      <c r="AC29" s="17">
        <f>'TR TUSD'!$AC$29*'TR TUSD'!$AC$60</f>
        <v>340.82102120437577</v>
      </c>
      <c r="AD29" s="17">
        <f>SUM($AC$29:$AC$29)</f>
        <v>340.82102120437577</v>
      </c>
      <c r="AE29" s="17">
        <v>0</v>
      </c>
      <c r="AF29" s="17">
        <v>0</v>
      </c>
      <c r="AG29" s="17">
        <f>SUM($AE$29:$AF$29)</f>
        <v>0</v>
      </c>
      <c r="AH29" s="17">
        <f>'TR TUSD'!$AH$29*'TR TUSD'!$AH$60</f>
        <v>18.027848238388035</v>
      </c>
      <c r="AI29" s="17">
        <f>'TR TUSD'!$AI$29*'TR TUSD'!$AI$60</f>
        <v>0</v>
      </c>
      <c r="AJ29" s="17">
        <f ca="1">'TR TUSD'!$AJ$29*'TR TUSD'!$AJ$60</f>
        <v>0</v>
      </c>
      <c r="AK29" s="17">
        <f ca="1">'TR TUSD'!$AK$29*'TR TUSD'!$AK$60</f>
        <v>0</v>
      </c>
      <c r="AL29" s="17">
        <f ca="1">SUM($AH$29:$AK$29)</f>
        <v>18.027848238388035</v>
      </c>
      <c r="AM29" s="17">
        <f ca="1">SUMIF($L$4:$AL$4,"SUBTOTAL",$L$29:$AL$29)</f>
        <v>479.27009207987442</v>
      </c>
      <c r="AP29" s="17">
        <f>IF((1 - CUSTOS!$M$27)&lt;&gt;0,1/(1 - CUSTOS!$M$27),1)</f>
        <v>1</v>
      </c>
    </row>
    <row r="30" spans="1:42" ht="11.25" customHeight="1" x14ac:dyDescent="0.25">
      <c r="A30" s="94" t="s">
        <v>40</v>
      </c>
      <c r="B30" s="94" t="s">
        <v>85</v>
      </c>
      <c r="C30" s="94" t="s">
        <v>41</v>
      </c>
      <c r="D30" s="94" t="s">
        <v>25</v>
      </c>
      <c r="E30" s="94" t="s">
        <v>25</v>
      </c>
      <c r="F30" s="94" t="s">
        <v>25</v>
      </c>
      <c r="G30" s="27" t="s">
        <v>73</v>
      </c>
      <c r="H30" s="27" t="s">
        <v>72</v>
      </c>
      <c r="I30" s="27">
        <f>'MERCADO TUSD'!$U$27</f>
        <v>0</v>
      </c>
      <c r="J30" s="15"/>
      <c r="L30" s="17">
        <f>'TR TUSD'!$L$30*'TR TUSD'!$L$60</f>
        <v>0</v>
      </c>
      <c r="M30" s="17">
        <f>'TR TUSD'!$M$30*'TR TUSD'!$M$60</f>
        <v>1.4420587949790575</v>
      </c>
      <c r="N30" s="17">
        <f ca="1">'TR TUSD'!$N$30*'TR TUSD'!$N$60</f>
        <v>0</v>
      </c>
      <c r="O30" s="17">
        <f>'TR TUSD'!$O$30*'TR TUSD'!$O$60</f>
        <v>0</v>
      </c>
      <c r="P30" s="17">
        <f>'TR TUSD'!$P$30*'TR TUSD'!$P$60</f>
        <v>0</v>
      </c>
      <c r="Q30" s="17">
        <f>'TR TUSD'!$Q$30*'TR TUSD'!$Q$60</f>
        <v>89.78816286110856</v>
      </c>
      <c r="R30" s="17">
        <f>'TR TUSD'!$R$30*'TR TUSD'!$R$60</f>
        <v>14.195047864355542</v>
      </c>
      <c r="S30" s="17">
        <f>'TR TUSD'!$S$30*'TR TUSD'!$S$60</f>
        <v>0</v>
      </c>
      <c r="T30" s="17">
        <f ca="1">SUM($L$30:$S$30)</f>
        <v>105.42526952044317</v>
      </c>
      <c r="U30" s="17">
        <f>'TR TUSD'!$U$30*'TR TUSD'!$U$60</f>
        <v>0</v>
      </c>
      <c r="V30" s="17">
        <f>'TR TUSD'!$V$30*'TR TUSD'!$V$60</f>
        <v>0</v>
      </c>
      <c r="W30" s="17">
        <f>'TR TUSD'!$W$30*'TR TUSD'!$W$60</f>
        <v>0</v>
      </c>
      <c r="X30" s="17">
        <f>'TR TUSD'!$X$30*'TR TUSD'!$X$60</f>
        <v>0</v>
      </c>
      <c r="Y30" s="17">
        <f>'TR TUSD'!$Y$30*'TR TUSD'!$Y$60</f>
        <v>351.0033457444851</v>
      </c>
      <c r="Z30" s="17">
        <f>'TR TUSD'!$Z$30</f>
        <v>0</v>
      </c>
      <c r="AA30" s="17">
        <f>'TR TUSD'!$AA$30</f>
        <v>0</v>
      </c>
      <c r="AB30" s="17">
        <f>SUM($U$30:$AA$30)</f>
        <v>351.0033457444851</v>
      </c>
      <c r="AC30" s="17">
        <f>'TR TUSD'!$AC$30*'TR TUSD'!$AC$60</f>
        <v>1005.4220545064621</v>
      </c>
      <c r="AD30" s="17">
        <f>SUM($AC$30:$AC$30)</f>
        <v>1005.4220545064621</v>
      </c>
      <c r="AE30" s="17">
        <v>0</v>
      </c>
      <c r="AF30" s="17">
        <v>0</v>
      </c>
      <c r="AG30" s="17">
        <f>SUM($AE$30:$AF$30)</f>
        <v>0</v>
      </c>
      <c r="AH30" s="17">
        <f>'TR TUSD'!$AH$30*'TR TUSD'!$AH$60</f>
        <v>18.027848238388035</v>
      </c>
      <c r="AI30" s="17">
        <f>'TR TUSD'!$AI$30*'TR TUSD'!$AI$60</f>
        <v>0</v>
      </c>
      <c r="AJ30" s="17">
        <f ca="1">'TR TUSD'!$AJ$30*'TR TUSD'!$AJ$60</f>
        <v>0</v>
      </c>
      <c r="AK30" s="17">
        <f ca="1">'TR TUSD'!$AK$30*'TR TUSD'!$AK$60</f>
        <v>0</v>
      </c>
      <c r="AL30" s="17">
        <f ca="1">SUM($AH$30:$AK$30)</f>
        <v>18.027848238388035</v>
      </c>
      <c r="AM30" s="17">
        <f ca="1">SUMIF($L$4:$AL$4,"SUBTOTAL",$L$30:$AL$30)</f>
        <v>1479.8785180097784</v>
      </c>
      <c r="AP30" s="17">
        <f>IF((1 - CUSTOS!$M$28)&lt;&gt;0,1/(1 - CUSTOS!$M$28),1)</f>
        <v>1</v>
      </c>
    </row>
    <row r="31" spans="1:42" ht="11.25" customHeight="1" x14ac:dyDescent="0.25">
      <c r="A31" s="94"/>
      <c r="B31" s="94"/>
      <c r="C31" s="94"/>
      <c r="D31" s="94"/>
      <c r="E31" s="94"/>
      <c r="F31" s="94"/>
      <c r="G31" s="27" t="s">
        <v>83</v>
      </c>
      <c r="H31" s="27" t="s">
        <v>72</v>
      </c>
      <c r="I31" s="27">
        <f>'MERCADO TUSD'!$U$28</f>
        <v>0</v>
      </c>
      <c r="J31" s="15"/>
      <c r="L31" s="17">
        <f>'TR TUSD'!$L$31*'TR TUSD'!$L$60</f>
        <v>0</v>
      </c>
      <c r="M31" s="17">
        <f>'TR TUSD'!$M$31*'TR TUSD'!$M$60</f>
        <v>1.4420587949790575</v>
      </c>
      <c r="N31" s="17">
        <f ca="1">'TR TUSD'!$N$31*'TR TUSD'!$N$60</f>
        <v>0</v>
      </c>
      <c r="O31" s="17">
        <f>'TR TUSD'!$O$31*'TR TUSD'!$O$60</f>
        <v>0</v>
      </c>
      <c r="P31" s="17">
        <f>'TR TUSD'!$P$31*'TR TUSD'!$P$60</f>
        <v>0</v>
      </c>
      <c r="Q31" s="17">
        <f>'TR TUSD'!$Q$31*'TR TUSD'!$Q$60</f>
        <v>89.78816286110856</v>
      </c>
      <c r="R31" s="17">
        <f>'TR TUSD'!$R$31*'TR TUSD'!$R$60</f>
        <v>14.195047864355542</v>
      </c>
      <c r="S31" s="17">
        <f>'TR TUSD'!$S$31*'TR TUSD'!$S$60</f>
        <v>0</v>
      </c>
      <c r="T31" s="17">
        <f ca="1">SUM($L$31:$S$31)</f>
        <v>105.42526952044317</v>
      </c>
      <c r="U31" s="17">
        <f>'TR TUSD'!$U$31*'TR TUSD'!$U$60</f>
        <v>0</v>
      </c>
      <c r="V31" s="17">
        <f>'TR TUSD'!$V$31*'TR TUSD'!$V$60</f>
        <v>0</v>
      </c>
      <c r="W31" s="17">
        <f>'TR TUSD'!$W$31*'TR TUSD'!$W$60</f>
        <v>0</v>
      </c>
      <c r="X31" s="17">
        <f>'TR TUSD'!$X$31*'TR TUSD'!$X$60</f>
        <v>0</v>
      </c>
      <c r="Y31" s="17">
        <f>'TR TUSD'!$Y$31*'TR TUSD'!$Y$60</f>
        <v>210.57848901197949</v>
      </c>
      <c r="Z31" s="17">
        <f>'TR TUSD'!$Z$31</f>
        <v>0</v>
      </c>
      <c r="AA31" s="17">
        <f>'TR TUSD'!$AA$31</f>
        <v>0</v>
      </c>
      <c r="AB31" s="17">
        <f>SUM($U$31:$AA$31)</f>
        <v>210.57848901197949</v>
      </c>
      <c r="AC31" s="17">
        <f>'TR TUSD'!$AC$31*'TR TUSD'!$AC$60</f>
        <v>603.25298098255485</v>
      </c>
      <c r="AD31" s="17">
        <f>SUM($AC$31:$AC$31)</f>
        <v>603.25298098255485</v>
      </c>
      <c r="AE31" s="17">
        <v>0</v>
      </c>
      <c r="AF31" s="17">
        <v>0</v>
      </c>
      <c r="AG31" s="17">
        <f>SUM($AE$31:$AF$31)</f>
        <v>0</v>
      </c>
      <c r="AH31" s="17">
        <f>'TR TUSD'!$AH$31*'TR TUSD'!$AH$60</f>
        <v>18.027848238388035</v>
      </c>
      <c r="AI31" s="17">
        <f>'TR TUSD'!$AI$31*'TR TUSD'!$AI$60</f>
        <v>0</v>
      </c>
      <c r="AJ31" s="17">
        <f ca="1">'TR TUSD'!$AJ$31*'TR TUSD'!$AJ$60</f>
        <v>0</v>
      </c>
      <c r="AK31" s="17">
        <f ca="1">'TR TUSD'!$AK$31*'TR TUSD'!$AK$60</f>
        <v>0</v>
      </c>
      <c r="AL31" s="17">
        <f ca="1">SUM($AH$31:$AK$31)</f>
        <v>18.027848238388035</v>
      </c>
      <c r="AM31" s="17">
        <f ca="1">SUMIF($L$4:$AL$4,"SUBTOTAL",$L$31:$AL$31)</f>
        <v>937.28458775336549</v>
      </c>
      <c r="AP31" s="17">
        <f>IF((1 - CUSTOS!$M$28)&lt;&gt;0,1/(1 - CUSTOS!$M$28),1)</f>
        <v>1</v>
      </c>
    </row>
    <row r="32" spans="1:42" ht="11.25" customHeight="1" x14ac:dyDescent="0.25">
      <c r="A32" s="94"/>
      <c r="B32" s="94"/>
      <c r="C32" s="94"/>
      <c r="D32" s="94"/>
      <c r="E32" s="94"/>
      <c r="F32" s="94"/>
      <c r="G32" s="27" t="s">
        <v>74</v>
      </c>
      <c r="H32" s="27" t="s">
        <v>72</v>
      </c>
      <c r="I32" s="27">
        <f>'MERCADO TUSD'!$U$29</f>
        <v>0</v>
      </c>
      <c r="J32" s="15"/>
      <c r="L32" s="17">
        <f>'TR TUSD'!$L$32*'TR TUSD'!$L$60</f>
        <v>0</v>
      </c>
      <c r="M32" s="17">
        <f>'TR TUSD'!$M$32*'TR TUSD'!$M$60</f>
        <v>1.4420587949790575</v>
      </c>
      <c r="N32" s="17">
        <f ca="1">'TR TUSD'!$N$32*'TR TUSD'!$N$60</f>
        <v>0</v>
      </c>
      <c r="O32" s="17">
        <f>'TR TUSD'!$O$32*'TR TUSD'!$O$60</f>
        <v>0</v>
      </c>
      <c r="P32" s="17">
        <f>'TR TUSD'!$P$32*'TR TUSD'!$P$60</f>
        <v>0</v>
      </c>
      <c r="Q32" s="17">
        <f>'TR TUSD'!$Q$32*'TR TUSD'!$Q$60</f>
        <v>89.78816286110856</v>
      </c>
      <c r="R32" s="17">
        <f>'TR TUSD'!$R$32*'TR TUSD'!$R$60</f>
        <v>14.195047864355542</v>
      </c>
      <c r="S32" s="17">
        <f>'TR TUSD'!$S$32*'TR TUSD'!$S$60</f>
        <v>0</v>
      </c>
      <c r="T32" s="17">
        <f ca="1">SUM($L$32:$S$32)</f>
        <v>105.42526952044317</v>
      </c>
      <c r="U32" s="17">
        <f>'TR TUSD'!$U$32*'TR TUSD'!$U$60</f>
        <v>0</v>
      </c>
      <c r="V32" s="17">
        <f>'TR TUSD'!$V$32*'TR TUSD'!$V$60</f>
        <v>0</v>
      </c>
      <c r="W32" s="17">
        <f>'TR TUSD'!$W$32*'TR TUSD'!$W$60</f>
        <v>0</v>
      </c>
      <c r="X32" s="17">
        <f>'TR TUSD'!$X$32*'TR TUSD'!$X$60</f>
        <v>0</v>
      </c>
      <c r="Y32" s="17">
        <f>'TR TUSD'!$Y$32*'TR TUSD'!$Y$60</f>
        <v>70.15363227947384</v>
      </c>
      <c r="Z32" s="17">
        <f>'TR TUSD'!$Z$32</f>
        <v>0</v>
      </c>
      <c r="AA32" s="17">
        <f>'TR TUSD'!$AA$32</f>
        <v>0</v>
      </c>
      <c r="AB32" s="17">
        <f>SUM($U$32:$AA$32)</f>
        <v>70.15363227947384</v>
      </c>
      <c r="AC32" s="17">
        <f>'TR TUSD'!$AC$32*'TR TUSD'!$AC$60</f>
        <v>201.08432699418495</v>
      </c>
      <c r="AD32" s="17">
        <f>SUM($AC$32:$AC$32)</f>
        <v>201.08432699418495</v>
      </c>
      <c r="AE32" s="17">
        <v>0</v>
      </c>
      <c r="AF32" s="17">
        <v>0</v>
      </c>
      <c r="AG32" s="17">
        <f>SUM($AE$32:$AF$32)</f>
        <v>0</v>
      </c>
      <c r="AH32" s="17">
        <f>'TR TUSD'!$AH$32*'TR TUSD'!$AH$60</f>
        <v>18.027848238388035</v>
      </c>
      <c r="AI32" s="17">
        <f>'TR TUSD'!$AI$32*'TR TUSD'!$AI$60</f>
        <v>0</v>
      </c>
      <c r="AJ32" s="17">
        <f ca="1">'TR TUSD'!$AJ$32*'TR TUSD'!$AJ$60</f>
        <v>0</v>
      </c>
      <c r="AK32" s="17">
        <f ca="1">'TR TUSD'!$AK$32*'TR TUSD'!$AK$60</f>
        <v>0</v>
      </c>
      <c r="AL32" s="17">
        <f ca="1">SUM($AH$32:$AK$32)</f>
        <v>18.027848238388035</v>
      </c>
      <c r="AM32" s="17">
        <f ca="1">SUMIF($L$4:$AL$4,"SUBTOTAL",$L$32:$AL$32)</f>
        <v>394.69107703249</v>
      </c>
      <c r="AP32" s="17">
        <f>IF((1 - CUSTOS!$M$28)&lt;&gt;0,1/(1 - CUSTOS!$M$28),1)</f>
        <v>1</v>
      </c>
    </row>
    <row r="33" spans="1:42" ht="11.25" customHeight="1" x14ac:dyDescent="0.25">
      <c r="A33" s="94"/>
      <c r="B33" s="26" t="s">
        <v>23</v>
      </c>
      <c r="C33" s="26" t="s">
        <v>41</v>
      </c>
      <c r="D33" s="26" t="s">
        <v>25</v>
      </c>
      <c r="E33" s="26" t="s">
        <v>25</v>
      </c>
      <c r="F33" s="26" t="s">
        <v>25</v>
      </c>
      <c r="G33" s="27" t="s">
        <v>78</v>
      </c>
      <c r="H33" s="27" t="s">
        <v>72</v>
      </c>
      <c r="I33" s="27">
        <f>'MERCADO TUSD'!$U$30</f>
        <v>40057.667999999998</v>
      </c>
      <c r="J33" s="15"/>
      <c r="L33" s="17">
        <f>'TR TUSD'!$L$33*'TR TUSD'!$L$60</f>
        <v>0</v>
      </c>
      <c r="M33" s="17">
        <f>'TR TUSD'!$M$33*'TR TUSD'!$M$60</f>
        <v>1.4420587949790575</v>
      </c>
      <c r="N33" s="17">
        <f ca="1">'TR TUSD'!$N$33*'TR TUSD'!$N$60</f>
        <v>0</v>
      </c>
      <c r="O33" s="17">
        <f>'TR TUSD'!$O$33*'TR TUSD'!$O$60</f>
        <v>0</v>
      </c>
      <c r="P33" s="17">
        <f>'TR TUSD'!$P$33*'TR TUSD'!$P$60</f>
        <v>0</v>
      </c>
      <c r="Q33" s="17">
        <f>'TR TUSD'!$Q$33*'TR TUSD'!$Q$60</f>
        <v>89.78816286110856</v>
      </c>
      <c r="R33" s="17">
        <f>'TR TUSD'!$R$33*'TR TUSD'!$R$60</f>
        <v>14.195047864355542</v>
      </c>
      <c r="S33" s="17">
        <f>'TR TUSD'!$S$33*'TR TUSD'!$S$60</f>
        <v>0</v>
      </c>
      <c r="T33" s="17">
        <f ca="1">SUM($L$33:$S$33)</f>
        <v>105.42526952044317</v>
      </c>
      <c r="U33" s="17">
        <f>'TR TUSD'!$U$33*'TR TUSD'!$U$60</f>
        <v>0</v>
      </c>
      <c r="V33" s="17">
        <f>'TR TUSD'!$V$33*'TR TUSD'!$V$60</f>
        <v>0</v>
      </c>
      <c r="W33" s="17">
        <f>'TR TUSD'!$W$33*'TR TUSD'!$W$60</f>
        <v>0</v>
      </c>
      <c r="X33" s="17">
        <f>'TR TUSD'!$X$33*'TR TUSD'!$X$60</f>
        <v>0</v>
      </c>
      <c r="Y33" s="17">
        <f>'TR TUSD'!$Y$33*'TR TUSD'!$Y$60</f>
        <v>118.97916384213156</v>
      </c>
      <c r="Z33" s="17">
        <f>'TR TUSD'!$Z$33</f>
        <v>0</v>
      </c>
      <c r="AA33" s="17">
        <f>'TR TUSD'!$AA$33</f>
        <v>0</v>
      </c>
      <c r="AB33" s="17">
        <f>SUM($U$33:$AA$33)</f>
        <v>118.97916384213156</v>
      </c>
      <c r="AC33" s="17">
        <f>'TR TUSD'!$AC$33*'TR TUSD'!$AC$60</f>
        <v>340.82102120437577</v>
      </c>
      <c r="AD33" s="17">
        <f>SUM($AC$33:$AC$33)</f>
        <v>340.82102120437577</v>
      </c>
      <c r="AE33" s="17">
        <v>0</v>
      </c>
      <c r="AF33" s="17">
        <v>0</v>
      </c>
      <c r="AG33" s="17">
        <f>SUM($AE$33:$AF$33)</f>
        <v>0</v>
      </c>
      <c r="AH33" s="17">
        <f>'TR TUSD'!$AH$33*'TR TUSD'!$AH$60</f>
        <v>18.027848238388035</v>
      </c>
      <c r="AI33" s="17">
        <f>'TR TUSD'!$AI$33*'TR TUSD'!$AI$60</f>
        <v>0</v>
      </c>
      <c r="AJ33" s="17">
        <f ca="1">'TR TUSD'!$AJ$33*'TR TUSD'!$AJ$60</f>
        <v>0</v>
      </c>
      <c r="AK33" s="17">
        <f ca="1">'TR TUSD'!$AK$33*'TR TUSD'!$AK$60</f>
        <v>0</v>
      </c>
      <c r="AL33" s="17">
        <f ca="1">SUM($AH$33:$AK$33)</f>
        <v>18.027848238388035</v>
      </c>
      <c r="AM33" s="17">
        <f ca="1">SUMIF($L$4:$AL$4,"SUBTOTAL",$L$33:$AL$33)</f>
        <v>583.25330280533854</v>
      </c>
      <c r="AP33" s="17">
        <f>IF((1 - CUSTOS!$M$28)&lt;&gt;0,1/(1 - CUSTOS!$M$28),1)</f>
        <v>1</v>
      </c>
    </row>
    <row r="34" spans="1:42" ht="11.25" customHeight="1" x14ac:dyDescent="0.25">
      <c r="A34" s="94"/>
      <c r="B34" s="94" t="s">
        <v>85</v>
      </c>
      <c r="C34" s="94" t="s">
        <v>41</v>
      </c>
      <c r="D34" s="94" t="s">
        <v>88</v>
      </c>
      <c r="E34" s="94" t="s">
        <v>25</v>
      </c>
      <c r="F34" s="94" t="s">
        <v>25</v>
      </c>
      <c r="G34" s="27" t="s">
        <v>73</v>
      </c>
      <c r="H34" s="27" t="s">
        <v>72</v>
      </c>
      <c r="I34" s="27">
        <f>'MERCADO TUSD'!$U$31</f>
        <v>0</v>
      </c>
      <c r="J34" s="15"/>
      <c r="L34" s="17">
        <f>'TR TUSD'!$L$34*'TR TUSD'!$L$60</f>
        <v>0</v>
      </c>
      <c r="M34" s="17">
        <f>'TR TUSD'!$M$34*'TR TUSD'!$M$60</f>
        <v>1.4420587949790575</v>
      </c>
      <c r="N34" s="17">
        <f ca="1">'TR TUSD'!$N$34*'TR TUSD'!$N$60</f>
        <v>0</v>
      </c>
      <c r="O34" s="17">
        <f>'TR TUSD'!$O$34*'TR TUSD'!$O$60</f>
        <v>0</v>
      </c>
      <c r="P34" s="17">
        <f>'TR TUSD'!$P$34*'TR TUSD'!$P$60</f>
        <v>0</v>
      </c>
      <c r="Q34" s="17">
        <f>'TR TUSD'!$Q$34*'TR TUSD'!$Q$60</f>
        <v>89.78816286110856</v>
      </c>
      <c r="R34" s="17">
        <f>'TR TUSD'!$R$34*'TR TUSD'!$R$60</f>
        <v>14.195047864355542</v>
      </c>
      <c r="S34" s="17">
        <f>'TR TUSD'!$S$34*'TR TUSD'!$S$60</f>
        <v>0</v>
      </c>
      <c r="T34" s="17">
        <f ca="1">SUM($L$34:$S$34)</f>
        <v>105.42526952044317</v>
      </c>
      <c r="U34" s="17">
        <f>'TR TUSD'!$U$34*'TR TUSD'!$U$60</f>
        <v>0</v>
      </c>
      <c r="V34" s="17">
        <f>'TR TUSD'!$V$34*'TR TUSD'!$V$60</f>
        <v>0</v>
      </c>
      <c r="W34" s="17">
        <f>'TR TUSD'!$W$34*'TR TUSD'!$W$60</f>
        <v>0</v>
      </c>
      <c r="X34" s="17">
        <f>'TR TUSD'!$X$34*'TR TUSD'!$X$60</f>
        <v>0</v>
      </c>
      <c r="Y34" s="17">
        <f>'TR TUSD'!$Y$34*'TR TUSD'!$Y$60</f>
        <v>351.0033457444851</v>
      </c>
      <c r="Z34" s="17">
        <f>'TR TUSD'!$Z$34</f>
        <v>0</v>
      </c>
      <c r="AA34" s="17">
        <f>'TR TUSD'!$AA$34</f>
        <v>0</v>
      </c>
      <c r="AB34" s="17">
        <f>SUM($U$34:$AA$34)</f>
        <v>351.0033457444851</v>
      </c>
      <c r="AC34" s="17">
        <f>'TR TUSD'!$AC$34*'TR TUSD'!$AC$60</f>
        <v>1005.4220545064621</v>
      </c>
      <c r="AD34" s="17">
        <f>SUM($AC$34:$AC$34)</f>
        <v>1005.4220545064621</v>
      </c>
      <c r="AE34" s="17">
        <v>0</v>
      </c>
      <c r="AF34" s="17">
        <v>0</v>
      </c>
      <c r="AG34" s="17">
        <f>SUM($AE$34:$AF$34)</f>
        <v>0</v>
      </c>
      <c r="AH34" s="17">
        <f>'TR TUSD'!$AH$34*'TR TUSD'!$AH$60</f>
        <v>18.027848238388035</v>
      </c>
      <c r="AI34" s="17">
        <f>'TR TUSD'!$AI$34*'TR TUSD'!$AI$60</f>
        <v>0</v>
      </c>
      <c r="AJ34" s="17">
        <f ca="1">'TR TUSD'!$AJ$34*'TR TUSD'!$AJ$60</f>
        <v>0</v>
      </c>
      <c r="AK34" s="17">
        <f ca="1">'TR TUSD'!$AK$34*'TR TUSD'!$AK$60</f>
        <v>0</v>
      </c>
      <c r="AL34" s="17">
        <f ca="1">SUM($AH$34:$AK$34)</f>
        <v>18.027848238388035</v>
      </c>
      <c r="AM34" s="17">
        <f ca="1">SUMIF($L$4:$AL$4,"SUBTOTAL",$L$34:$AL$34)</f>
        <v>1479.8785180097784</v>
      </c>
      <c r="AP34" s="17">
        <f>IF((1 - CUSTOS!$M$29)&lt;&gt;0,1/(1 - CUSTOS!$M$29),1)</f>
        <v>1</v>
      </c>
    </row>
    <row r="35" spans="1:42" ht="11.25" customHeight="1" x14ac:dyDescent="0.25">
      <c r="A35" s="94"/>
      <c r="B35" s="94"/>
      <c r="C35" s="94"/>
      <c r="D35" s="94"/>
      <c r="E35" s="94"/>
      <c r="F35" s="94"/>
      <c r="G35" s="27" t="s">
        <v>83</v>
      </c>
      <c r="H35" s="27" t="s">
        <v>72</v>
      </c>
      <c r="I35" s="27">
        <f>'MERCADO TUSD'!$U$32</f>
        <v>0</v>
      </c>
      <c r="J35" s="15"/>
      <c r="L35" s="17">
        <f>'TR TUSD'!$L$35*'TR TUSD'!$L$60</f>
        <v>0</v>
      </c>
      <c r="M35" s="17">
        <f>'TR TUSD'!$M$35*'TR TUSD'!$M$60</f>
        <v>1.4420587949790575</v>
      </c>
      <c r="N35" s="17">
        <f ca="1">'TR TUSD'!$N$35*'TR TUSD'!$N$60</f>
        <v>0</v>
      </c>
      <c r="O35" s="17">
        <f>'TR TUSD'!$O$35*'TR TUSD'!$O$60</f>
        <v>0</v>
      </c>
      <c r="P35" s="17">
        <f>'TR TUSD'!$P$35*'TR TUSD'!$P$60</f>
        <v>0</v>
      </c>
      <c r="Q35" s="17">
        <f>'TR TUSD'!$Q$35*'TR TUSD'!$Q$60</f>
        <v>89.78816286110856</v>
      </c>
      <c r="R35" s="17">
        <f>'TR TUSD'!$R$35*'TR TUSD'!$R$60</f>
        <v>14.195047864355542</v>
      </c>
      <c r="S35" s="17">
        <f>'TR TUSD'!$S$35*'TR TUSD'!$S$60</f>
        <v>0</v>
      </c>
      <c r="T35" s="17">
        <f ca="1">SUM($L$35:$S$35)</f>
        <v>105.42526952044317</v>
      </c>
      <c r="U35" s="17">
        <f>'TR TUSD'!$U$35*'TR TUSD'!$U$60</f>
        <v>0</v>
      </c>
      <c r="V35" s="17">
        <f>'TR TUSD'!$V$35*'TR TUSD'!$V$60</f>
        <v>0</v>
      </c>
      <c r="W35" s="17">
        <f>'TR TUSD'!$W$35*'TR TUSD'!$W$60</f>
        <v>0</v>
      </c>
      <c r="X35" s="17">
        <f>'TR TUSD'!$X$35*'TR TUSD'!$X$60</f>
        <v>0</v>
      </c>
      <c r="Y35" s="17">
        <f>'TR TUSD'!$Y$35*'TR TUSD'!$Y$60</f>
        <v>210.57848901197949</v>
      </c>
      <c r="Z35" s="17">
        <f>'TR TUSD'!$Z$35</f>
        <v>0</v>
      </c>
      <c r="AA35" s="17">
        <f>'TR TUSD'!$AA$35</f>
        <v>0</v>
      </c>
      <c r="AB35" s="17">
        <f>SUM($U$35:$AA$35)</f>
        <v>210.57848901197949</v>
      </c>
      <c r="AC35" s="17">
        <f>'TR TUSD'!$AC$35*'TR TUSD'!$AC$60</f>
        <v>603.25298098255485</v>
      </c>
      <c r="AD35" s="17">
        <f>SUM($AC$35:$AC$35)</f>
        <v>603.25298098255485</v>
      </c>
      <c r="AE35" s="17">
        <v>0</v>
      </c>
      <c r="AF35" s="17">
        <v>0</v>
      </c>
      <c r="AG35" s="17">
        <f>SUM($AE$35:$AF$35)</f>
        <v>0</v>
      </c>
      <c r="AH35" s="17">
        <f>'TR TUSD'!$AH$35*'TR TUSD'!$AH$60</f>
        <v>18.027848238388035</v>
      </c>
      <c r="AI35" s="17">
        <f>'TR TUSD'!$AI$35*'TR TUSD'!$AI$60</f>
        <v>0</v>
      </c>
      <c r="AJ35" s="17">
        <f ca="1">'TR TUSD'!$AJ$35*'TR TUSD'!$AJ$60</f>
        <v>0</v>
      </c>
      <c r="AK35" s="17">
        <f ca="1">'TR TUSD'!$AK$35*'TR TUSD'!$AK$60</f>
        <v>0</v>
      </c>
      <c r="AL35" s="17">
        <f ca="1">SUM($AH$35:$AK$35)</f>
        <v>18.027848238388035</v>
      </c>
      <c r="AM35" s="17">
        <f ca="1">SUMIF($L$4:$AL$4,"SUBTOTAL",$L$35:$AL$35)</f>
        <v>937.28458775336549</v>
      </c>
      <c r="AP35" s="17">
        <f>IF((1 - CUSTOS!$M$29)&lt;&gt;0,1/(1 - CUSTOS!$M$29),1)</f>
        <v>1</v>
      </c>
    </row>
    <row r="36" spans="1:42" ht="11.25" customHeight="1" x14ac:dyDescent="0.25">
      <c r="A36" s="94"/>
      <c r="B36" s="94"/>
      <c r="C36" s="94"/>
      <c r="D36" s="94"/>
      <c r="E36" s="94"/>
      <c r="F36" s="94"/>
      <c r="G36" s="27" t="s">
        <v>74</v>
      </c>
      <c r="H36" s="27" t="s">
        <v>72</v>
      </c>
      <c r="I36" s="27">
        <f>'MERCADO TUSD'!$U$33</f>
        <v>0</v>
      </c>
      <c r="J36" s="15"/>
      <c r="L36" s="17">
        <f>'TR TUSD'!$L$36*'TR TUSD'!$L$60</f>
        <v>0</v>
      </c>
      <c r="M36" s="17">
        <f>'TR TUSD'!$M$36*'TR TUSD'!$M$60</f>
        <v>1.4420587949790575</v>
      </c>
      <c r="N36" s="17">
        <f ca="1">'TR TUSD'!$N$36*'TR TUSD'!$N$60</f>
        <v>0</v>
      </c>
      <c r="O36" s="17">
        <f>'TR TUSD'!$O$36*'TR TUSD'!$O$60</f>
        <v>0</v>
      </c>
      <c r="P36" s="17">
        <f>'TR TUSD'!$P$36*'TR TUSD'!$P$60</f>
        <v>0</v>
      </c>
      <c r="Q36" s="17">
        <f>'TR TUSD'!$Q$36*'TR TUSD'!$Q$60</f>
        <v>89.78816286110856</v>
      </c>
      <c r="R36" s="17">
        <f>'TR TUSD'!$R$36*'TR TUSD'!$R$60</f>
        <v>14.195047864355542</v>
      </c>
      <c r="S36" s="17">
        <f>'TR TUSD'!$S$36*'TR TUSD'!$S$60</f>
        <v>0</v>
      </c>
      <c r="T36" s="17">
        <f ca="1">SUM($L$36:$S$36)</f>
        <v>105.42526952044317</v>
      </c>
      <c r="U36" s="17">
        <f>'TR TUSD'!$U$36*'TR TUSD'!$U$60</f>
        <v>0</v>
      </c>
      <c r="V36" s="17">
        <f>'TR TUSD'!$V$36*'TR TUSD'!$V$60</f>
        <v>0</v>
      </c>
      <c r="W36" s="17">
        <f>'TR TUSD'!$W$36*'TR TUSD'!$W$60</f>
        <v>0</v>
      </c>
      <c r="X36" s="17">
        <f>'TR TUSD'!$X$36*'TR TUSD'!$X$60</f>
        <v>0</v>
      </c>
      <c r="Y36" s="17">
        <f>'TR TUSD'!$Y$36*'TR TUSD'!$Y$60</f>
        <v>70.15363227947384</v>
      </c>
      <c r="Z36" s="17">
        <f>'TR TUSD'!$Z$36</f>
        <v>0</v>
      </c>
      <c r="AA36" s="17">
        <f>'TR TUSD'!$AA$36</f>
        <v>0</v>
      </c>
      <c r="AB36" s="17">
        <f>SUM($U$36:$AA$36)</f>
        <v>70.15363227947384</v>
      </c>
      <c r="AC36" s="17">
        <f>'TR TUSD'!$AC$36*'TR TUSD'!$AC$60</f>
        <v>201.08432699418495</v>
      </c>
      <c r="AD36" s="17">
        <f>SUM($AC$36:$AC$36)</f>
        <v>201.08432699418495</v>
      </c>
      <c r="AE36" s="17">
        <v>0</v>
      </c>
      <c r="AF36" s="17">
        <v>0</v>
      </c>
      <c r="AG36" s="17">
        <f>SUM($AE$36:$AF$36)</f>
        <v>0</v>
      </c>
      <c r="AH36" s="17">
        <f>'TR TUSD'!$AH$36*'TR TUSD'!$AH$60</f>
        <v>18.027848238388035</v>
      </c>
      <c r="AI36" s="17">
        <f>'TR TUSD'!$AI$36*'TR TUSD'!$AI$60</f>
        <v>0</v>
      </c>
      <c r="AJ36" s="17">
        <f ca="1">'TR TUSD'!$AJ$36*'TR TUSD'!$AJ$60</f>
        <v>0</v>
      </c>
      <c r="AK36" s="17">
        <f ca="1">'TR TUSD'!$AK$36*'TR TUSD'!$AK$60</f>
        <v>0</v>
      </c>
      <c r="AL36" s="17">
        <f ca="1">SUM($AH$36:$AK$36)</f>
        <v>18.027848238388035</v>
      </c>
      <c r="AM36" s="17">
        <f ca="1">SUMIF($L$4:$AL$4,"SUBTOTAL",$L$36:$AL$36)</f>
        <v>394.69107703249</v>
      </c>
      <c r="AP36" s="17">
        <f>IF((1 - CUSTOS!$M$29)&lt;&gt;0,1/(1 - CUSTOS!$M$29),1)</f>
        <v>1</v>
      </c>
    </row>
    <row r="37" spans="1:42" ht="11.25" customHeight="1" x14ac:dyDescent="0.25">
      <c r="A37" s="94"/>
      <c r="B37" s="26" t="s">
        <v>23</v>
      </c>
      <c r="C37" s="26" t="s">
        <v>41</v>
      </c>
      <c r="D37" s="26" t="s">
        <v>88</v>
      </c>
      <c r="E37" s="26" t="s">
        <v>25</v>
      </c>
      <c r="F37" s="26" t="s">
        <v>25</v>
      </c>
      <c r="G37" s="27" t="s">
        <v>78</v>
      </c>
      <c r="H37" s="27" t="s">
        <v>72</v>
      </c>
      <c r="I37" s="27">
        <f>'MERCADO TUSD'!$U$34</f>
        <v>0</v>
      </c>
      <c r="J37" s="15"/>
      <c r="L37" s="17">
        <f>'TR TUSD'!$L$37*'TR TUSD'!$L$60</f>
        <v>0</v>
      </c>
      <c r="M37" s="17">
        <f>'TR TUSD'!$M$37*'TR TUSD'!$M$60</f>
        <v>1.4420587949790575</v>
      </c>
      <c r="N37" s="17">
        <f ca="1">'TR TUSD'!$N$37*'TR TUSD'!$N$60</f>
        <v>0</v>
      </c>
      <c r="O37" s="17">
        <f>'TR TUSD'!$O$37*'TR TUSD'!$O$60</f>
        <v>0</v>
      </c>
      <c r="P37" s="17">
        <f>'TR TUSD'!$P$37*'TR TUSD'!$P$60</f>
        <v>0</v>
      </c>
      <c r="Q37" s="17">
        <f>'TR TUSD'!$Q$37*'TR TUSD'!$Q$60</f>
        <v>89.78816286110856</v>
      </c>
      <c r="R37" s="17">
        <f>'TR TUSD'!$R$37*'TR TUSD'!$R$60</f>
        <v>14.195047864355542</v>
      </c>
      <c r="S37" s="17">
        <f>'TR TUSD'!$S$37*'TR TUSD'!$S$60</f>
        <v>0</v>
      </c>
      <c r="T37" s="17">
        <f ca="1">SUM($L$37:$S$37)</f>
        <v>105.42526952044317</v>
      </c>
      <c r="U37" s="17">
        <f>'TR TUSD'!$U$37*'TR TUSD'!$U$60</f>
        <v>0</v>
      </c>
      <c r="V37" s="17">
        <f>'TR TUSD'!$V$37*'TR TUSD'!$V$60</f>
        <v>0</v>
      </c>
      <c r="W37" s="17">
        <f>'TR TUSD'!$W$37*'TR TUSD'!$W$60</f>
        <v>0</v>
      </c>
      <c r="X37" s="17">
        <f>'TR TUSD'!$X$37*'TR TUSD'!$X$60</f>
        <v>0</v>
      </c>
      <c r="Y37" s="17">
        <f>'TR TUSD'!$Y$37*'TR TUSD'!$Y$60</f>
        <v>118.97916384213156</v>
      </c>
      <c r="Z37" s="17">
        <f>'TR TUSD'!$Z$37</f>
        <v>0</v>
      </c>
      <c r="AA37" s="17">
        <f>'TR TUSD'!$AA$37</f>
        <v>0</v>
      </c>
      <c r="AB37" s="17">
        <f>SUM($U$37:$AA$37)</f>
        <v>118.97916384213156</v>
      </c>
      <c r="AC37" s="17">
        <f>'TR TUSD'!$AC$37*'TR TUSD'!$AC$60</f>
        <v>340.82102120437577</v>
      </c>
      <c r="AD37" s="17">
        <f>SUM($AC$37:$AC$37)</f>
        <v>340.82102120437577</v>
      </c>
      <c r="AE37" s="17">
        <v>0</v>
      </c>
      <c r="AF37" s="17">
        <v>0</v>
      </c>
      <c r="AG37" s="17">
        <f>SUM($AE$37:$AF$37)</f>
        <v>0</v>
      </c>
      <c r="AH37" s="17">
        <f>'TR TUSD'!$AH$37*'TR TUSD'!$AH$60</f>
        <v>18.027848238388035</v>
      </c>
      <c r="AI37" s="17">
        <f>'TR TUSD'!$AI$37*'TR TUSD'!$AI$60</f>
        <v>0</v>
      </c>
      <c r="AJ37" s="17">
        <f ca="1">'TR TUSD'!$AJ$37*'TR TUSD'!$AJ$60</f>
        <v>0</v>
      </c>
      <c r="AK37" s="17">
        <f ca="1">'TR TUSD'!$AK$37*'TR TUSD'!$AK$60</f>
        <v>0</v>
      </c>
      <c r="AL37" s="17">
        <f ca="1">SUM($AH$37:$AK$37)</f>
        <v>18.027848238388035</v>
      </c>
      <c r="AM37" s="17">
        <f ca="1">SUMIF($L$4:$AL$4,"SUBTOTAL",$L$37:$AL$37)</f>
        <v>583.25330280533854</v>
      </c>
      <c r="AP37" s="17">
        <f>IF((1 - CUSTOS!$M$29)&lt;&gt;0,1/(1 - CUSTOS!$M$29),1)</f>
        <v>1</v>
      </c>
    </row>
    <row r="38" spans="1:42" ht="11.25" customHeight="1" x14ac:dyDescent="0.25">
      <c r="A38" s="94"/>
      <c r="B38" s="94" t="s">
        <v>85</v>
      </c>
      <c r="C38" s="94" t="s">
        <v>41</v>
      </c>
      <c r="D38" s="94" t="s">
        <v>89</v>
      </c>
      <c r="E38" s="94" t="s">
        <v>25</v>
      </c>
      <c r="F38" s="94" t="s">
        <v>25</v>
      </c>
      <c r="G38" s="27" t="s">
        <v>73</v>
      </c>
      <c r="H38" s="27" t="s">
        <v>72</v>
      </c>
      <c r="I38" s="27">
        <f>'MERCADO TUSD'!$U$35</f>
        <v>0</v>
      </c>
      <c r="J38" s="15"/>
      <c r="L38" s="17">
        <f>'TR TUSD'!$L$38*'TR TUSD'!$L$60</f>
        <v>0</v>
      </c>
      <c r="M38" s="17">
        <f>'TR TUSD'!$M$38*'TR TUSD'!$M$60</f>
        <v>1.4420587949790575</v>
      </c>
      <c r="N38" s="17">
        <f ca="1">'TR TUSD'!$N$38*'TR TUSD'!$N$60</f>
        <v>0</v>
      </c>
      <c r="O38" s="17">
        <f>'TR TUSD'!$O$38*'TR TUSD'!$O$60</f>
        <v>0</v>
      </c>
      <c r="P38" s="17">
        <f>'TR TUSD'!$P$38*'TR TUSD'!$P$60</f>
        <v>0</v>
      </c>
      <c r="Q38" s="17">
        <f>'TR TUSD'!$Q$38*'TR TUSD'!$Q$60</f>
        <v>89.78816286110856</v>
      </c>
      <c r="R38" s="17">
        <f>'TR TUSD'!$R$38*'TR TUSD'!$R$60</f>
        <v>14.195047864355542</v>
      </c>
      <c r="S38" s="17">
        <f>'TR TUSD'!$S$38*'TR TUSD'!$S$60</f>
        <v>0</v>
      </c>
      <c r="T38" s="17">
        <f ca="1">SUM($L$38:$S$38)</f>
        <v>105.42526952044317</v>
      </c>
      <c r="U38" s="17">
        <f>'TR TUSD'!$U$38*'TR TUSD'!$U$60</f>
        <v>0</v>
      </c>
      <c r="V38" s="17">
        <f>'TR TUSD'!$V$38*'TR TUSD'!$V$60</f>
        <v>0</v>
      </c>
      <c r="W38" s="17">
        <f>'TR TUSD'!$W$38*'TR TUSD'!$W$60</f>
        <v>0</v>
      </c>
      <c r="X38" s="17">
        <f>'TR TUSD'!$X$38*'TR TUSD'!$X$60</f>
        <v>0</v>
      </c>
      <c r="Y38" s="17">
        <f>'TR TUSD'!$Y$38*'TR TUSD'!$Y$60</f>
        <v>351.0033457444851</v>
      </c>
      <c r="Z38" s="17">
        <f>'TR TUSD'!$Z$38</f>
        <v>0</v>
      </c>
      <c r="AA38" s="17">
        <f>'TR TUSD'!$AA$38</f>
        <v>0</v>
      </c>
      <c r="AB38" s="17">
        <f>SUM($U$38:$AA$38)</f>
        <v>351.0033457444851</v>
      </c>
      <c r="AC38" s="17">
        <f>'TR TUSD'!$AC$38*'TR TUSD'!$AC$60</f>
        <v>1005.4220545064621</v>
      </c>
      <c r="AD38" s="17">
        <f>SUM($AC$38:$AC$38)</f>
        <v>1005.4220545064621</v>
      </c>
      <c r="AE38" s="17">
        <v>0</v>
      </c>
      <c r="AF38" s="17">
        <v>0</v>
      </c>
      <c r="AG38" s="17">
        <f>SUM($AE$38:$AF$38)</f>
        <v>0</v>
      </c>
      <c r="AH38" s="17">
        <f>'TR TUSD'!$AH$38*'TR TUSD'!$AH$60</f>
        <v>18.027848238388035</v>
      </c>
      <c r="AI38" s="17">
        <f>'TR TUSD'!$AI$38*'TR TUSD'!$AI$60</f>
        <v>0</v>
      </c>
      <c r="AJ38" s="17">
        <f ca="1">'TR TUSD'!$AJ$38*'TR TUSD'!$AJ$60</f>
        <v>0</v>
      </c>
      <c r="AK38" s="17">
        <f ca="1">'TR TUSD'!$AK$38*'TR TUSD'!$AK$60</f>
        <v>0</v>
      </c>
      <c r="AL38" s="17">
        <f ca="1">SUM($AH$38:$AK$38)</f>
        <v>18.027848238388035</v>
      </c>
      <c r="AM38" s="17">
        <f ca="1">SUMIF($L$4:$AL$4,"SUBTOTAL",$L$38:$AL$38)</f>
        <v>1479.8785180097784</v>
      </c>
      <c r="AP38" s="17">
        <f>IF((1 - CUSTOS!$M$30)&lt;&gt;0,1/(1 - CUSTOS!$M$30),1)</f>
        <v>1</v>
      </c>
    </row>
    <row r="39" spans="1:42" ht="11.25" customHeight="1" x14ac:dyDescent="0.25">
      <c r="A39" s="94"/>
      <c r="B39" s="94"/>
      <c r="C39" s="94"/>
      <c r="D39" s="94"/>
      <c r="E39" s="94"/>
      <c r="F39" s="94"/>
      <c r="G39" s="27" t="s">
        <v>83</v>
      </c>
      <c r="H39" s="27" t="s">
        <v>72</v>
      </c>
      <c r="I39" s="27">
        <f>'MERCADO TUSD'!$U$36</f>
        <v>0</v>
      </c>
      <c r="J39" s="15"/>
      <c r="L39" s="17">
        <f>'TR TUSD'!$L$39*'TR TUSD'!$L$60</f>
        <v>0</v>
      </c>
      <c r="M39" s="17">
        <f>'TR TUSD'!$M$39*'TR TUSD'!$M$60</f>
        <v>1.4420587949790575</v>
      </c>
      <c r="N39" s="17">
        <f ca="1">'TR TUSD'!$N$39*'TR TUSD'!$N$60</f>
        <v>0</v>
      </c>
      <c r="O39" s="17">
        <f>'TR TUSD'!$O$39*'TR TUSD'!$O$60</f>
        <v>0</v>
      </c>
      <c r="P39" s="17">
        <f>'TR TUSD'!$P$39*'TR TUSD'!$P$60</f>
        <v>0</v>
      </c>
      <c r="Q39" s="17">
        <f>'TR TUSD'!$Q$39*'TR TUSD'!$Q$60</f>
        <v>89.78816286110856</v>
      </c>
      <c r="R39" s="17">
        <f>'TR TUSD'!$R$39*'TR TUSD'!$R$60</f>
        <v>14.195047864355542</v>
      </c>
      <c r="S39" s="17">
        <f>'TR TUSD'!$S$39*'TR TUSD'!$S$60</f>
        <v>0</v>
      </c>
      <c r="T39" s="17">
        <f ca="1">SUM($L$39:$S$39)</f>
        <v>105.42526952044317</v>
      </c>
      <c r="U39" s="17">
        <f>'TR TUSD'!$U$39*'TR TUSD'!$U$60</f>
        <v>0</v>
      </c>
      <c r="V39" s="17">
        <f>'TR TUSD'!$V$39*'TR TUSD'!$V$60</f>
        <v>0</v>
      </c>
      <c r="W39" s="17">
        <f>'TR TUSD'!$W$39*'TR TUSD'!$W$60</f>
        <v>0</v>
      </c>
      <c r="X39" s="17">
        <f>'TR TUSD'!$X$39*'TR TUSD'!$X$60</f>
        <v>0</v>
      </c>
      <c r="Y39" s="17">
        <f>'TR TUSD'!$Y$39*'TR TUSD'!$Y$60</f>
        <v>210.57848901197949</v>
      </c>
      <c r="Z39" s="17">
        <f>'TR TUSD'!$Z$39</f>
        <v>0</v>
      </c>
      <c r="AA39" s="17">
        <f>'TR TUSD'!$AA$39</f>
        <v>0</v>
      </c>
      <c r="AB39" s="17">
        <f>SUM($U$39:$AA$39)</f>
        <v>210.57848901197949</v>
      </c>
      <c r="AC39" s="17">
        <f>'TR TUSD'!$AC$39*'TR TUSD'!$AC$60</f>
        <v>603.25298098255485</v>
      </c>
      <c r="AD39" s="17">
        <f>SUM($AC$39:$AC$39)</f>
        <v>603.25298098255485</v>
      </c>
      <c r="AE39" s="17">
        <v>0</v>
      </c>
      <c r="AF39" s="17">
        <v>0</v>
      </c>
      <c r="AG39" s="17">
        <f>SUM($AE$39:$AF$39)</f>
        <v>0</v>
      </c>
      <c r="AH39" s="17">
        <f>'TR TUSD'!$AH$39*'TR TUSD'!$AH$60</f>
        <v>18.027848238388035</v>
      </c>
      <c r="AI39" s="17">
        <f>'TR TUSD'!$AI$39*'TR TUSD'!$AI$60</f>
        <v>0</v>
      </c>
      <c r="AJ39" s="17">
        <f ca="1">'TR TUSD'!$AJ$39*'TR TUSD'!$AJ$60</f>
        <v>0</v>
      </c>
      <c r="AK39" s="17">
        <f ca="1">'TR TUSD'!$AK$39*'TR TUSD'!$AK$60</f>
        <v>0</v>
      </c>
      <c r="AL39" s="17">
        <f ca="1">SUM($AH$39:$AK$39)</f>
        <v>18.027848238388035</v>
      </c>
      <c r="AM39" s="17">
        <f ca="1">SUMIF($L$4:$AL$4,"SUBTOTAL",$L$39:$AL$39)</f>
        <v>937.28458775336549</v>
      </c>
      <c r="AP39" s="17">
        <f>IF((1 - CUSTOS!$M$30)&lt;&gt;0,1/(1 - CUSTOS!$M$30),1)</f>
        <v>1</v>
      </c>
    </row>
    <row r="40" spans="1:42" ht="11.25" customHeight="1" x14ac:dyDescent="0.25">
      <c r="A40" s="94"/>
      <c r="B40" s="94"/>
      <c r="C40" s="94"/>
      <c r="D40" s="94"/>
      <c r="E40" s="94"/>
      <c r="F40" s="94"/>
      <c r="G40" s="27" t="s">
        <v>74</v>
      </c>
      <c r="H40" s="27" t="s">
        <v>72</v>
      </c>
      <c r="I40" s="27">
        <f>'MERCADO TUSD'!$U$37</f>
        <v>0</v>
      </c>
      <c r="J40" s="15"/>
      <c r="L40" s="17">
        <f>'TR TUSD'!$L$40*'TR TUSD'!$L$60</f>
        <v>0</v>
      </c>
      <c r="M40" s="17">
        <f>'TR TUSD'!$M$40*'TR TUSD'!$M$60</f>
        <v>1.4420587949790575</v>
      </c>
      <c r="N40" s="17">
        <f ca="1">'TR TUSD'!$N$40*'TR TUSD'!$N$60</f>
        <v>0</v>
      </c>
      <c r="O40" s="17">
        <f>'TR TUSD'!$O$40*'TR TUSD'!$O$60</f>
        <v>0</v>
      </c>
      <c r="P40" s="17">
        <f>'TR TUSD'!$P$40*'TR TUSD'!$P$60</f>
        <v>0</v>
      </c>
      <c r="Q40" s="17">
        <f>'TR TUSD'!$Q$40*'TR TUSD'!$Q$60</f>
        <v>89.78816286110856</v>
      </c>
      <c r="R40" s="17">
        <f>'TR TUSD'!$R$40*'TR TUSD'!$R$60</f>
        <v>14.195047864355542</v>
      </c>
      <c r="S40" s="17">
        <f>'TR TUSD'!$S$40*'TR TUSD'!$S$60</f>
        <v>0</v>
      </c>
      <c r="T40" s="17">
        <f ca="1">SUM($L$40:$S$40)</f>
        <v>105.42526952044317</v>
      </c>
      <c r="U40" s="17">
        <f>'TR TUSD'!$U$40*'TR TUSD'!$U$60</f>
        <v>0</v>
      </c>
      <c r="V40" s="17">
        <f>'TR TUSD'!$V$40*'TR TUSD'!$V$60</f>
        <v>0</v>
      </c>
      <c r="W40" s="17">
        <f>'TR TUSD'!$W$40*'TR TUSD'!$W$60</f>
        <v>0</v>
      </c>
      <c r="X40" s="17">
        <f>'TR TUSD'!$X$40*'TR TUSD'!$X$60</f>
        <v>0</v>
      </c>
      <c r="Y40" s="17">
        <f>'TR TUSD'!$Y$40*'TR TUSD'!$Y$60</f>
        <v>70.15363227947384</v>
      </c>
      <c r="Z40" s="17">
        <f>'TR TUSD'!$Z$40</f>
        <v>0</v>
      </c>
      <c r="AA40" s="17">
        <f>'TR TUSD'!$AA$40</f>
        <v>0</v>
      </c>
      <c r="AB40" s="17">
        <f>SUM($U$40:$AA$40)</f>
        <v>70.15363227947384</v>
      </c>
      <c r="AC40" s="17">
        <f>'TR TUSD'!$AC$40*'TR TUSD'!$AC$60</f>
        <v>201.08432699418495</v>
      </c>
      <c r="AD40" s="17">
        <f>SUM($AC$40:$AC$40)</f>
        <v>201.08432699418495</v>
      </c>
      <c r="AE40" s="17">
        <v>0</v>
      </c>
      <c r="AF40" s="17">
        <v>0</v>
      </c>
      <c r="AG40" s="17">
        <f>SUM($AE$40:$AF$40)</f>
        <v>0</v>
      </c>
      <c r="AH40" s="17">
        <f>'TR TUSD'!$AH$40*'TR TUSD'!$AH$60</f>
        <v>18.027848238388035</v>
      </c>
      <c r="AI40" s="17">
        <f>'TR TUSD'!$AI$40*'TR TUSD'!$AI$60</f>
        <v>0</v>
      </c>
      <c r="AJ40" s="17">
        <f ca="1">'TR TUSD'!$AJ$40*'TR TUSD'!$AJ$60</f>
        <v>0</v>
      </c>
      <c r="AK40" s="17">
        <f ca="1">'TR TUSD'!$AK$40*'TR TUSD'!$AK$60</f>
        <v>0</v>
      </c>
      <c r="AL40" s="17">
        <f ca="1">SUM($AH$40:$AK$40)</f>
        <v>18.027848238388035</v>
      </c>
      <c r="AM40" s="17">
        <f ca="1">SUMIF($L$4:$AL$4,"SUBTOTAL",$L$40:$AL$40)</f>
        <v>394.69107703249</v>
      </c>
      <c r="AP40" s="17">
        <f>IF((1 - CUSTOS!$M$30)&lt;&gt;0,1/(1 - CUSTOS!$M$30),1)</f>
        <v>1</v>
      </c>
    </row>
    <row r="41" spans="1:42" ht="11.25" customHeight="1" x14ac:dyDescent="0.25">
      <c r="A41" s="94"/>
      <c r="B41" s="26" t="s">
        <v>23</v>
      </c>
      <c r="C41" s="26" t="s">
        <v>41</v>
      </c>
      <c r="D41" s="26" t="s">
        <v>89</v>
      </c>
      <c r="E41" s="26" t="s">
        <v>25</v>
      </c>
      <c r="F41" s="26" t="s">
        <v>25</v>
      </c>
      <c r="G41" s="27" t="s">
        <v>78</v>
      </c>
      <c r="H41" s="27" t="s">
        <v>72</v>
      </c>
      <c r="I41" s="27">
        <f>'MERCADO TUSD'!$U$38</f>
        <v>0</v>
      </c>
      <c r="J41" s="15"/>
      <c r="L41" s="17">
        <f>'TR TUSD'!$L$41*'TR TUSD'!$L$60</f>
        <v>0</v>
      </c>
      <c r="M41" s="17">
        <f>'TR TUSD'!$M$41*'TR TUSD'!$M$60</f>
        <v>1.4420587949790575</v>
      </c>
      <c r="N41" s="17">
        <f ca="1">'TR TUSD'!$N$41*'TR TUSD'!$N$60</f>
        <v>0</v>
      </c>
      <c r="O41" s="17">
        <f>'TR TUSD'!$O$41*'TR TUSD'!$O$60</f>
        <v>0</v>
      </c>
      <c r="P41" s="17">
        <f>'TR TUSD'!$P$41*'TR TUSD'!$P$60</f>
        <v>0</v>
      </c>
      <c r="Q41" s="17">
        <f>'TR TUSD'!$Q$41*'TR TUSD'!$Q$60</f>
        <v>89.78816286110856</v>
      </c>
      <c r="R41" s="17">
        <f>'TR TUSD'!$R$41*'TR TUSD'!$R$60</f>
        <v>14.195047864355542</v>
      </c>
      <c r="S41" s="17">
        <f>'TR TUSD'!$S$41*'TR TUSD'!$S$60</f>
        <v>0</v>
      </c>
      <c r="T41" s="17">
        <f ca="1">SUM($L$41:$S$41)</f>
        <v>105.42526952044317</v>
      </c>
      <c r="U41" s="17">
        <f>'TR TUSD'!$U$41*'TR TUSD'!$U$60</f>
        <v>0</v>
      </c>
      <c r="V41" s="17">
        <f>'TR TUSD'!$V$41*'TR TUSD'!$V$60</f>
        <v>0</v>
      </c>
      <c r="W41" s="17">
        <f>'TR TUSD'!$W$41*'TR TUSD'!$W$60</f>
        <v>0</v>
      </c>
      <c r="X41" s="17">
        <f>'TR TUSD'!$X$41*'TR TUSD'!$X$60</f>
        <v>0</v>
      </c>
      <c r="Y41" s="17">
        <f>'TR TUSD'!$Y$41*'TR TUSD'!$Y$60</f>
        <v>118.97916384213156</v>
      </c>
      <c r="Z41" s="17">
        <f>'TR TUSD'!$Z$41</f>
        <v>0</v>
      </c>
      <c r="AA41" s="17">
        <f>'TR TUSD'!$AA$41</f>
        <v>0</v>
      </c>
      <c r="AB41" s="17">
        <f>SUM($U$41:$AA$41)</f>
        <v>118.97916384213156</v>
      </c>
      <c r="AC41" s="17">
        <f>'TR TUSD'!$AC$41*'TR TUSD'!$AC$60</f>
        <v>340.82102120437577</v>
      </c>
      <c r="AD41" s="17">
        <f>SUM($AC$41:$AC$41)</f>
        <v>340.82102120437577</v>
      </c>
      <c r="AE41" s="17">
        <v>0</v>
      </c>
      <c r="AF41" s="17">
        <v>0</v>
      </c>
      <c r="AG41" s="17">
        <f>SUM($AE$41:$AF$41)</f>
        <v>0</v>
      </c>
      <c r="AH41" s="17">
        <f>'TR TUSD'!$AH$41*'TR TUSD'!$AH$60</f>
        <v>18.027848238388035</v>
      </c>
      <c r="AI41" s="17">
        <f>'TR TUSD'!$AI$41*'TR TUSD'!$AI$60</f>
        <v>0</v>
      </c>
      <c r="AJ41" s="17">
        <f ca="1">'TR TUSD'!$AJ$41*'TR TUSD'!$AJ$60</f>
        <v>0</v>
      </c>
      <c r="AK41" s="17">
        <f ca="1">'TR TUSD'!$AK$41*'TR TUSD'!$AK$60</f>
        <v>0</v>
      </c>
      <c r="AL41" s="17">
        <f ca="1">SUM($AH$41:$AK$41)</f>
        <v>18.027848238388035</v>
      </c>
      <c r="AM41" s="17">
        <f ca="1">SUMIF($L$4:$AL$4,"SUBTOTAL",$L$41:$AL$41)</f>
        <v>583.25330280533854</v>
      </c>
      <c r="AP41" s="17">
        <f>IF((1 - CUSTOS!$M$30)&lt;&gt;0,1/(1 - CUSTOS!$M$30),1)</f>
        <v>1</v>
      </c>
    </row>
    <row r="42" spans="1:42" ht="11.25" customHeight="1" x14ac:dyDescent="0.25">
      <c r="A42" s="94"/>
      <c r="B42" s="94" t="s">
        <v>87</v>
      </c>
      <c r="C42" s="94" t="s">
        <v>41</v>
      </c>
      <c r="D42" s="26" t="s">
        <v>25</v>
      </c>
      <c r="E42" s="26" t="s">
        <v>25</v>
      </c>
      <c r="F42" s="26" t="s">
        <v>25</v>
      </c>
      <c r="G42" s="27" t="s">
        <v>78</v>
      </c>
      <c r="H42" s="27" t="s">
        <v>72</v>
      </c>
      <c r="I42" s="27">
        <f>'MERCADO TUSD'!$U$39</f>
        <v>0</v>
      </c>
      <c r="J42" s="15"/>
      <c r="L42" s="17">
        <f>'TR TUSD'!$L$42*'TR TUSD'!$L$60</f>
        <v>0</v>
      </c>
      <c r="M42" s="17">
        <f>'TR TUSD'!$M$42*'TR TUSD'!$M$60</f>
        <v>1.4420587949790575</v>
      </c>
      <c r="N42" s="17">
        <f ca="1">'TR TUSD'!$N$42*'TR TUSD'!$N$60</f>
        <v>0</v>
      </c>
      <c r="O42" s="17">
        <f>'TR TUSD'!$O$42*'TR TUSD'!$O$60</f>
        <v>0</v>
      </c>
      <c r="P42" s="17">
        <f>'TR TUSD'!$P$42*'TR TUSD'!$P$60</f>
        <v>0</v>
      </c>
      <c r="Q42" s="17">
        <f>'TR TUSD'!$Q$42*'TR TUSD'!$Q$60</f>
        <v>89.78816286110856</v>
      </c>
      <c r="R42" s="17">
        <f>'TR TUSD'!$R$42*'TR TUSD'!$R$60</f>
        <v>14.195047864355542</v>
      </c>
      <c r="S42" s="17">
        <f>'TR TUSD'!$S$42*'TR TUSD'!$S$60</f>
        <v>0</v>
      </c>
      <c r="T42" s="17">
        <f ca="1">SUM($L$42:$S$42)</f>
        <v>105.42526952044317</v>
      </c>
      <c r="U42" s="17">
        <f>'TR TUSD'!$U$42*'TR TUSD'!$U$60</f>
        <v>0</v>
      </c>
      <c r="V42" s="17">
        <f>'TR TUSD'!$V$42*'TR TUSD'!$V$60</f>
        <v>0</v>
      </c>
      <c r="W42" s="17">
        <f>'TR TUSD'!$W$42*'TR TUSD'!$W$60</f>
        <v>0</v>
      </c>
      <c r="X42" s="17">
        <f>'TR TUSD'!$X$42*'TR TUSD'!$X$60</f>
        <v>0</v>
      </c>
      <c r="Y42" s="17">
        <f>'TR TUSD'!$Y$42*'TR TUSD'!$Y$60</f>
        <v>118.97916384213156</v>
      </c>
      <c r="Z42" s="17">
        <f>'TR TUSD'!$Z$42</f>
        <v>0</v>
      </c>
      <c r="AA42" s="17">
        <f>'TR TUSD'!$AA$42</f>
        <v>0</v>
      </c>
      <c r="AB42" s="17">
        <f>SUM($U$42:$AA$42)</f>
        <v>118.97916384213156</v>
      </c>
      <c r="AC42" s="17">
        <f>'TR TUSD'!$AC$42*'TR TUSD'!$AC$60</f>
        <v>340.82102120437577</v>
      </c>
      <c r="AD42" s="17">
        <f>SUM($AC$42:$AC$42)</f>
        <v>340.82102120437577</v>
      </c>
      <c r="AE42" s="17">
        <v>0</v>
      </c>
      <c r="AF42" s="17">
        <v>0</v>
      </c>
      <c r="AG42" s="17">
        <f>SUM($AE$42:$AF$42)</f>
        <v>0</v>
      </c>
      <c r="AH42" s="17">
        <f>'TR TUSD'!$AH$42*'TR TUSD'!$AH$60</f>
        <v>18.027848238388035</v>
      </c>
      <c r="AI42" s="17">
        <f>'TR TUSD'!$AI$42*'TR TUSD'!$AI$60</f>
        <v>0</v>
      </c>
      <c r="AJ42" s="17">
        <f ca="1">'TR TUSD'!$AJ$42*'TR TUSD'!$AJ$60</f>
        <v>0</v>
      </c>
      <c r="AK42" s="17">
        <f ca="1">'TR TUSD'!$AK$42*'TR TUSD'!$AK$60</f>
        <v>0</v>
      </c>
      <c r="AL42" s="17">
        <f ca="1">SUM($AH$42:$AK$42)</f>
        <v>18.027848238388035</v>
      </c>
      <c r="AM42" s="17">
        <f ca="1">SUMIF($L$4:$AL$4,"SUBTOTAL",$L$42:$AL$42)</f>
        <v>583.25330280533854</v>
      </c>
      <c r="AP42" s="17">
        <f>IF((1 - CUSTOS!$M$28)&lt;&gt;0,1/(1 - CUSTOS!$M$28),1)</f>
        <v>1</v>
      </c>
    </row>
    <row r="43" spans="1:42" ht="11.25" customHeight="1" x14ac:dyDescent="0.25">
      <c r="A43" s="94"/>
      <c r="B43" s="94"/>
      <c r="C43" s="94"/>
      <c r="D43" s="26" t="s">
        <v>88</v>
      </c>
      <c r="E43" s="26" t="s">
        <v>25</v>
      </c>
      <c r="F43" s="26" t="s">
        <v>25</v>
      </c>
      <c r="G43" s="27" t="s">
        <v>78</v>
      </c>
      <c r="H43" s="27" t="s">
        <v>72</v>
      </c>
      <c r="I43" s="27">
        <f>'MERCADO TUSD'!$U$40</f>
        <v>0</v>
      </c>
      <c r="J43" s="15"/>
      <c r="L43" s="17">
        <f>'TR TUSD'!$L$43*'TR TUSD'!$L$60</f>
        <v>0</v>
      </c>
      <c r="M43" s="17">
        <f>'TR TUSD'!$M$43*'TR TUSD'!$M$60</f>
        <v>1.4420587949790575</v>
      </c>
      <c r="N43" s="17">
        <f ca="1">'TR TUSD'!$N$43*'TR TUSD'!$N$60</f>
        <v>0</v>
      </c>
      <c r="O43" s="17">
        <f>'TR TUSD'!$O$43*'TR TUSD'!$O$60</f>
        <v>0</v>
      </c>
      <c r="P43" s="17">
        <f>'TR TUSD'!$P$43*'TR TUSD'!$P$60</f>
        <v>0</v>
      </c>
      <c r="Q43" s="17">
        <f>'TR TUSD'!$Q$43*'TR TUSD'!$Q$60</f>
        <v>89.78816286110856</v>
      </c>
      <c r="R43" s="17">
        <f>'TR TUSD'!$R$43*'TR TUSD'!$R$60</f>
        <v>14.195047864355542</v>
      </c>
      <c r="S43" s="17">
        <f>'TR TUSD'!$S$43*'TR TUSD'!$S$60</f>
        <v>0</v>
      </c>
      <c r="T43" s="17">
        <f ca="1">SUM($L$43:$S$43)</f>
        <v>105.42526952044317</v>
      </c>
      <c r="U43" s="17">
        <f>'TR TUSD'!$U$43*'TR TUSD'!$U$60</f>
        <v>0</v>
      </c>
      <c r="V43" s="17">
        <f>'TR TUSD'!$V$43*'TR TUSD'!$V$60</f>
        <v>0</v>
      </c>
      <c r="W43" s="17">
        <f>'TR TUSD'!$W$43*'TR TUSD'!$W$60</f>
        <v>0</v>
      </c>
      <c r="X43" s="17">
        <f>'TR TUSD'!$X$43*'TR TUSD'!$X$60</f>
        <v>0</v>
      </c>
      <c r="Y43" s="17">
        <f>'TR TUSD'!$Y$43*'TR TUSD'!$Y$60</f>
        <v>118.97916384213156</v>
      </c>
      <c r="Z43" s="17">
        <f>'TR TUSD'!$Z$43</f>
        <v>0</v>
      </c>
      <c r="AA43" s="17">
        <f>'TR TUSD'!$AA$43</f>
        <v>0</v>
      </c>
      <c r="AB43" s="17">
        <f>SUM($U$43:$AA$43)</f>
        <v>118.97916384213156</v>
      </c>
      <c r="AC43" s="17">
        <f>'TR TUSD'!$AC$43*'TR TUSD'!$AC$60</f>
        <v>340.82102120437577</v>
      </c>
      <c r="AD43" s="17">
        <f>SUM($AC$43:$AC$43)</f>
        <v>340.82102120437577</v>
      </c>
      <c r="AE43" s="17">
        <v>0</v>
      </c>
      <c r="AF43" s="17">
        <v>0</v>
      </c>
      <c r="AG43" s="17">
        <f>SUM($AE$43:$AF$43)</f>
        <v>0</v>
      </c>
      <c r="AH43" s="17">
        <f>'TR TUSD'!$AH$43*'TR TUSD'!$AH$60</f>
        <v>18.027848238388035</v>
      </c>
      <c r="AI43" s="17">
        <f>'TR TUSD'!$AI$43*'TR TUSD'!$AI$60</f>
        <v>0</v>
      </c>
      <c r="AJ43" s="17">
        <f ca="1">'TR TUSD'!$AJ$43*'TR TUSD'!$AJ$60</f>
        <v>0</v>
      </c>
      <c r="AK43" s="17">
        <f ca="1">'TR TUSD'!$AK$43*'TR TUSD'!$AK$60</f>
        <v>0</v>
      </c>
      <c r="AL43" s="17">
        <f ca="1">SUM($AH$43:$AK$43)</f>
        <v>18.027848238388035</v>
      </c>
      <c r="AM43" s="17">
        <f ca="1">SUMIF($L$4:$AL$4,"SUBTOTAL",$L$43:$AL$43)</f>
        <v>583.25330280533854</v>
      </c>
      <c r="AP43" s="17">
        <f>IF((1 - CUSTOS!$M$29)&lt;&gt;0,1/(1 - CUSTOS!$M$29),1)</f>
        <v>1</v>
      </c>
    </row>
    <row r="44" spans="1:42" ht="11.25" customHeight="1" x14ac:dyDescent="0.25">
      <c r="A44" s="94"/>
      <c r="B44" s="94"/>
      <c r="C44" s="94"/>
      <c r="D44" s="26" t="s">
        <v>89</v>
      </c>
      <c r="E44" s="26" t="s">
        <v>25</v>
      </c>
      <c r="F44" s="26" t="s">
        <v>25</v>
      </c>
      <c r="G44" s="27" t="s">
        <v>78</v>
      </c>
      <c r="H44" s="27" t="s">
        <v>72</v>
      </c>
      <c r="I44" s="27">
        <f>'MERCADO TUSD'!$U$41</f>
        <v>0</v>
      </c>
      <c r="J44" s="15"/>
      <c r="L44" s="17">
        <f>'TR TUSD'!$L$44*'TR TUSD'!$L$60</f>
        <v>0</v>
      </c>
      <c r="M44" s="17">
        <f>'TR TUSD'!$M$44*'TR TUSD'!$M$60</f>
        <v>1.4420587949790575</v>
      </c>
      <c r="N44" s="17">
        <f ca="1">'TR TUSD'!$N$44*'TR TUSD'!$N$60</f>
        <v>0</v>
      </c>
      <c r="O44" s="17">
        <f>'TR TUSD'!$O$44*'TR TUSD'!$O$60</f>
        <v>0</v>
      </c>
      <c r="P44" s="17">
        <f>'TR TUSD'!$P$44*'TR TUSD'!$P$60</f>
        <v>0</v>
      </c>
      <c r="Q44" s="17">
        <f>'TR TUSD'!$Q$44*'TR TUSD'!$Q$60</f>
        <v>89.78816286110856</v>
      </c>
      <c r="R44" s="17">
        <f>'TR TUSD'!$R$44*'TR TUSD'!$R$60</f>
        <v>14.195047864355542</v>
      </c>
      <c r="S44" s="17">
        <f>'TR TUSD'!$S$44*'TR TUSD'!$S$60</f>
        <v>0</v>
      </c>
      <c r="T44" s="17">
        <f ca="1">SUM($L$44:$S$44)</f>
        <v>105.42526952044317</v>
      </c>
      <c r="U44" s="17">
        <f>'TR TUSD'!$U$44*'TR TUSD'!$U$60</f>
        <v>0</v>
      </c>
      <c r="V44" s="17">
        <f>'TR TUSD'!$V$44*'TR TUSD'!$V$60</f>
        <v>0</v>
      </c>
      <c r="W44" s="17">
        <f>'TR TUSD'!$W$44*'TR TUSD'!$W$60</f>
        <v>0</v>
      </c>
      <c r="X44" s="17">
        <f>'TR TUSD'!$X$44*'TR TUSD'!$X$60</f>
        <v>0</v>
      </c>
      <c r="Y44" s="17">
        <f>'TR TUSD'!$Y$44*'TR TUSD'!$Y$60</f>
        <v>118.97916384213156</v>
      </c>
      <c r="Z44" s="17">
        <f>'TR TUSD'!$Z$44</f>
        <v>0</v>
      </c>
      <c r="AA44" s="17">
        <f>'TR TUSD'!$AA$44</f>
        <v>0</v>
      </c>
      <c r="AB44" s="17">
        <f>SUM($U$44:$AA$44)</f>
        <v>118.97916384213156</v>
      </c>
      <c r="AC44" s="17">
        <f>'TR TUSD'!$AC$44*'TR TUSD'!$AC$60</f>
        <v>340.82102120437577</v>
      </c>
      <c r="AD44" s="17">
        <f>SUM($AC$44:$AC$44)</f>
        <v>340.82102120437577</v>
      </c>
      <c r="AE44" s="17">
        <v>0</v>
      </c>
      <c r="AF44" s="17">
        <v>0</v>
      </c>
      <c r="AG44" s="17">
        <f>SUM($AE$44:$AF$44)</f>
        <v>0</v>
      </c>
      <c r="AH44" s="17">
        <f>'TR TUSD'!$AH$44*'TR TUSD'!$AH$60</f>
        <v>18.027848238388035</v>
      </c>
      <c r="AI44" s="17">
        <f>'TR TUSD'!$AI$44*'TR TUSD'!$AI$60</f>
        <v>0</v>
      </c>
      <c r="AJ44" s="17">
        <f ca="1">'TR TUSD'!$AJ$44*'TR TUSD'!$AJ$60</f>
        <v>0</v>
      </c>
      <c r="AK44" s="17">
        <f ca="1">'TR TUSD'!$AK$44*'TR TUSD'!$AK$60</f>
        <v>0</v>
      </c>
      <c r="AL44" s="17">
        <f ca="1">SUM($AH$44:$AK$44)</f>
        <v>18.027848238388035</v>
      </c>
      <c r="AM44" s="17">
        <f ca="1">SUMIF($L$4:$AL$4,"SUBTOTAL",$L$44:$AL$44)</f>
        <v>583.25330280533854</v>
      </c>
      <c r="AP44" s="17">
        <f>IF((1 - CUSTOS!$M$30)&lt;&gt;0,1/(1 - CUSTOS!$M$30),1)</f>
        <v>1</v>
      </c>
    </row>
    <row r="45" spans="1:42" ht="11.25" customHeight="1" x14ac:dyDescent="0.25">
      <c r="A45" s="94" t="s">
        <v>33</v>
      </c>
      <c r="B45" s="94" t="s">
        <v>85</v>
      </c>
      <c r="C45" s="94" t="s">
        <v>25</v>
      </c>
      <c r="D45" s="94" t="s">
        <v>25</v>
      </c>
      <c r="E45" s="94" t="s">
        <v>25</v>
      </c>
      <c r="F45" s="94" t="s">
        <v>25</v>
      </c>
      <c r="G45" s="27" t="s">
        <v>73</v>
      </c>
      <c r="H45" s="27" t="s">
        <v>72</v>
      </c>
      <c r="I45" s="27">
        <f>'MERCADO TUSD'!$U$42</f>
        <v>0</v>
      </c>
      <c r="J45" s="15"/>
      <c r="L45" s="17">
        <f>'TR TUSD'!$L$45*'TR TUSD'!$L$60</f>
        <v>0</v>
      </c>
      <c r="M45" s="17">
        <f>'TR TUSD'!$M$45*'TR TUSD'!$M$60</f>
        <v>1.4420587949790575</v>
      </c>
      <c r="N45" s="17">
        <f ca="1">'TR TUSD'!$N$45*'TR TUSD'!$N$60</f>
        <v>0</v>
      </c>
      <c r="O45" s="17">
        <f>'TR TUSD'!$O$45*'TR TUSD'!$O$60</f>
        <v>0</v>
      </c>
      <c r="P45" s="17">
        <f>'TR TUSD'!$P$45*'TR TUSD'!$P$60</f>
        <v>0</v>
      </c>
      <c r="Q45" s="17">
        <f>'TR TUSD'!$Q$45*'TR TUSD'!$Q$60</f>
        <v>89.78816286110856</v>
      </c>
      <c r="R45" s="17">
        <f>'TR TUSD'!$R$45*'TR TUSD'!$R$60</f>
        <v>14.195047864355542</v>
      </c>
      <c r="S45" s="17">
        <f>'TR TUSD'!$S$45*'TR TUSD'!$S$60</f>
        <v>0</v>
      </c>
      <c r="T45" s="17">
        <f ca="1">SUM($L$45:$S$45)</f>
        <v>105.42526952044317</v>
      </c>
      <c r="U45" s="17">
        <f>'TR TUSD'!$U$45*'TR TUSD'!$U$60</f>
        <v>0</v>
      </c>
      <c r="V45" s="17">
        <f>'TR TUSD'!$V$45*'TR TUSD'!$V$60</f>
        <v>0</v>
      </c>
      <c r="W45" s="17">
        <f>'TR TUSD'!$W$45*'TR TUSD'!$W$60</f>
        <v>0</v>
      </c>
      <c r="X45" s="17">
        <f>'TR TUSD'!$X$45*'TR TUSD'!$X$60</f>
        <v>0</v>
      </c>
      <c r="Y45" s="17">
        <f>'TR TUSD'!$Y$45*'TR TUSD'!$Y$60</f>
        <v>410.5810941399871</v>
      </c>
      <c r="Z45" s="17">
        <f>'TR TUSD'!$Z$45</f>
        <v>0</v>
      </c>
      <c r="AA45" s="17">
        <f>'TR TUSD'!$AA$45</f>
        <v>0</v>
      </c>
      <c r="AB45" s="17">
        <f>SUM($U$45:$AA$45)</f>
        <v>410.5810941399871</v>
      </c>
      <c r="AC45" s="17">
        <f>'TR TUSD'!$AC$45*'TR TUSD'!$AC$60</f>
        <v>1175.8321455731127</v>
      </c>
      <c r="AD45" s="17">
        <f>SUM($AC$45:$AC$45)</f>
        <v>1175.8321455731127</v>
      </c>
      <c r="AE45" s="17">
        <v>0</v>
      </c>
      <c r="AF45" s="17">
        <v>0</v>
      </c>
      <c r="AG45" s="17">
        <f>SUM($AE$45:$AF$45)</f>
        <v>0</v>
      </c>
      <c r="AH45" s="17">
        <f>'TR TUSD'!$AH$45*'TR TUSD'!$AH$60</f>
        <v>18.027848238388035</v>
      </c>
      <c r="AI45" s="17">
        <f>'TR TUSD'!$AI$45*'TR TUSD'!$AI$60</f>
        <v>0</v>
      </c>
      <c r="AJ45" s="17">
        <f ca="1">'TR TUSD'!$AJ$45*'TR TUSD'!$AJ$60</f>
        <v>0</v>
      </c>
      <c r="AK45" s="17">
        <f ca="1">'TR TUSD'!$AK$45*'TR TUSD'!$AK$60</f>
        <v>0</v>
      </c>
      <c r="AL45" s="17">
        <f ca="1">SUM($AH$45:$AK$45)</f>
        <v>18.027848238388035</v>
      </c>
      <c r="AM45" s="17">
        <f ca="1">SUMIF($L$4:$AL$4,"SUBTOTAL",$L$45:$AL$45)</f>
        <v>1709.866357471931</v>
      </c>
      <c r="AP45" s="17">
        <f>IF((1 - CUSTOS!$M$31)&lt;&gt;0,1/(1 - CUSTOS!$M$31),1)</f>
        <v>1</v>
      </c>
    </row>
    <row r="46" spans="1:42" ht="11.25" customHeight="1" x14ac:dyDescent="0.25">
      <c r="A46" s="94"/>
      <c r="B46" s="94"/>
      <c r="C46" s="94"/>
      <c r="D46" s="94"/>
      <c r="E46" s="94"/>
      <c r="F46" s="94"/>
      <c r="G46" s="27" t="s">
        <v>83</v>
      </c>
      <c r="H46" s="27" t="s">
        <v>72</v>
      </c>
      <c r="I46" s="27">
        <f>'MERCADO TUSD'!$U$43</f>
        <v>0</v>
      </c>
      <c r="J46" s="15"/>
      <c r="L46" s="17">
        <f>'TR TUSD'!$L$46*'TR TUSD'!$L$60</f>
        <v>0</v>
      </c>
      <c r="M46" s="17">
        <f>'TR TUSD'!$M$46*'TR TUSD'!$M$60</f>
        <v>1.4420587949790575</v>
      </c>
      <c r="N46" s="17">
        <f ca="1">'TR TUSD'!$N$46*'TR TUSD'!$N$60</f>
        <v>0</v>
      </c>
      <c r="O46" s="17">
        <f>'TR TUSD'!$O$46*'TR TUSD'!$O$60</f>
        <v>0</v>
      </c>
      <c r="P46" s="17">
        <f>'TR TUSD'!$P$46*'TR TUSD'!$P$60</f>
        <v>0</v>
      </c>
      <c r="Q46" s="17">
        <f>'TR TUSD'!$Q$46*'TR TUSD'!$Q$60</f>
        <v>89.78816286110856</v>
      </c>
      <c r="R46" s="17">
        <f>'TR TUSD'!$R$46*'TR TUSD'!$R$60</f>
        <v>14.195047864355542</v>
      </c>
      <c r="S46" s="17">
        <f>'TR TUSD'!$S$46*'TR TUSD'!$S$60</f>
        <v>0</v>
      </c>
      <c r="T46" s="17">
        <f ca="1">SUM($L$46:$S$46)</f>
        <v>105.42526952044317</v>
      </c>
      <c r="U46" s="17">
        <f>'TR TUSD'!$U$46*'TR TUSD'!$U$60</f>
        <v>0</v>
      </c>
      <c r="V46" s="17">
        <f>'TR TUSD'!$V$46*'TR TUSD'!$V$60</f>
        <v>0</v>
      </c>
      <c r="W46" s="17">
        <f>'TR TUSD'!$W$46*'TR TUSD'!$W$60</f>
        <v>0</v>
      </c>
      <c r="X46" s="17">
        <f>'TR TUSD'!$X$46*'TR TUSD'!$X$60</f>
        <v>0</v>
      </c>
      <c r="Y46" s="17">
        <f>'TR TUSD'!$Y$46*'TR TUSD'!$Y$60</f>
        <v>246.30161961456906</v>
      </c>
      <c r="Z46" s="17">
        <f>'TR TUSD'!$Z$46</f>
        <v>0</v>
      </c>
      <c r="AA46" s="17">
        <f>'TR TUSD'!$AA$46</f>
        <v>0</v>
      </c>
      <c r="AB46" s="17">
        <f>SUM($U$46:$AA$46)</f>
        <v>246.30161961456906</v>
      </c>
      <c r="AC46" s="17">
        <f>'TR TUSD'!$AC$46*'TR TUSD'!$AC$60</f>
        <v>705.49924539031394</v>
      </c>
      <c r="AD46" s="17">
        <f>SUM($AC$46:$AC$46)</f>
        <v>705.49924539031394</v>
      </c>
      <c r="AE46" s="17">
        <v>0</v>
      </c>
      <c r="AF46" s="17">
        <v>0</v>
      </c>
      <c r="AG46" s="17">
        <f>SUM($AE$46:$AF$46)</f>
        <v>0</v>
      </c>
      <c r="AH46" s="17">
        <f>'TR TUSD'!$AH$46*'TR TUSD'!$AH$60</f>
        <v>18.027848238388035</v>
      </c>
      <c r="AI46" s="17">
        <f>'TR TUSD'!$AI$46*'TR TUSD'!$AI$60</f>
        <v>0</v>
      </c>
      <c r="AJ46" s="17">
        <f ca="1">'TR TUSD'!$AJ$46*'TR TUSD'!$AJ$60</f>
        <v>0</v>
      </c>
      <c r="AK46" s="17">
        <f ca="1">'TR TUSD'!$AK$46*'TR TUSD'!$AK$60</f>
        <v>0</v>
      </c>
      <c r="AL46" s="17">
        <f ca="1">SUM($AH$46:$AK$46)</f>
        <v>18.027848238388035</v>
      </c>
      <c r="AM46" s="17">
        <f ca="1">SUMIF($L$4:$AL$4,"SUBTOTAL",$L$46:$AL$46)</f>
        <v>1075.2539827637142</v>
      </c>
      <c r="AP46" s="17">
        <f>IF((1 - CUSTOS!$M$31)&lt;&gt;0,1/(1 - CUSTOS!$M$31),1)</f>
        <v>1</v>
      </c>
    </row>
    <row r="47" spans="1:42" ht="11.25" customHeight="1" x14ac:dyDescent="0.25">
      <c r="A47" s="94"/>
      <c r="B47" s="94"/>
      <c r="C47" s="94"/>
      <c r="D47" s="94"/>
      <c r="E47" s="94"/>
      <c r="F47" s="94"/>
      <c r="G47" s="27" t="s">
        <v>74</v>
      </c>
      <c r="H47" s="27" t="s">
        <v>72</v>
      </c>
      <c r="I47" s="27">
        <f>'MERCADO TUSD'!$U$44</f>
        <v>0</v>
      </c>
      <c r="J47" s="15"/>
      <c r="L47" s="17">
        <f>'TR TUSD'!$L$47*'TR TUSD'!$L$60</f>
        <v>0</v>
      </c>
      <c r="M47" s="17">
        <f>'TR TUSD'!$M$47*'TR TUSD'!$M$60</f>
        <v>1.4420587949790575</v>
      </c>
      <c r="N47" s="17">
        <f ca="1">'TR TUSD'!$N$47*'TR TUSD'!$N$60</f>
        <v>0</v>
      </c>
      <c r="O47" s="17">
        <f>'TR TUSD'!$O$47*'TR TUSD'!$O$60</f>
        <v>0</v>
      </c>
      <c r="P47" s="17">
        <f>'TR TUSD'!$P$47*'TR TUSD'!$P$60</f>
        <v>0</v>
      </c>
      <c r="Q47" s="17">
        <f>'TR TUSD'!$Q$47*'TR TUSD'!$Q$60</f>
        <v>89.78816286110856</v>
      </c>
      <c r="R47" s="17">
        <f>'TR TUSD'!$R$47*'TR TUSD'!$R$60</f>
        <v>14.195047864355542</v>
      </c>
      <c r="S47" s="17">
        <f>'TR TUSD'!$S$47*'TR TUSD'!$S$60</f>
        <v>0</v>
      </c>
      <c r="T47" s="17">
        <f ca="1">SUM($L$47:$S$47)</f>
        <v>105.42526952044317</v>
      </c>
      <c r="U47" s="17">
        <f>'TR TUSD'!$U$47*'TR TUSD'!$U$60</f>
        <v>0</v>
      </c>
      <c r="V47" s="17">
        <f>'TR TUSD'!$V$47*'TR TUSD'!$V$60</f>
        <v>0</v>
      </c>
      <c r="W47" s="17">
        <f>'TR TUSD'!$W$47*'TR TUSD'!$W$60</f>
        <v>0</v>
      </c>
      <c r="X47" s="17">
        <f>'TR TUSD'!$X$47*'TR TUSD'!$X$60</f>
        <v>0</v>
      </c>
      <c r="Y47" s="17">
        <f>'TR TUSD'!$Y$47*'TR TUSD'!$Y$60</f>
        <v>82.080996487394543</v>
      </c>
      <c r="Z47" s="17">
        <f>'TR TUSD'!$Z$47</f>
        <v>0</v>
      </c>
      <c r="AA47" s="17">
        <f>'TR TUSD'!$AA$47</f>
        <v>0</v>
      </c>
      <c r="AB47" s="17">
        <f>SUM($U$47:$AA$47)</f>
        <v>82.080996487394543</v>
      </c>
      <c r="AC47" s="17">
        <f>'TR TUSD'!$AC$47*'TR TUSD'!$AC$60</f>
        <v>235.16665985916805</v>
      </c>
      <c r="AD47" s="17">
        <f>SUM($AC$47:$AC$47)</f>
        <v>235.16665985916805</v>
      </c>
      <c r="AE47" s="17">
        <v>0</v>
      </c>
      <c r="AF47" s="17">
        <v>0</v>
      </c>
      <c r="AG47" s="17">
        <f>SUM($AE$47:$AF$47)</f>
        <v>0</v>
      </c>
      <c r="AH47" s="17">
        <f>'TR TUSD'!$AH$47*'TR TUSD'!$AH$60</f>
        <v>18.027848238388035</v>
      </c>
      <c r="AI47" s="17">
        <f>'TR TUSD'!$AI$47*'TR TUSD'!$AI$60</f>
        <v>0</v>
      </c>
      <c r="AJ47" s="17">
        <f ca="1">'TR TUSD'!$AJ$47*'TR TUSD'!$AJ$60</f>
        <v>0</v>
      </c>
      <c r="AK47" s="17">
        <f ca="1">'TR TUSD'!$AK$47*'TR TUSD'!$AK$60</f>
        <v>0</v>
      </c>
      <c r="AL47" s="17">
        <f ca="1">SUM($AH$47:$AK$47)</f>
        <v>18.027848238388035</v>
      </c>
      <c r="AM47" s="17">
        <f ca="1">SUMIF($L$4:$AL$4,"SUBTOTAL",$L$47:$AL$47)</f>
        <v>440.70077410539386</v>
      </c>
      <c r="AP47" s="17">
        <f>IF((1 - CUSTOS!$M$31)&lt;&gt;0,1/(1 - CUSTOS!$M$31),1)</f>
        <v>1</v>
      </c>
    </row>
    <row r="48" spans="1:42" ht="11.25" customHeight="1" x14ac:dyDescent="0.25">
      <c r="A48" s="94"/>
      <c r="B48" s="26" t="s">
        <v>23</v>
      </c>
      <c r="C48" s="26" t="s">
        <v>25</v>
      </c>
      <c r="D48" s="26" t="s">
        <v>25</v>
      </c>
      <c r="E48" s="26" t="s">
        <v>25</v>
      </c>
      <c r="F48" s="26" t="s">
        <v>25</v>
      </c>
      <c r="G48" s="27" t="s">
        <v>78</v>
      </c>
      <c r="H48" s="27" t="s">
        <v>72</v>
      </c>
      <c r="I48" s="27">
        <f>'MERCADO TUSD'!$U$45</f>
        <v>6621.2499999999991</v>
      </c>
      <c r="J48" s="15"/>
      <c r="L48" s="17">
        <f>'TR TUSD'!$L$48*'TR TUSD'!$L$60</f>
        <v>0</v>
      </c>
      <c r="M48" s="17">
        <f>'TR TUSD'!$M$48*'TR TUSD'!$M$60</f>
        <v>1.4420587949790575</v>
      </c>
      <c r="N48" s="17">
        <f ca="1">'TR TUSD'!$N$48*'TR TUSD'!$N$60</f>
        <v>0</v>
      </c>
      <c r="O48" s="17">
        <f>'TR TUSD'!$O$48*'TR TUSD'!$O$60</f>
        <v>0</v>
      </c>
      <c r="P48" s="17">
        <f>'TR TUSD'!$P$48*'TR TUSD'!$P$60</f>
        <v>0</v>
      </c>
      <c r="Q48" s="17">
        <f>'TR TUSD'!$Q$48*'TR TUSD'!$Q$60</f>
        <v>89.78816286110856</v>
      </c>
      <c r="R48" s="17">
        <f>'TR TUSD'!$R$48*'TR TUSD'!$R$60</f>
        <v>14.195047864355542</v>
      </c>
      <c r="S48" s="17">
        <f>'TR TUSD'!$S$48*'TR TUSD'!$S$60</f>
        <v>0</v>
      </c>
      <c r="T48" s="17">
        <f ca="1">SUM($L$48:$S$48)</f>
        <v>105.42526952044317</v>
      </c>
      <c r="U48" s="17">
        <f>'TR TUSD'!$U$48*'TR TUSD'!$U$60</f>
        <v>0</v>
      </c>
      <c r="V48" s="17">
        <f>'TR TUSD'!$V$48*'TR TUSD'!$V$60</f>
        <v>0</v>
      </c>
      <c r="W48" s="17">
        <f>'TR TUSD'!$W$48*'TR TUSD'!$W$60</f>
        <v>0</v>
      </c>
      <c r="X48" s="17">
        <f>'TR TUSD'!$X$48*'TR TUSD'!$X$60</f>
        <v>0</v>
      </c>
      <c r="Y48" s="17">
        <f>'TR TUSD'!$Y$48*'TR TUSD'!$Y$60</f>
        <v>118.97916384213156</v>
      </c>
      <c r="Z48" s="17">
        <f>'TR TUSD'!$Z$48</f>
        <v>0</v>
      </c>
      <c r="AA48" s="17">
        <f>'TR TUSD'!$AA$48</f>
        <v>0</v>
      </c>
      <c r="AB48" s="17">
        <f>SUM($U$48:$AA$48)</f>
        <v>118.97916384213156</v>
      </c>
      <c r="AC48" s="17">
        <f>'TR TUSD'!$AC$48*'TR TUSD'!$AC$60</f>
        <v>340.82102120437577</v>
      </c>
      <c r="AD48" s="17">
        <f>SUM($AC$48:$AC$48)</f>
        <v>340.82102120437577</v>
      </c>
      <c r="AE48" s="17">
        <v>0</v>
      </c>
      <c r="AF48" s="17">
        <v>0</v>
      </c>
      <c r="AG48" s="17">
        <f>SUM($AE$48:$AF$48)</f>
        <v>0</v>
      </c>
      <c r="AH48" s="17">
        <f>'TR TUSD'!$AH$48*'TR TUSD'!$AH$60</f>
        <v>18.027848238388035</v>
      </c>
      <c r="AI48" s="17">
        <f>'TR TUSD'!$AI$48*'TR TUSD'!$AI$60</f>
        <v>0</v>
      </c>
      <c r="AJ48" s="17">
        <f ca="1">'TR TUSD'!$AJ$48*'TR TUSD'!$AJ$60</f>
        <v>0</v>
      </c>
      <c r="AK48" s="17">
        <f ca="1">'TR TUSD'!$AK$48*'TR TUSD'!$AK$60</f>
        <v>0</v>
      </c>
      <c r="AL48" s="17">
        <f ca="1">SUM($AH$48:$AK$48)</f>
        <v>18.027848238388035</v>
      </c>
      <c r="AM48" s="17">
        <f ca="1">SUMIF($L$4:$AL$4,"SUBTOTAL",$L$48:$AL$48)</f>
        <v>583.25330280533854</v>
      </c>
      <c r="AP48" s="17">
        <f>IF((1 - CUSTOS!$M$31)&lt;&gt;0,1/(1 - CUSTOS!$M$31),1)</f>
        <v>1</v>
      </c>
    </row>
    <row r="49" spans="1:42" ht="11.25" customHeight="1" x14ac:dyDescent="0.25">
      <c r="A49" s="94"/>
      <c r="B49" s="26" t="s">
        <v>87</v>
      </c>
      <c r="C49" s="26" t="s">
        <v>25</v>
      </c>
      <c r="D49" s="26" t="s">
        <v>25</v>
      </c>
      <c r="E49" s="26" t="s">
        <v>25</v>
      </c>
      <c r="F49" s="26" t="s">
        <v>25</v>
      </c>
      <c r="G49" s="27" t="s">
        <v>78</v>
      </c>
      <c r="H49" s="27" t="s">
        <v>72</v>
      </c>
      <c r="I49" s="27">
        <f>'MERCADO TUSD'!$U$46</f>
        <v>0</v>
      </c>
      <c r="J49" s="15"/>
      <c r="L49" s="17">
        <f>'TR TUSD'!$L$49*'TR TUSD'!$L$60</f>
        <v>0</v>
      </c>
      <c r="M49" s="17">
        <f>'TR TUSD'!$M$49*'TR TUSD'!$M$60</f>
        <v>1.4420587949790575</v>
      </c>
      <c r="N49" s="17">
        <f ca="1">'TR TUSD'!$N$49*'TR TUSD'!$N$60</f>
        <v>0</v>
      </c>
      <c r="O49" s="17">
        <f>'TR TUSD'!$O$49*'TR TUSD'!$O$60</f>
        <v>0</v>
      </c>
      <c r="P49" s="17">
        <f>'TR TUSD'!$P$49*'TR TUSD'!$P$60</f>
        <v>0</v>
      </c>
      <c r="Q49" s="17">
        <f>'TR TUSD'!$Q$49*'TR TUSD'!$Q$60</f>
        <v>89.78816286110856</v>
      </c>
      <c r="R49" s="17">
        <f>'TR TUSD'!$R$49*'TR TUSD'!$R$60</f>
        <v>14.195047864355542</v>
      </c>
      <c r="S49" s="17">
        <f>'TR TUSD'!$S$49*'TR TUSD'!$S$60</f>
        <v>0</v>
      </c>
      <c r="T49" s="17">
        <f ca="1">SUM($L$49:$S$49)</f>
        <v>105.42526952044317</v>
      </c>
      <c r="U49" s="17">
        <f>'TR TUSD'!$U$49*'TR TUSD'!$U$60</f>
        <v>0</v>
      </c>
      <c r="V49" s="17">
        <f>'TR TUSD'!$V$49*'TR TUSD'!$V$60</f>
        <v>0</v>
      </c>
      <c r="W49" s="17">
        <f>'TR TUSD'!$W$49*'TR TUSD'!$W$60</f>
        <v>0</v>
      </c>
      <c r="X49" s="17">
        <f>'TR TUSD'!$X$49*'TR TUSD'!$X$60</f>
        <v>0</v>
      </c>
      <c r="Y49" s="17">
        <f>'TR TUSD'!$Y$49*'TR TUSD'!$Y$60</f>
        <v>118.97916384213156</v>
      </c>
      <c r="Z49" s="17">
        <f>'TR TUSD'!$Z$49</f>
        <v>0</v>
      </c>
      <c r="AA49" s="17">
        <f>'TR TUSD'!$AA$49</f>
        <v>0</v>
      </c>
      <c r="AB49" s="17">
        <f>SUM($U$49:$AA$49)</f>
        <v>118.97916384213156</v>
      </c>
      <c r="AC49" s="17">
        <f>'TR TUSD'!$AC$49*'TR TUSD'!$AC$60</f>
        <v>340.82102120437577</v>
      </c>
      <c r="AD49" s="17">
        <f>SUM($AC$49:$AC$49)</f>
        <v>340.82102120437577</v>
      </c>
      <c r="AE49" s="17">
        <v>0</v>
      </c>
      <c r="AF49" s="17">
        <v>0</v>
      </c>
      <c r="AG49" s="17">
        <f>SUM($AE$49:$AF$49)</f>
        <v>0</v>
      </c>
      <c r="AH49" s="17">
        <f>'TR TUSD'!$AH$49*'TR TUSD'!$AH$60</f>
        <v>18.027848238388035</v>
      </c>
      <c r="AI49" s="17">
        <f>'TR TUSD'!$AI$49*'TR TUSD'!$AI$60</f>
        <v>0</v>
      </c>
      <c r="AJ49" s="17">
        <f ca="1">'TR TUSD'!$AJ$49*'TR TUSD'!$AJ$60</f>
        <v>0</v>
      </c>
      <c r="AK49" s="17">
        <f ca="1">'TR TUSD'!$AK$49*'TR TUSD'!$AK$60</f>
        <v>0</v>
      </c>
      <c r="AL49" s="17">
        <f ca="1">SUM($AH$49:$AK$49)</f>
        <v>18.027848238388035</v>
      </c>
      <c r="AM49" s="17">
        <f ca="1">SUMIF($L$4:$AL$4,"SUBTOTAL",$L$49:$AL$49)</f>
        <v>583.25330280533854</v>
      </c>
      <c r="AP49" s="17">
        <f>IF((1 - CUSTOS!$M$31)&lt;&gt;0,1/(1 - CUSTOS!$M$31),1)</f>
        <v>1</v>
      </c>
    </row>
    <row r="50" spans="1:42" ht="11.25" customHeight="1" x14ac:dyDescent="0.25">
      <c r="A50" s="94" t="s">
        <v>43</v>
      </c>
      <c r="B50" s="94" t="s">
        <v>23</v>
      </c>
      <c r="C50" s="94" t="s">
        <v>44</v>
      </c>
      <c r="D50" s="26" t="s">
        <v>45</v>
      </c>
      <c r="E50" s="26" t="s">
        <v>25</v>
      </c>
      <c r="F50" s="26" t="s">
        <v>25</v>
      </c>
      <c r="G50" s="27" t="s">
        <v>78</v>
      </c>
      <c r="H50" s="27" t="s">
        <v>72</v>
      </c>
      <c r="I50" s="27">
        <f>'MERCADO TUSD'!$U$47</f>
        <v>930.54300000000012</v>
      </c>
      <c r="J50" s="15"/>
      <c r="L50" s="17">
        <f>'TR TUSD'!$L$50*'TR TUSD'!$L$60</f>
        <v>0</v>
      </c>
      <c r="M50" s="17">
        <f>'TR TUSD'!$M$50*'TR TUSD'!$M$60</f>
        <v>0.79313233723848175</v>
      </c>
      <c r="N50" s="17">
        <f ca="1">'TR TUSD'!$N$50*'TR TUSD'!$N$60</f>
        <v>0</v>
      </c>
      <c r="O50" s="17">
        <f>'TR TUSD'!$O$50*'TR TUSD'!$O$60</f>
        <v>0</v>
      </c>
      <c r="P50" s="17">
        <f>'TR TUSD'!$P$50*'TR TUSD'!$P$60</f>
        <v>0</v>
      </c>
      <c r="Q50" s="17">
        <f>'TR TUSD'!$Q$50*'TR TUSD'!$Q$60</f>
        <v>49.383489573609715</v>
      </c>
      <c r="R50" s="17">
        <f>'TR TUSD'!$R$50*'TR TUSD'!$R$60</f>
        <v>7.8072763253955486</v>
      </c>
      <c r="S50" s="17">
        <f>'TR TUSD'!$S$50*'TR TUSD'!$S$60</f>
        <v>0</v>
      </c>
      <c r="T50" s="17">
        <f ca="1">SUM($L$50:$S$50)</f>
        <v>57.983898236243746</v>
      </c>
      <c r="U50" s="17">
        <f>'TR TUSD'!$U$50*'TR TUSD'!$U$60</f>
        <v>0</v>
      </c>
      <c r="V50" s="17">
        <f>'TR TUSD'!$V$50*'TR TUSD'!$V$60</f>
        <v>0</v>
      </c>
      <c r="W50" s="17">
        <f>'TR TUSD'!$W$50*'TR TUSD'!$W$60</f>
        <v>0</v>
      </c>
      <c r="X50" s="17">
        <f>'TR TUSD'!$X$50*'TR TUSD'!$X$60</f>
        <v>0</v>
      </c>
      <c r="Y50" s="17">
        <f>'TR TUSD'!$Y$50*'TR TUSD'!$Y$60</f>
        <v>65.438540113172365</v>
      </c>
      <c r="Z50" s="17">
        <f>'TR TUSD'!$Z$50</f>
        <v>0</v>
      </c>
      <c r="AA50" s="17">
        <f>'TR TUSD'!$AA$50</f>
        <v>0</v>
      </c>
      <c r="AB50" s="17">
        <f>SUM($U$50:$AA$50)</f>
        <v>65.438540113172365</v>
      </c>
      <c r="AC50" s="17">
        <f>'TR TUSD'!$AC$50*'TR TUSD'!$AC$60</f>
        <v>187.45156166240668</v>
      </c>
      <c r="AD50" s="17">
        <f>SUM($AC$50:$AC$50)</f>
        <v>187.45156166240668</v>
      </c>
      <c r="AE50" s="17">
        <v>0</v>
      </c>
      <c r="AF50" s="17">
        <v>0</v>
      </c>
      <c r="AG50" s="17">
        <f>SUM($AE$50:$AF$50)</f>
        <v>0</v>
      </c>
      <c r="AH50" s="17">
        <f>'TR TUSD'!$AH$50*'TR TUSD'!$AH$60</f>
        <v>9.9153165311134206</v>
      </c>
      <c r="AI50" s="17">
        <f>'TR TUSD'!$AI$50*'TR TUSD'!$AI$60</f>
        <v>0</v>
      </c>
      <c r="AJ50" s="17">
        <f ca="1">'TR TUSD'!$AJ$50*'TR TUSD'!$AJ$60</f>
        <v>0</v>
      </c>
      <c r="AK50" s="17">
        <f ca="1">'TR TUSD'!$AK$50*'TR TUSD'!$AK$60</f>
        <v>0</v>
      </c>
      <c r="AL50" s="17">
        <f ca="1">SUM($AH$50:$AK$50)</f>
        <v>9.9153165311134206</v>
      </c>
      <c r="AM50" s="17">
        <f ca="1">SUMIF($L$4:$AL$4,"SUBTOTAL",$L$50:$AL$50)</f>
        <v>320.78931654293621</v>
      </c>
      <c r="AP50" s="17">
        <f>IF((1 - CUSTOS!$M$32)&lt;&gt;0,1/(1 - CUSTOS!$M$32),1)</f>
        <v>1.8181818181818181</v>
      </c>
    </row>
    <row r="51" spans="1:42" ht="11.25" customHeight="1" x14ac:dyDescent="0.25">
      <c r="A51" s="94"/>
      <c r="B51" s="94"/>
      <c r="C51" s="94"/>
      <c r="D51" s="27" t="s">
        <v>90</v>
      </c>
      <c r="E51" s="27" t="s">
        <v>25</v>
      </c>
      <c r="F51" s="27" t="s">
        <v>25</v>
      </c>
      <c r="G51" s="27" t="s">
        <v>78</v>
      </c>
      <c r="H51" s="27" t="s">
        <v>72</v>
      </c>
      <c r="I51" s="27">
        <f>'MERCADO TUSD'!$U$48</f>
        <v>0</v>
      </c>
      <c r="J51" s="15"/>
      <c r="L51" s="17">
        <f>'TR TUSD'!$L$51*'TR TUSD'!$L$60</f>
        <v>0</v>
      </c>
      <c r="M51" s="17">
        <f>'TR TUSD'!$M$51*'TR TUSD'!$M$60</f>
        <v>0.86523527698743452</v>
      </c>
      <c r="N51" s="17">
        <f ca="1">'TR TUSD'!$N$51*'TR TUSD'!$N$60</f>
        <v>0</v>
      </c>
      <c r="O51" s="17">
        <f>'TR TUSD'!$O$51*'TR TUSD'!$O$60</f>
        <v>0</v>
      </c>
      <c r="P51" s="17">
        <f>'TR TUSD'!$P$51*'TR TUSD'!$P$60</f>
        <v>0</v>
      </c>
      <c r="Q51" s="17">
        <f>'TR TUSD'!$Q$51*'TR TUSD'!$Q$60</f>
        <v>53.872897716665136</v>
      </c>
      <c r="R51" s="17">
        <f>'TR TUSD'!$R$51*'TR TUSD'!$R$60</f>
        <v>8.5170287186133251</v>
      </c>
      <c r="S51" s="17">
        <f>'TR TUSD'!$S$51*'TR TUSD'!$S$60</f>
        <v>0</v>
      </c>
      <c r="T51" s="17">
        <f ca="1">SUM($L$51:$S$51)</f>
        <v>63.255161712265895</v>
      </c>
      <c r="U51" s="17">
        <f>'TR TUSD'!$U$51*'TR TUSD'!$U$60</f>
        <v>0</v>
      </c>
      <c r="V51" s="17">
        <f>'TR TUSD'!$V$51*'TR TUSD'!$V$60</f>
        <v>0</v>
      </c>
      <c r="W51" s="17">
        <f>'TR TUSD'!$W$51*'TR TUSD'!$W$60</f>
        <v>0</v>
      </c>
      <c r="X51" s="17">
        <f>'TR TUSD'!$X$51*'TR TUSD'!$X$60</f>
        <v>0</v>
      </c>
      <c r="Y51" s="17">
        <f>'TR TUSD'!$Y$51*'TR TUSD'!$Y$60</f>
        <v>71.387498305278939</v>
      </c>
      <c r="Z51" s="17">
        <f>'TR TUSD'!$Z$51</f>
        <v>0</v>
      </c>
      <c r="AA51" s="17">
        <f>'TR TUSD'!$AA$51</f>
        <v>0</v>
      </c>
      <c r="AB51" s="17">
        <f>SUM($U$51:$AA$51)</f>
        <v>71.387498305278939</v>
      </c>
      <c r="AC51" s="17">
        <f>'TR TUSD'!$AC$51*'TR TUSD'!$AC$60</f>
        <v>204.49261272262544</v>
      </c>
      <c r="AD51" s="17">
        <f>SUM($AC$51:$AC$51)</f>
        <v>204.49261272262544</v>
      </c>
      <c r="AE51" s="17">
        <v>0</v>
      </c>
      <c r="AF51" s="17">
        <v>0</v>
      </c>
      <c r="AG51" s="17">
        <f>SUM($AE$51:$AF$51)</f>
        <v>0</v>
      </c>
      <c r="AH51" s="17">
        <f>'TR TUSD'!$AH$51*'TR TUSD'!$AH$60</f>
        <v>10.81670894303282</v>
      </c>
      <c r="AI51" s="17">
        <f>'TR TUSD'!$AI$51*'TR TUSD'!$AI$60</f>
        <v>0</v>
      </c>
      <c r="AJ51" s="17">
        <f ca="1">'TR TUSD'!$AJ$51*'TR TUSD'!$AJ$60</f>
        <v>0</v>
      </c>
      <c r="AK51" s="17">
        <f ca="1">'TR TUSD'!$AK$51*'TR TUSD'!$AK$60</f>
        <v>0</v>
      </c>
      <c r="AL51" s="17">
        <f ca="1">SUM($AH$51:$AK$51)</f>
        <v>10.81670894303282</v>
      </c>
      <c r="AM51" s="17">
        <f ca="1">SUMIF($L$4:$AL$4,"SUBTOTAL",$L$51:$AL$51)</f>
        <v>349.95198168320314</v>
      </c>
      <c r="AP51" s="17">
        <f>IF((1 - CUSTOS!$M$33)&lt;&gt;0,1/(1 - CUSTOS!$M$33),1)</f>
        <v>1.6666666666666667</v>
      </c>
    </row>
    <row r="53" spans="1:42" ht="11.25" customHeight="1" x14ac:dyDescent="0.25">
      <c r="K53" s="18" t="s">
        <v>496</v>
      </c>
      <c r="L53" s="17">
        <f>SUMPRODUCT($I$5:$I51,$L$5:$L51)</f>
        <v>0</v>
      </c>
      <c r="M53" s="17">
        <f>SUMPRODUCT($I$5:$I51,$M$5:$M51)</f>
        <v>109835.60937026612</v>
      </c>
      <c r="N53" s="17">
        <f ca="1">SUMPRODUCT($I$5:$I51,$N$5:$N51)</f>
        <v>0</v>
      </c>
      <c r="O53" s="17">
        <f>SUMPRODUCT($I$5:$I51,$O$5:$O51)</f>
        <v>0</v>
      </c>
      <c r="P53" s="17">
        <f>SUMPRODUCT($I$5:$I51,$P$5:$P51)</f>
        <v>0</v>
      </c>
      <c r="Q53" s="17">
        <f>SUMPRODUCT($I$5:$I51,$Q$5:$Q51)</f>
        <v>7706465.960090002</v>
      </c>
      <c r="R53" s="17">
        <f>SUMPRODUCT($I$5:$I51,$R$5:$R51)</f>
        <v>1291204.2324600008</v>
      </c>
      <c r="S53" s="17">
        <f>SUMPRODUCT($I$5:$I51,$S$5:$S51)</f>
        <v>0</v>
      </c>
      <c r="T53" s="17">
        <f ca="1">SUMPRODUCT($I$5:$I51,$T$5:$T51)</f>
        <v>9107505.8019202705</v>
      </c>
      <c r="U53" s="17">
        <f>SUMPRODUCT($I$5:$I51,$U$5:$U51)</f>
        <v>0</v>
      </c>
      <c r="V53" s="17">
        <f>SUMPRODUCT($I$5:$I51,$V$5:$V51)</f>
        <v>0</v>
      </c>
      <c r="W53" s="17">
        <f>SUMPRODUCT($I$5:$I51,$W$5:$W51)</f>
        <v>0</v>
      </c>
      <c r="X53" s="17">
        <f>SUMPRODUCT($I$5:$I51,$X$5:$X51)</f>
        <v>0</v>
      </c>
      <c r="Y53" s="17">
        <f>SUMPRODUCT($I$5:$I51,$Y$5:$Y51)</f>
        <v>10275212.197579999</v>
      </c>
      <c r="Z53" s="17">
        <f>SUMPRODUCT($I$5:$I51,$Z$5:$Z51)</f>
        <v>0</v>
      </c>
      <c r="AA53" s="17">
        <f>SUMPRODUCT($I$5:$I51,$AA$5:$AA51)</f>
        <v>0</v>
      </c>
      <c r="AB53" s="17">
        <f>SUMPRODUCT($I$5:$I51,$AB$5:$AB51)</f>
        <v>10275212.197579999</v>
      </c>
      <c r="AC53" s="17">
        <f>SUMPRODUCT($I$5:$I51,$AC$5:$AC51)</f>
        <v>25999999.999999996</v>
      </c>
      <c r="AD53" s="17">
        <f>SUMPRODUCT($I$5:$I51,$AD$5:$AD51)</f>
        <v>25999999.999999996</v>
      </c>
      <c r="AE53" s="17">
        <f>SUMPRODUCT($I$5:$I51,$AE$5:$AE51)</f>
        <v>0</v>
      </c>
      <c r="AF53" s="17">
        <f>SUMPRODUCT($I$5:$I51,$AF$5:$AF51)</f>
        <v>0</v>
      </c>
      <c r="AG53" s="17">
        <f>SUMPRODUCT($I$5:$I51,$AG$5:$AG51)</f>
        <v>0</v>
      </c>
      <c r="AH53" s="17">
        <f>SUMPRODUCT($I$5:$I51,$AH$5:$AH51)</f>
        <v>1287955.9653249071</v>
      </c>
      <c r="AI53" s="17">
        <f>SUMPRODUCT($I$5:$I51,$AI$5:$AI51)</f>
        <v>0</v>
      </c>
      <c r="AJ53" s="17">
        <f ca="1">SUMPRODUCT($I$5:$I51,$AJ$5:$AJ51)</f>
        <v>0</v>
      </c>
      <c r="AK53" s="17">
        <f ca="1">SUMPRODUCT($I$5:$I51,$AK$5:$AK51)</f>
        <v>0</v>
      </c>
      <c r="AL53" s="17">
        <f ca="1">SUMPRODUCT($I$5:$I51,$AL$5:$AL51)</f>
        <v>1287955.9653249071</v>
      </c>
      <c r="AM53" s="17">
        <f ca="1">SUMPRODUCT($I$5:$I51,$AM$5:$AM51)</f>
        <v>46670673.964825176</v>
      </c>
    </row>
    <row r="54" spans="1:42" ht="11.25" customHeight="1" x14ac:dyDescent="0.25">
      <c r="K54" s="18" t="s">
        <v>428</v>
      </c>
      <c r="L54" s="17">
        <f>'TR TUSD'!$L$56</f>
        <v>0</v>
      </c>
      <c r="M54" s="17">
        <f>'TR TUSD'!$M$56</f>
        <v>109835.60937026615</v>
      </c>
      <c r="N54" s="17">
        <f>'TR TUSD'!$N$56</f>
        <v>0</v>
      </c>
      <c r="O54" s="17">
        <f>'TR TUSD'!$O$56</f>
        <v>0</v>
      </c>
      <c r="P54" s="17">
        <f>'TR TUSD'!$P$56</f>
        <v>0</v>
      </c>
      <c r="Q54" s="17">
        <f>'TR TUSD'!$Q$56</f>
        <v>7706465.960090002</v>
      </c>
      <c r="R54" s="17">
        <f>'TR TUSD'!$R$56</f>
        <v>1291204.2324600006</v>
      </c>
      <c r="S54" s="17">
        <f>'TR TUSD'!$S$56</f>
        <v>0</v>
      </c>
      <c r="T54" s="17">
        <f>'TR TUSD'!$T$56</f>
        <v>9107505.8019202687</v>
      </c>
      <c r="U54" s="17">
        <f>'TR TUSD'!$U$56</f>
        <v>0</v>
      </c>
      <c r="V54" s="17">
        <f>'TR TUSD'!$V$56</f>
        <v>0</v>
      </c>
      <c r="W54" s="17">
        <f>'TR TUSD'!$W$56</f>
        <v>0</v>
      </c>
      <c r="X54" s="17">
        <f>'TR TUSD'!$X$56</f>
        <v>0</v>
      </c>
      <c r="Y54" s="17">
        <f>'TR TUSD'!$Y$56</f>
        <v>10275212.197579999</v>
      </c>
      <c r="Z54" s="17">
        <f>'TR TUSD'!$Z$56</f>
        <v>0</v>
      </c>
      <c r="AA54" s="17">
        <f>'TR TUSD'!$AA$56</f>
        <v>0</v>
      </c>
      <c r="AB54" s="17">
        <f>'TR TUSD'!$AB$56</f>
        <v>10275212.197579999</v>
      </c>
      <c r="AC54" s="17">
        <f>'TR TUSD'!$AC$56</f>
        <v>26000000</v>
      </c>
      <c r="AD54" s="17">
        <f>'TR TUSD'!$AD$56</f>
        <v>26000000</v>
      </c>
      <c r="AE54" s="17">
        <f>'TR TUSD'!$AE$56</f>
        <v>0</v>
      </c>
      <c r="AF54" s="17">
        <f>'TR TUSD'!$AF$56</f>
        <v>0</v>
      </c>
      <c r="AG54" s="17">
        <f>'TR TUSD'!$AG$56</f>
        <v>0</v>
      </c>
      <c r="AH54" s="17">
        <f>'TR TUSD'!$AH$56</f>
        <v>1287955.9653249066</v>
      </c>
      <c r="AI54" s="17">
        <f>'TR TUSD'!$AI$56</f>
        <v>0</v>
      </c>
      <c r="AJ54" s="17">
        <f>'TR TUSD'!$AJ$56</f>
        <v>0</v>
      </c>
      <c r="AK54" s="17">
        <f>'TR TUSD'!$AK$56</f>
        <v>0</v>
      </c>
      <c r="AL54" s="17">
        <f>'TR TUSD'!$AL$56</f>
        <v>1287955.9653249066</v>
      </c>
      <c r="AM54" s="17">
        <f>CUSTOS!$D$29</f>
        <v>46670673.964825176</v>
      </c>
    </row>
    <row r="55" spans="1:42" ht="11.25" customHeight="1" x14ac:dyDescent="0.25">
      <c r="K55" s="18" t="s">
        <v>429</v>
      </c>
      <c r="L55" s="17">
        <f>CUSTOS!$E$2</f>
        <v>0</v>
      </c>
      <c r="M55" s="17">
        <f>CUSTOS!$E$3</f>
        <v>4204.1088071347203</v>
      </c>
      <c r="N55" s="17">
        <f>CUSTOS!$E$4</f>
        <v>0</v>
      </c>
      <c r="O55" s="17">
        <f>CUSTOS!$E$5</f>
        <v>0</v>
      </c>
      <c r="P55" s="17">
        <f>CUSTOS!$E$6</f>
        <v>0</v>
      </c>
      <c r="Q55" s="17">
        <f>CUSTOS!$E$7</f>
        <v>181053.9608331761</v>
      </c>
      <c r="R55" s="17">
        <f>CUSTOS!$E$8</f>
        <v>27576.297970177777</v>
      </c>
      <c r="S55" s="17">
        <f>CUSTOS!$E$9</f>
        <v>0</v>
      </c>
      <c r="T55" s="17">
        <f>CUSTOS!$E$10</f>
        <v>212834.36761048861</v>
      </c>
      <c r="U55" s="17">
        <f>CUSTOS!$E$11</f>
        <v>0</v>
      </c>
      <c r="V55" s="17">
        <f>CUSTOS!$E$12</f>
        <v>0</v>
      </c>
      <c r="W55" s="17">
        <f>CUSTOS!$E$13</f>
        <v>0</v>
      </c>
      <c r="X55" s="17">
        <f>CUSTOS!$E$14</f>
        <v>0</v>
      </c>
      <c r="Y55" s="17">
        <f>CUSTOS!$E$15</f>
        <v>-1451207.6955431984</v>
      </c>
      <c r="Z55" s="17">
        <f>CUSTOS!$E$16</f>
        <v>0</v>
      </c>
      <c r="AA55" s="17">
        <f>CUSTOS!$E$17</f>
        <v>0</v>
      </c>
      <c r="AB55" s="17">
        <f>CUSTOS!$E$18</f>
        <v>-1451207.6955431984</v>
      </c>
      <c r="AC55" s="17">
        <f>CUSTOS!$E$19</f>
        <v>-11769398.069312805</v>
      </c>
      <c r="AD55" s="17">
        <f>CUSTOS!$E$20</f>
        <v>-11769398.069312805</v>
      </c>
      <c r="AE55" s="17">
        <f>CUSTOS!$E$21</f>
        <v>0</v>
      </c>
      <c r="AF55" s="17">
        <f>CUSTOS!$E$22</f>
        <v>0</v>
      </c>
      <c r="AG55" s="17">
        <f>CUSTOS!$E$23</f>
        <v>0</v>
      </c>
      <c r="AH55" s="17">
        <f>CUSTOS!$E$24</f>
        <v>74044.85200701881</v>
      </c>
      <c r="AI55" s="17">
        <f>CUSTOS!$E$25</f>
        <v>0</v>
      </c>
      <c r="AJ55" s="17">
        <f>CUSTOS!$E$26</f>
        <v>0</v>
      </c>
      <c r="AK55" s="17">
        <f>CUSTOS!$E$27</f>
        <v>0</v>
      </c>
      <c r="AL55" s="17">
        <f>CUSTOS!$E$28</f>
        <v>74044.85200701881</v>
      </c>
      <c r="AM55" s="17">
        <f>CUSTOS!$E$29</f>
        <v>-12933726.545238497</v>
      </c>
    </row>
    <row r="56" spans="1:42" ht="11.25" customHeight="1" x14ac:dyDescent="0.25">
      <c r="K56" s="18" t="s">
        <v>430</v>
      </c>
      <c r="L56" s="17">
        <f>CUSTOS!$F$2</f>
        <v>0</v>
      </c>
      <c r="M56" s="17">
        <f>CUSTOS!$F$3</f>
        <v>0</v>
      </c>
      <c r="N56" s="17">
        <f>CUSTOS!$F$4</f>
        <v>0</v>
      </c>
      <c r="O56" s="17">
        <f>CUSTOS!$F$5</f>
        <v>0</v>
      </c>
      <c r="P56" s="17">
        <f>CUSTOS!$F$6</f>
        <v>0</v>
      </c>
      <c r="Q56" s="17">
        <f>CUSTOS!$F$7</f>
        <v>0</v>
      </c>
      <c r="R56" s="17">
        <f>CUSTOS!$F$8</f>
        <v>0</v>
      </c>
      <c r="S56" s="17">
        <f>CUSTOS!$F$9</f>
        <v>0</v>
      </c>
      <c r="T56" s="17">
        <f>CUSTOS!$F$10</f>
        <v>0</v>
      </c>
      <c r="U56" s="17">
        <f>CUSTOS!$F$11</f>
        <v>0</v>
      </c>
      <c r="V56" s="17">
        <f>CUSTOS!$F$12</f>
        <v>0</v>
      </c>
      <c r="W56" s="17">
        <f>CUSTOS!$F$13</f>
        <v>0</v>
      </c>
      <c r="X56" s="17">
        <f>CUSTOS!$F$14</f>
        <v>0</v>
      </c>
      <c r="Y56" s="17">
        <f>CUSTOS!$F$15</f>
        <v>0</v>
      </c>
      <c r="Z56" s="17">
        <f>CUSTOS!$F$16</f>
        <v>0</v>
      </c>
      <c r="AA56" s="17">
        <f>CUSTOS!$F$17</f>
        <v>0</v>
      </c>
      <c r="AB56" s="17">
        <f>CUSTOS!$F$18</f>
        <v>0</v>
      </c>
      <c r="AC56" s="17">
        <f>CUSTOS!$F$19</f>
        <v>0</v>
      </c>
      <c r="AD56" s="17">
        <f>CUSTOS!$F$20</f>
        <v>0</v>
      </c>
      <c r="AE56" s="17">
        <f>CUSTOS!$F$21</f>
        <v>0</v>
      </c>
      <c r="AF56" s="17">
        <f>CUSTOS!$F$22</f>
        <v>0</v>
      </c>
      <c r="AG56" s="17">
        <f>CUSTOS!$F$23</f>
        <v>0</v>
      </c>
      <c r="AH56" s="17">
        <f>CUSTOS!$F$24</f>
        <v>0</v>
      </c>
      <c r="AI56" s="17">
        <f>CUSTOS!$F$25</f>
        <v>0</v>
      </c>
      <c r="AJ56" s="17">
        <f>CUSTOS!$F$26</f>
        <v>0</v>
      </c>
      <c r="AK56" s="17">
        <f>CUSTOS!$F$27</f>
        <v>0</v>
      </c>
      <c r="AL56" s="17">
        <f>CUSTOS!$F$28</f>
        <v>0</v>
      </c>
      <c r="AM56" s="17">
        <f>CUSTOS!$F$29</f>
        <v>0</v>
      </c>
    </row>
    <row r="57" spans="1:42" ht="11.25" customHeight="1" x14ac:dyDescent="0.25">
      <c r="K57" s="18" t="s">
        <v>493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f>SUM($L$57:$S$57)</f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f>SUM($U$57:$AA$57)</f>
        <v>0</v>
      </c>
      <c r="AC57" s="17">
        <v>0</v>
      </c>
      <c r="AD57" s="17">
        <f>SUM($AC$57:$AC$57)</f>
        <v>0</v>
      </c>
      <c r="AE57" s="17">
        <v>0</v>
      </c>
      <c r="AF57" s="17">
        <v>0</v>
      </c>
      <c r="AG57" s="17">
        <f>SUM($AE$57:$AF$57)</f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f>SUM($AH$57:$AK$57)</f>
        <v>0</v>
      </c>
      <c r="AM57" s="17">
        <f>SUMIF($L$4:$AL$4,"SUBTOTAL",$L$57:$AL$57)</f>
        <v>0</v>
      </c>
    </row>
    <row r="58" spans="1:42" ht="11.25" customHeight="1" x14ac:dyDescent="0.25">
      <c r="K58" s="18" t="s">
        <v>497</v>
      </c>
      <c r="L58" s="17">
        <f t="shared" ref="L58:R58" si="0">IF((L53-(0))&lt;&gt;0,(L55)/(L53-(0)),0)</f>
        <v>0</v>
      </c>
      <c r="M58" s="17">
        <f t="shared" si="0"/>
        <v>3.8276373493429404E-2</v>
      </c>
      <c r="N58" s="17">
        <f t="shared" ca="1" si="0"/>
        <v>0</v>
      </c>
      <c r="O58" s="17">
        <f t="shared" si="0"/>
        <v>0</v>
      </c>
      <c r="P58" s="17">
        <f t="shared" si="0"/>
        <v>0</v>
      </c>
      <c r="Q58" s="17">
        <f t="shared" si="0"/>
        <v>2.3493772861751746E-2</v>
      </c>
      <c r="R58" s="17">
        <f t="shared" si="0"/>
        <v>2.1357038086561603E-2</v>
      </c>
      <c r="S58" s="17">
        <f>IF((R53-(0)&lt;&gt;0),(S55)/(R53-(0)),0)</f>
        <v>0</v>
      </c>
      <c r="T58" s="17"/>
      <c r="U58" s="17">
        <f t="shared" ref="U58:AA58" si="1">IF((U53-(0))&lt;&gt;0,(U55)/(U53-(0)),0)</f>
        <v>0</v>
      </c>
      <c r="V58" s="17">
        <f t="shared" si="1"/>
        <v>0</v>
      </c>
      <c r="W58" s="17">
        <f t="shared" si="1"/>
        <v>0</v>
      </c>
      <c r="X58" s="17">
        <f t="shared" si="1"/>
        <v>0</v>
      </c>
      <c r="Y58" s="17">
        <f t="shared" si="1"/>
        <v>-0.14123384195267369</v>
      </c>
      <c r="Z58" s="17">
        <f t="shared" si="1"/>
        <v>0</v>
      </c>
      <c r="AA58" s="17">
        <f t="shared" si="1"/>
        <v>0</v>
      </c>
      <c r="AB58" s="17"/>
      <c r="AC58" s="17">
        <f>IF((AC53-(0))&lt;&gt;0,(AC55)/(AC53-(0)),0)</f>
        <v>-0.45266915651203105</v>
      </c>
      <c r="AD58" s="17"/>
      <c r="AE58" s="17">
        <f ca="1">IF(($AM53-(0))&lt;&gt;0,(AE55)/($AM53-(0)),0)</f>
        <v>0</v>
      </c>
      <c r="AF58" s="17">
        <f ca="1">IF(($AM53-(0))&lt;&gt;0,(AF55)/($AM53-(0)),0)</f>
        <v>0</v>
      </c>
      <c r="AG58" s="17"/>
      <c r="AH58" s="17">
        <f>IF((AH53-(0))&lt;&gt;0,(AH55)/(AH53-(0)),0)</f>
        <v>5.7490204634705687E-2</v>
      </c>
      <c r="AI58" s="17">
        <f>IF((AI53-(0))&lt;&gt;0,(AI55)/(AI53-(0)),0)</f>
        <v>0</v>
      </c>
      <c r="AJ58" s="17">
        <f ca="1">IF((AJ53-(0))&lt;&gt;0,(AJ55)/(AJ53-(0)),0)</f>
        <v>0</v>
      </c>
      <c r="AK58" s="17">
        <f ca="1">IF((AK53-(0))&lt;&gt;0,(AK55)/(AK53-(0)),0)</f>
        <v>0</v>
      </c>
      <c r="AL58" s="17"/>
      <c r="AM58" s="17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796" priority="55" operator="notEqual">
      <formula>$L$54-$L$57</formula>
    </cfRule>
    <cfRule type="cellIs" dxfId="795" priority="56" operator="equal">
      <formula>$L$54-$L$57</formula>
    </cfRule>
  </conditionalFormatting>
  <conditionalFormatting sqref="M53">
    <cfRule type="cellIs" dxfId="794" priority="53" operator="notEqual">
      <formula>$M$54-$M$57</formula>
    </cfRule>
    <cfRule type="cellIs" dxfId="793" priority="54" operator="equal">
      <formula>$M$54-$M$57</formula>
    </cfRule>
  </conditionalFormatting>
  <conditionalFormatting sqref="N53">
    <cfRule type="cellIs" dxfId="792" priority="51" operator="notEqual">
      <formula>$N$54-$N$57</formula>
    </cfRule>
    <cfRule type="cellIs" dxfId="791" priority="52" operator="equal">
      <formula>$N$54-$N$57</formula>
    </cfRule>
  </conditionalFormatting>
  <conditionalFormatting sqref="O53">
    <cfRule type="cellIs" dxfId="790" priority="49" operator="notEqual">
      <formula>$O$54-$O$57</formula>
    </cfRule>
    <cfRule type="cellIs" dxfId="789" priority="50" operator="equal">
      <formula>$O$54-$O$57</formula>
    </cfRule>
  </conditionalFormatting>
  <conditionalFormatting sqref="P53">
    <cfRule type="cellIs" dxfId="788" priority="47" operator="notEqual">
      <formula>$P$54-$P$57</formula>
    </cfRule>
    <cfRule type="cellIs" dxfId="787" priority="48" operator="equal">
      <formula>$P$54-$P$57</formula>
    </cfRule>
  </conditionalFormatting>
  <conditionalFormatting sqref="Q53">
    <cfRule type="cellIs" dxfId="786" priority="45" operator="notEqual">
      <formula>$Q$54-$Q$57</formula>
    </cfRule>
    <cfRule type="cellIs" dxfId="785" priority="46" operator="equal">
      <formula>$Q$54-$Q$57</formula>
    </cfRule>
  </conditionalFormatting>
  <conditionalFormatting sqref="R53">
    <cfRule type="cellIs" dxfId="784" priority="43" operator="notEqual">
      <formula>$R$54-$R$57</formula>
    </cfRule>
    <cfRule type="cellIs" dxfId="783" priority="44" operator="equal">
      <formula>$R$54-$R$57</formula>
    </cfRule>
  </conditionalFormatting>
  <conditionalFormatting sqref="S53">
    <cfRule type="cellIs" dxfId="782" priority="41" operator="notEqual">
      <formula>$S$54-$S$57</formula>
    </cfRule>
    <cfRule type="cellIs" dxfId="781" priority="42" operator="equal">
      <formula>$S$54-$S$57</formula>
    </cfRule>
  </conditionalFormatting>
  <conditionalFormatting sqref="T53">
    <cfRule type="cellIs" dxfId="780" priority="39" operator="notEqual">
      <formula>$T$54-$T$57</formula>
    </cfRule>
    <cfRule type="cellIs" dxfId="779" priority="40" operator="equal">
      <formula>$T$54-$T$57</formula>
    </cfRule>
  </conditionalFormatting>
  <conditionalFormatting sqref="U53">
    <cfRule type="cellIs" dxfId="778" priority="37" operator="notEqual">
      <formula>$U$54-$U$57</formula>
    </cfRule>
    <cfRule type="cellIs" dxfId="777" priority="38" operator="equal">
      <formula>$U$54-$U$57</formula>
    </cfRule>
  </conditionalFormatting>
  <conditionalFormatting sqref="V53">
    <cfRule type="cellIs" dxfId="776" priority="35" operator="notEqual">
      <formula>$V$54-$V$57</formula>
    </cfRule>
    <cfRule type="cellIs" dxfId="775" priority="36" operator="equal">
      <formula>$V$54-$V$57</formula>
    </cfRule>
  </conditionalFormatting>
  <conditionalFormatting sqref="W53">
    <cfRule type="cellIs" dxfId="774" priority="33" operator="notEqual">
      <formula>$W$54-$W$57</formula>
    </cfRule>
    <cfRule type="cellIs" dxfId="773" priority="34" operator="equal">
      <formula>$W$54-$W$57</formula>
    </cfRule>
  </conditionalFormatting>
  <conditionalFormatting sqref="X53">
    <cfRule type="cellIs" dxfId="772" priority="31" operator="notEqual">
      <formula>$X$54-$X$57</formula>
    </cfRule>
    <cfRule type="cellIs" dxfId="771" priority="32" operator="equal">
      <formula>$X$54-$X$57</formula>
    </cfRule>
  </conditionalFormatting>
  <conditionalFormatting sqref="Y53">
    <cfRule type="cellIs" dxfId="770" priority="29" operator="notEqual">
      <formula>$Y$54-$Y$57</formula>
    </cfRule>
    <cfRule type="cellIs" dxfId="769" priority="30" operator="equal">
      <formula>$Y$54-$Y$57</formula>
    </cfRule>
  </conditionalFormatting>
  <conditionalFormatting sqref="Z53">
    <cfRule type="cellIs" dxfId="768" priority="27" operator="notEqual">
      <formula>$Z$54-$Z$57</formula>
    </cfRule>
    <cfRule type="cellIs" dxfId="767" priority="28" operator="equal">
      <formula>$Z$54-$Z$57</formula>
    </cfRule>
  </conditionalFormatting>
  <conditionalFormatting sqref="AA53">
    <cfRule type="cellIs" dxfId="766" priority="25" operator="notEqual">
      <formula>$AA$54-$AA$57</formula>
    </cfRule>
    <cfRule type="cellIs" dxfId="765" priority="26" operator="equal">
      <formula>$AA$54-$AA$57</formula>
    </cfRule>
  </conditionalFormatting>
  <conditionalFormatting sqref="AB53">
    <cfRule type="cellIs" dxfId="764" priority="23" operator="notEqual">
      <formula>$AB$54-$AB$57</formula>
    </cfRule>
    <cfRule type="cellIs" dxfId="763" priority="24" operator="equal">
      <formula>$AB$54-$AB$57</formula>
    </cfRule>
  </conditionalFormatting>
  <conditionalFormatting sqref="AC53">
    <cfRule type="cellIs" dxfId="762" priority="21" operator="notEqual">
      <formula>$AC$54-$AC$57</formula>
    </cfRule>
    <cfRule type="cellIs" dxfId="761" priority="22" operator="equal">
      <formula>$AC$54-$AC$57</formula>
    </cfRule>
  </conditionalFormatting>
  <conditionalFormatting sqref="AD53">
    <cfRule type="cellIs" dxfId="760" priority="19" operator="notEqual">
      <formula>$AD$54-$AD$57</formula>
    </cfRule>
    <cfRule type="cellIs" dxfId="759" priority="20" operator="equal">
      <formula>$AD$54-$AD$57</formula>
    </cfRule>
  </conditionalFormatting>
  <conditionalFormatting sqref="AE53">
    <cfRule type="cellIs" dxfId="758" priority="17" operator="notEqual">
      <formula>$AE$54-$AE$57</formula>
    </cfRule>
    <cfRule type="cellIs" dxfId="757" priority="18" operator="equal">
      <formula>$AE$54-$AE$57</formula>
    </cfRule>
  </conditionalFormatting>
  <conditionalFormatting sqref="AF53">
    <cfRule type="cellIs" dxfId="756" priority="16" operator="equal">
      <formula>$AF$54-$AF$57</formula>
    </cfRule>
  </conditionalFormatting>
  <conditionalFormatting sqref="AF53">
    <cfRule type="cellIs" dxfId="755" priority="15" operator="notEqual">
      <formula>$AF$54-$AF$57</formula>
    </cfRule>
  </conditionalFormatting>
  <conditionalFormatting sqref="AG53">
    <cfRule type="cellIs" dxfId="754" priority="14" operator="equal">
      <formula>$AG$54-$AG$57</formula>
    </cfRule>
  </conditionalFormatting>
  <conditionalFormatting sqref="AG53">
    <cfRule type="cellIs" dxfId="753" priority="13" operator="notEqual">
      <formula>$AG$54-$AG$57</formula>
    </cfRule>
  </conditionalFormatting>
  <conditionalFormatting sqref="AH53">
    <cfRule type="cellIs" dxfId="752" priority="12" operator="equal">
      <formula>$AH$54-$AH$57</formula>
    </cfRule>
  </conditionalFormatting>
  <conditionalFormatting sqref="AH53">
    <cfRule type="cellIs" dxfId="751" priority="11" operator="notEqual">
      <formula>$AH$54-$AH$57</formula>
    </cfRule>
  </conditionalFormatting>
  <conditionalFormatting sqref="AI53">
    <cfRule type="cellIs" dxfId="750" priority="10" operator="equal">
      <formula>$AI$54-$AI$57</formula>
    </cfRule>
  </conditionalFormatting>
  <conditionalFormatting sqref="AI53">
    <cfRule type="cellIs" dxfId="749" priority="9" operator="notEqual">
      <formula>$AI$54-$AI$57</formula>
    </cfRule>
  </conditionalFormatting>
  <conditionalFormatting sqref="AJ53">
    <cfRule type="cellIs" dxfId="748" priority="8" operator="equal">
      <formula>$AJ$54-$AJ$57</formula>
    </cfRule>
  </conditionalFormatting>
  <conditionalFormatting sqref="AJ53">
    <cfRule type="cellIs" dxfId="747" priority="7" operator="notEqual">
      <formula>$AJ$54-$AJ$57</formula>
    </cfRule>
  </conditionalFormatting>
  <conditionalFormatting sqref="AK53">
    <cfRule type="cellIs" dxfId="746" priority="6" operator="equal">
      <formula>$AK$54-$AK$57</formula>
    </cfRule>
  </conditionalFormatting>
  <conditionalFormatting sqref="AK53">
    <cfRule type="cellIs" dxfId="745" priority="5" operator="notEqual">
      <formula>$AK$54-$AK$57</formula>
    </cfRule>
  </conditionalFormatting>
  <conditionalFormatting sqref="AL53">
    <cfRule type="cellIs" dxfId="744" priority="4" operator="equal">
      <formula>$AL$54-$AL$57</formula>
    </cfRule>
  </conditionalFormatting>
  <conditionalFormatting sqref="AL53">
    <cfRule type="cellIs" dxfId="743" priority="3" operator="notEqual">
      <formula>$AL$54-$AL$57</formula>
    </cfRule>
  </conditionalFormatting>
  <conditionalFormatting sqref="AM53">
    <cfRule type="cellIs" dxfId="742" priority="2" operator="equal">
      <formula>$AM$54-$AM$57</formula>
    </cfRule>
  </conditionalFormatting>
  <conditionalFormatting sqref="AM53">
    <cfRule type="cellIs" dxfId="741" priority="1" operator="notEqual">
      <formula>$AM$54-$AM$57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5253-8E83-44FE-830D-781E85E60304}">
  <sheetPr codeName="Planilha10"/>
  <dimension ref="A1:AP58"/>
  <sheetViews>
    <sheetView showGridLines="0" topLeftCell="Y1" workbookViewId="0">
      <selection activeCell="AO53" sqref="AO53:AP5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8.7109375" style="9" bestFit="1" customWidth="1"/>
    <col min="14" max="15" width="4.140625" style="9" bestFit="1" customWidth="1"/>
    <col min="16" max="16" width="4.42578125" style="9" bestFit="1" customWidth="1"/>
    <col min="17" max="18" width="10" style="9" bestFit="1" customWidth="1"/>
    <col min="19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.855468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1.4257812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95" t="s">
        <v>62</v>
      </c>
      <c r="B1" s="95" t="s">
        <v>63</v>
      </c>
      <c r="C1" s="95" t="s">
        <v>64</v>
      </c>
      <c r="D1" s="95" t="s">
        <v>65</v>
      </c>
      <c r="E1" s="95" t="s">
        <v>66</v>
      </c>
      <c r="F1" s="95" t="s">
        <v>15</v>
      </c>
      <c r="G1" s="95" t="s">
        <v>68</v>
      </c>
      <c r="H1" s="95" t="s">
        <v>69</v>
      </c>
      <c r="I1" s="95" t="s">
        <v>487</v>
      </c>
      <c r="J1" s="90"/>
      <c r="L1" s="96" t="s">
        <v>498</v>
      </c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O1" s="29"/>
      <c r="AP1" s="99" t="s">
        <v>489</v>
      </c>
    </row>
    <row r="2" spans="1:42" ht="11.25" customHeight="1" x14ac:dyDescent="0.25">
      <c r="A2" s="95"/>
      <c r="B2" s="95"/>
      <c r="C2" s="95"/>
      <c r="D2" s="95"/>
      <c r="E2" s="95"/>
      <c r="F2" s="95"/>
      <c r="G2" s="95"/>
      <c r="H2" s="95"/>
      <c r="I2" s="95"/>
      <c r="J2" s="90"/>
      <c r="L2" s="96" t="s">
        <v>386</v>
      </c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O2" s="29"/>
      <c r="AP2" s="100"/>
    </row>
    <row r="3" spans="1:42" ht="11.25" customHeight="1" x14ac:dyDescent="0.25">
      <c r="A3" s="95"/>
      <c r="B3" s="95"/>
      <c r="C3" s="95"/>
      <c r="D3" s="95"/>
      <c r="E3" s="95"/>
      <c r="F3" s="95"/>
      <c r="G3" s="95"/>
      <c r="H3" s="95"/>
      <c r="I3" s="95"/>
      <c r="J3" s="90"/>
      <c r="L3" s="96" t="s">
        <v>387</v>
      </c>
      <c r="M3" s="96"/>
      <c r="N3" s="96"/>
      <c r="O3" s="96"/>
      <c r="P3" s="96"/>
      <c r="Q3" s="96"/>
      <c r="R3" s="96"/>
      <c r="S3" s="96"/>
      <c r="T3" s="96"/>
      <c r="U3" s="96" t="s">
        <v>396</v>
      </c>
      <c r="V3" s="96"/>
      <c r="W3" s="96"/>
      <c r="X3" s="96"/>
      <c r="Y3" s="96"/>
      <c r="Z3" s="96"/>
      <c r="AA3" s="96"/>
      <c r="AB3" s="96"/>
      <c r="AC3" s="96" t="s">
        <v>404</v>
      </c>
      <c r="AD3" s="96"/>
      <c r="AE3" s="96" t="s">
        <v>406</v>
      </c>
      <c r="AF3" s="96"/>
      <c r="AG3" s="96"/>
      <c r="AH3" s="96" t="s">
        <v>409</v>
      </c>
      <c r="AI3" s="96"/>
      <c r="AJ3" s="96"/>
      <c r="AK3" s="96"/>
      <c r="AL3" s="96"/>
      <c r="AM3" s="96" t="s">
        <v>395</v>
      </c>
      <c r="AO3" s="29"/>
      <c r="AP3" s="100"/>
    </row>
    <row r="4" spans="1:42" ht="11.25" customHeight="1" x14ac:dyDescent="0.25">
      <c r="A4" s="95"/>
      <c r="B4" s="95"/>
      <c r="C4" s="95"/>
      <c r="D4" s="95"/>
      <c r="E4" s="95"/>
      <c r="F4" s="95"/>
      <c r="G4" s="95"/>
      <c r="H4" s="95"/>
      <c r="I4" s="95"/>
      <c r="J4" s="90"/>
      <c r="L4" s="25" t="s">
        <v>472</v>
      </c>
      <c r="M4" s="25" t="s">
        <v>388</v>
      </c>
      <c r="N4" s="25" t="s">
        <v>389</v>
      </c>
      <c r="O4" s="25" t="s">
        <v>390</v>
      </c>
      <c r="P4" s="25" t="s">
        <v>391</v>
      </c>
      <c r="Q4" s="25" t="s">
        <v>392</v>
      </c>
      <c r="R4" s="25" t="s">
        <v>393</v>
      </c>
      <c r="S4" s="25" t="s">
        <v>394</v>
      </c>
      <c r="T4" s="25" t="s">
        <v>395</v>
      </c>
      <c r="U4" s="25" t="s">
        <v>397</v>
      </c>
      <c r="V4" s="25" t="s">
        <v>398</v>
      </c>
      <c r="W4" s="25" t="s">
        <v>399</v>
      </c>
      <c r="X4" s="25" t="s">
        <v>400</v>
      </c>
      <c r="Y4" s="25" t="s">
        <v>401</v>
      </c>
      <c r="Z4" s="25" t="s">
        <v>402</v>
      </c>
      <c r="AA4" s="25" t="s">
        <v>403</v>
      </c>
      <c r="AB4" s="25" t="s">
        <v>395</v>
      </c>
      <c r="AC4" s="25" t="s">
        <v>405</v>
      </c>
      <c r="AD4" s="25" t="s">
        <v>395</v>
      </c>
      <c r="AE4" s="25" t="s">
        <v>407</v>
      </c>
      <c r="AF4" s="25" t="s">
        <v>408</v>
      </c>
      <c r="AG4" s="25" t="s">
        <v>395</v>
      </c>
      <c r="AH4" s="25" t="s">
        <v>410</v>
      </c>
      <c r="AI4" s="25" t="s">
        <v>411</v>
      </c>
      <c r="AJ4" s="25" t="s">
        <v>412</v>
      </c>
      <c r="AK4" s="25" t="s">
        <v>413</v>
      </c>
      <c r="AL4" s="25" t="s">
        <v>395</v>
      </c>
      <c r="AM4" s="98"/>
      <c r="AO4" s="30" t="s">
        <v>500</v>
      </c>
      <c r="AP4" s="101"/>
    </row>
    <row r="5" spans="1:42" ht="11.25" customHeight="1" x14ac:dyDescent="0.25">
      <c r="A5" s="94" t="s">
        <v>35</v>
      </c>
      <c r="B5" s="94" t="s">
        <v>48</v>
      </c>
      <c r="C5" s="94" t="s">
        <v>25</v>
      </c>
      <c r="D5" s="94" t="s">
        <v>25</v>
      </c>
      <c r="E5" s="94" t="s">
        <v>25</v>
      </c>
      <c r="F5" s="94" t="s">
        <v>25</v>
      </c>
      <c r="G5" s="27" t="s">
        <v>76</v>
      </c>
      <c r="H5" s="27" t="s">
        <v>75</v>
      </c>
      <c r="I5" s="27">
        <f>'MERCADO TUSD'!$U$2</f>
        <v>5811</v>
      </c>
      <c r="J5" s="15"/>
      <c r="L5" s="17">
        <f>'TUSD BE'!$L$5*'TUSD BE'!$L$58</f>
        <v>0</v>
      </c>
      <c r="M5" s="17">
        <f>'TUSD BE'!$M$5*'TUSD BE'!$M$58</f>
        <v>0</v>
      </c>
      <c r="N5" s="17">
        <f ca="1">'TUSD BE'!$N$5*'TUSD BE'!$N$58</f>
        <v>0</v>
      </c>
      <c r="O5" s="17">
        <f>'TUSD BE'!$O$5*'TUSD BE'!$O$58</f>
        <v>0</v>
      </c>
      <c r="P5" s="17">
        <f>'TUSD BE'!$P$5*'TUSD BE'!$P$58</f>
        <v>0</v>
      </c>
      <c r="Q5" s="17">
        <f>'TUSD BE'!$Q$5*'TUSD BE'!$Q$58</f>
        <v>0</v>
      </c>
      <c r="R5" s="17">
        <f>'TUSD BE'!$R$5*'TUSD BE'!$R$58</f>
        <v>0</v>
      </c>
      <c r="S5" s="17">
        <f>'TUSD BE'!$R$5*'TUSD BE'!$S$58</f>
        <v>0</v>
      </c>
      <c r="T5" s="17">
        <f ca="1">SUM($L$5:$S$5)</f>
        <v>0</v>
      </c>
      <c r="U5" s="17">
        <f>'TUSD BE'!$U$5*'TUSD BE'!$U$58</f>
        <v>0</v>
      </c>
      <c r="V5" s="17">
        <f>'TUSD BE'!$V$5*'TUSD BE'!$V$58</f>
        <v>0</v>
      </c>
      <c r="W5" s="17">
        <f>'TUSD BE'!$W$5*'TUSD BE'!$W$58</f>
        <v>0</v>
      </c>
      <c r="X5" s="17">
        <f>'TUSD BE'!$X$5*'TUSD BE'!$X$58</f>
        <v>0</v>
      </c>
      <c r="Y5" s="17">
        <f>'TUSD BE'!$Y$5*'TUSD BE'!$Y$58</f>
        <v>-5.1531966388836432</v>
      </c>
      <c r="Z5" s="17">
        <f>'TUSD BE'!$Z$5*'TUSD BE'!$Z$58</f>
        <v>0</v>
      </c>
      <c r="AA5" s="17">
        <f>'TUSD BE'!$AA$5*'TUSD BE'!$AA$58</f>
        <v>0</v>
      </c>
      <c r="AB5" s="17">
        <f>SUM($U$5:$AA$5)</f>
        <v>-5.1531966388836432</v>
      </c>
      <c r="AC5" s="17">
        <f>'TUSD BE'!$AC$5*'TUSD BE'!$AC$58</f>
        <v>-37.07025538805344</v>
      </c>
      <c r="AD5" s="17">
        <f>SUM($AC$5:$AC$5)</f>
        <v>-37.07025538805344</v>
      </c>
      <c r="AE5" s="17">
        <f ca="1">$AO$5*$AO$55</f>
        <v>0</v>
      </c>
      <c r="AF5" s="17">
        <f ca="1">$AP$5*$AP$55</f>
        <v>0</v>
      </c>
      <c r="AG5" s="17">
        <f ca="1">SUM($AE$5:$AF$5)</f>
        <v>0</v>
      </c>
      <c r="AH5" s="17">
        <f>'TUSD BE'!$AH$5*'TUSD BE'!$AH$58</f>
        <v>0</v>
      </c>
      <c r="AI5" s="17">
        <f>'TUSD BE'!$AI$5*'TUSD BE'!$AI$58</f>
        <v>0</v>
      </c>
      <c r="AJ5" s="17">
        <f ca="1">'TUSD BE'!$AJ$5*'TUSD BE'!$AJ$58</f>
        <v>0</v>
      </c>
      <c r="AK5" s="17">
        <f ca="1">'TUSD BE'!$AK$5*'TUSD BE'!$AK$58</f>
        <v>0</v>
      </c>
      <c r="AL5" s="17">
        <f ca="1">SUM($AH$5:$AK$5)</f>
        <v>0</v>
      </c>
      <c r="AM5" s="17">
        <f ca="1">SUMIF($L$4:$AL$4,"SUBTOTAL",$L$5:$AL$5)</f>
        <v>-42.223452026937082</v>
      </c>
      <c r="AO5" s="29">
        <f ca="1">+'TUSD BE'!$T$5+'TUSD BE'!$AB$5+'TUSD BE'!$AD$5+'TUSD BE'!$AL$5</f>
        <v>118.37958462592212</v>
      </c>
      <c r="AP5" s="29">
        <f ca="1">+'TUSD BE'!$T$5+'TUSD BE'!$AB$5+'TUSD BE'!$AD$5+'TUSD BE'!$AL$5</f>
        <v>118.37958462592212</v>
      </c>
    </row>
    <row r="6" spans="1:42" ht="11.25" customHeight="1" x14ac:dyDescent="0.25">
      <c r="A6" s="94"/>
      <c r="B6" s="94"/>
      <c r="C6" s="94"/>
      <c r="D6" s="94"/>
      <c r="E6" s="94"/>
      <c r="F6" s="94"/>
      <c r="G6" s="27" t="s">
        <v>77</v>
      </c>
      <c r="H6" s="27" t="s">
        <v>75</v>
      </c>
      <c r="I6" s="27">
        <f>'MERCADO TUSD'!$U$3</f>
        <v>5810</v>
      </c>
      <c r="J6" s="15"/>
      <c r="L6" s="17">
        <f>'TUSD BE'!$L$6*'TUSD BE'!$L$58</f>
        <v>0</v>
      </c>
      <c r="M6" s="17">
        <f>'TUSD BE'!$M$6*'TUSD BE'!$M$58</f>
        <v>0</v>
      </c>
      <c r="N6" s="17">
        <f ca="1">'TUSD BE'!$N$6*'TUSD BE'!$N$58</f>
        <v>0</v>
      </c>
      <c r="O6" s="17">
        <f>'TUSD BE'!$O$6*'TUSD BE'!$O$58</f>
        <v>0</v>
      </c>
      <c r="P6" s="17">
        <f>'TUSD BE'!$P$6*'TUSD BE'!$P$58</f>
        <v>0</v>
      </c>
      <c r="Q6" s="17">
        <f>'TUSD BE'!$Q$6*'TUSD BE'!$Q$58</f>
        <v>0</v>
      </c>
      <c r="R6" s="17">
        <f>'TUSD BE'!$R$6*'TUSD BE'!$R$58</f>
        <v>0</v>
      </c>
      <c r="S6" s="17">
        <f>'TUSD BE'!$R$6*'TUSD BE'!$S$58</f>
        <v>0</v>
      </c>
      <c r="T6" s="17">
        <f ca="1">SUM($L$6:$S$6)</f>
        <v>0</v>
      </c>
      <c r="U6" s="17">
        <f>'TUSD BE'!$U$6*'TUSD BE'!$U$58</f>
        <v>0</v>
      </c>
      <c r="V6" s="17">
        <f>'TUSD BE'!$V$6*'TUSD BE'!$V$58</f>
        <v>0</v>
      </c>
      <c r="W6" s="17">
        <f>'TUSD BE'!$W$6*'TUSD BE'!$W$58</f>
        <v>0</v>
      </c>
      <c r="X6" s="17">
        <f>'TUSD BE'!$X$6*'TUSD BE'!$X$58</f>
        <v>0</v>
      </c>
      <c r="Y6" s="17">
        <f>'TUSD BE'!$Y$6*'TUSD BE'!$Y$58</f>
        <v>-2.0828581117542693</v>
      </c>
      <c r="Z6" s="17">
        <f>'TUSD BE'!$Z$6*'TUSD BE'!$Z$58</f>
        <v>0</v>
      </c>
      <c r="AA6" s="17">
        <f>'TUSD BE'!$AA$6*'TUSD BE'!$AA$58</f>
        <v>0</v>
      </c>
      <c r="AB6" s="17">
        <f>SUM($U$6:$AA$6)</f>
        <v>-2.0828581117542693</v>
      </c>
      <c r="AC6" s="17">
        <f>'TUSD BE'!$AC$6*'TUSD BE'!$AC$58</f>
        <v>-10.358684466389301</v>
      </c>
      <c r="AD6" s="17">
        <f>SUM($AC$6:$AC$6)</f>
        <v>-10.358684466389301</v>
      </c>
      <c r="AE6" s="17">
        <f ca="1">$AO$6*$AO$55</f>
        <v>0</v>
      </c>
      <c r="AF6" s="17">
        <f ca="1">$AP$6*$AP$55</f>
        <v>0</v>
      </c>
      <c r="AG6" s="17">
        <f ca="1">SUM($AE$6:$AF$6)</f>
        <v>0</v>
      </c>
      <c r="AH6" s="17">
        <f>'TUSD BE'!$AH$6*'TUSD BE'!$AH$58</f>
        <v>0</v>
      </c>
      <c r="AI6" s="17">
        <f>'TUSD BE'!$AI$6*'TUSD BE'!$AI$58</f>
        <v>0</v>
      </c>
      <c r="AJ6" s="17">
        <f ca="1">'TUSD BE'!$AJ$6*'TUSD BE'!$AJ$58</f>
        <v>0</v>
      </c>
      <c r="AK6" s="17">
        <f ca="1">'TUSD BE'!$AK$6*'TUSD BE'!$AK$58</f>
        <v>0</v>
      </c>
      <c r="AL6" s="17">
        <f ca="1">SUM($AH$6:$AK$6)</f>
        <v>0</v>
      </c>
      <c r="AM6" s="17">
        <f ca="1">SUMIF($L$4:$AL$4,"SUBTOTAL",$L$6:$AL$6)</f>
        <v>-12.44154257814357</v>
      </c>
      <c r="AO6" s="29">
        <f ca="1">+'TUSD BE'!$T$6+'TUSD BE'!$AB$6+'TUSD BE'!$AD$6+'TUSD BE'!$AL$6</f>
        <v>37.631151043907884</v>
      </c>
      <c r="AP6" s="29">
        <f ca="1">+'TUSD BE'!$T$6+'TUSD BE'!$AB$6+'TUSD BE'!$AD$6+'TUSD BE'!$AL$6</f>
        <v>37.631151043907884</v>
      </c>
    </row>
    <row r="7" spans="1:42" ht="11.25" customHeight="1" x14ac:dyDescent="0.25">
      <c r="A7" s="94"/>
      <c r="B7" s="94"/>
      <c r="C7" s="94"/>
      <c r="D7" s="94"/>
      <c r="E7" s="94"/>
      <c r="F7" s="94"/>
      <c r="G7" s="27" t="s">
        <v>78</v>
      </c>
      <c r="H7" s="27" t="s">
        <v>72</v>
      </c>
      <c r="I7" s="27">
        <f>'MERCADO TUSD'!$U$4</f>
        <v>2834.2459999999996</v>
      </c>
      <c r="J7" s="15"/>
      <c r="L7" s="17">
        <f>'TUSD BE'!$L$7*'TUSD BE'!$L$58</f>
        <v>0</v>
      </c>
      <c r="M7" s="17">
        <f>'TUSD BE'!$M$7*'TUSD BE'!$M$58</f>
        <v>2.9304362874377859E-2</v>
      </c>
      <c r="N7" s="17">
        <f ca="1">'TUSD BE'!$N$7*'TUSD BE'!$N$58</f>
        <v>0</v>
      </c>
      <c r="O7" s="17">
        <f>'TUSD BE'!$O$7*'TUSD BE'!$O$58</f>
        <v>0</v>
      </c>
      <c r="P7" s="17">
        <f>'TUSD BE'!$P$7*'TUSD BE'!$P$58</f>
        <v>0</v>
      </c>
      <c r="Q7" s="17">
        <f>'TUSD BE'!$Q$7*'TUSD BE'!$Q$58</f>
        <v>1.771948671303601</v>
      </c>
      <c r="R7" s="17">
        <f>'TUSD BE'!$R$7*'TUSD BE'!$R$58</f>
        <v>0.30316417787960626</v>
      </c>
      <c r="S7" s="17">
        <f>'TUSD BE'!$R$7*'TUSD BE'!$S$58</f>
        <v>0</v>
      </c>
      <c r="T7" s="17">
        <f ca="1">SUM($L$7:$S$7)</f>
        <v>2.104417212057585</v>
      </c>
      <c r="U7" s="17">
        <f>'TUSD BE'!$U$7*'TUSD BE'!$U$58</f>
        <v>0</v>
      </c>
      <c r="V7" s="17">
        <f>'TUSD BE'!$V$7*'TUSD BE'!$V$58</f>
        <v>0</v>
      </c>
      <c r="W7" s="17">
        <f>'TUSD BE'!$W$7*'TUSD BE'!$W$58</f>
        <v>0</v>
      </c>
      <c r="X7" s="17">
        <f>'TUSD BE'!$X$7*'TUSD BE'!$X$58</f>
        <v>0</v>
      </c>
      <c r="Y7" s="17">
        <f>'TUSD BE'!$Y$7*'TUSD BE'!$Y$58</f>
        <v>0</v>
      </c>
      <c r="Z7" s="17">
        <f>'TUSD BE'!$Z$7*'TUSD BE'!$Z$58</f>
        <v>0</v>
      </c>
      <c r="AA7" s="17">
        <f>'TUSD BE'!$AA$7*'TUSD BE'!$AA$58</f>
        <v>0</v>
      </c>
      <c r="AB7" s="17">
        <f>SUM($U$7:$AA$7)</f>
        <v>0</v>
      </c>
      <c r="AC7" s="17">
        <f>'TUSD BE'!$AC$7*'TUSD BE'!$AC$58</f>
        <v>0</v>
      </c>
      <c r="AD7" s="17">
        <f>SUM($AC$7:$AC$7)</f>
        <v>0</v>
      </c>
      <c r="AE7" s="17">
        <f ca="1">$AO$7*$AO$55</f>
        <v>0</v>
      </c>
      <c r="AF7" s="17">
        <f ca="1">$AP$7*$AP$55</f>
        <v>0</v>
      </c>
      <c r="AG7" s="17">
        <f ca="1">SUM($AE$7:$AF$7)</f>
        <v>0</v>
      </c>
      <c r="AH7" s="17">
        <f>'TUSD BE'!$AH$7*'TUSD BE'!$AH$58</f>
        <v>0.40015883042631456</v>
      </c>
      <c r="AI7" s="17">
        <f>'TUSD BE'!$AI$7*'TUSD BE'!$AI$58</f>
        <v>0</v>
      </c>
      <c r="AJ7" s="17">
        <f ca="1">'TUSD BE'!$AJ$7*'TUSD BE'!$AJ$58</f>
        <v>0</v>
      </c>
      <c r="AK7" s="17">
        <f ca="1">'TUSD BE'!$AK$7*'TUSD BE'!$AK$58</f>
        <v>0</v>
      </c>
      <c r="AL7" s="17">
        <f ca="1">SUM($AH$7:$AK$7)</f>
        <v>0.40015883042631456</v>
      </c>
      <c r="AM7" s="17">
        <f ca="1">SUMIF($L$4:$AL$4,"SUBTOTAL",$L$7:$AL$7)</f>
        <v>2.5045760424838996</v>
      </c>
      <c r="AO7" s="29">
        <f ca="1">+'TUSD BE'!$T$7+'TUSD BE'!$AB$7+'TUSD BE'!$AD$7+'TUSD BE'!$AL$7</f>
        <v>97.343173671127971</v>
      </c>
      <c r="AP7" s="29">
        <f ca="1">+'TUSD BE'!$T$7+'TUSD BE'!$AB$7+'TUSD BE'!$AD$7+'TUSD BE'!$AL$7</f>
        <v>97.343173671127971</v>
      </c>
    </row>
    <row r="8" spans="1:42" ht="11.25" customHeight="1" x14ac:dyDescent="0.25">
      <c r="A8" s="94"/>
      <c r="B8" s="94"/>
      <c r="C8" s="94"/>
      <c r="D8" s="94"/>
      <c r="E8" s="26" t="s">
        <v>79</v>
      </c>
      <c r="F8" s="26" t="s">
        <v>25</v>
      </c>
      <c r="G8" s="27" t="s">
        <v>78</v>
      </c>
      <c r="H8" s="27" t="s">
        <v>72</v>
      </c>
      <c r="I8" s="27">
        <f>'MERCADO TUSD'!$U$5</f>
        <v>0</v>
      </c>
      <c r="J8" s="15"/>
      <c r="L8" s="17">
        <f>'TUSD BE'!$L$8*'TUSD BE'!$L$58</f>
        <v>0</v>
      </c>
      <c r="M8" s="17">
        <f>'TUSD BE'!$M$8*'TUSD BE'!$M$58</f>
        <v>2.9304362874377859E-2</v>
      </c>
      <c r="N8" s="17">
        <f ca="1">'TUSD BE'!$N$8*'TUSD BE'!$N$58</f>
        <v>0</v>
      </c>
      <c r="O8" s="17">
        <f>'TUSD BE'!$O$8*'TUSD BE'!$O$58</f>
        <v>0</v>
      </c>
      <c r="P8" s="17">
        <f>'TUSD BE'!$P$8*'TUSD BE'!$P$58</f>
        <v>0</v>
      </c>
      <c r="Q8" s="17">
        <f>'TUSD BE'!$Q$8*'TUSD BE'!$Q$58</f>
        <v>0</v>
      </c>
      <c r="R8" s="17">
        <f>'TUSD BE'!$R$8*'TUSD BE'!$R$58</f>
        <v>0</v>
      </c>
      <c r="S8" s="17">
        <f>'TUSD BE'!$R$8*'TUSD BE'!$S$58</f>
        <v>0</v>
      </c>
      <c r="T8" s="17">
        <f ca="1">SUM($L$8:$S$8)</f>
        <v>2.9304362874377859E-2</v>
      </c>
      <c r="U8" s="17">
        <f>'TUSD BE'!$U$8*'TUSD BE'!$U$58</f>
        <v>0</v>
      </c>
      <c r="V8" s="17">
        <f>'TUSD BE'!$V$8*'TUSD BE'!$V$58</f>
        <v>0</v>
      </c>
      <c r="W8" s="17">
        <f>'TUSD BE'!$W$8*'TUSD BE'!$W$58</f>
        <v>0</v>
      </c>
      <c r="X8" s="17">
        <f>'TUSD BE'!$X$8*'TUSD BE'!$X$58</f>
        <v>0</v>
      </c>
      <c r="Y8" s="17">
        <f>'TUSD BE'!$Y$8*'TUSD BE'!$Y$58</f>
        <v>0</v>
      </c>
      <c r="Z8" s="17">
        <f>'TUSD BE'!$Z$8*'TUSD BE'!$Z$58</f>
        <v>0</v>
      </c>
      <c r="AA8" s="17">
        <f>'TUSD BE'!$AA$8*'TUSD BE'!$AA$58</f>
        <v>0</v>
      </c>
      <c r="AB8" s="17">
        <f>SUM($U$8:$AA$8)</f>
        <v>0</v>
      </c>
      <c r="AC8" s="17">
        <f>'TUSD BE'!$AC$8*'TUSD BE'!$AC$58</f>
        <v>0</v>
      </c>
      <c r="AD8" s="17">
        <f>SUM($AC$8:$AC$8)</f>
        <v>0</v>
      </c>
      <c r="AE8" s="17">
        <f ca="1">$AO$8*$AO$55</f>
        <v>0</v>
      </c>
      <c r="AF8" s="17">
        <f ca="1">$AP$8*$AP$55</f>
        <v>0</v>
      </c>
      <c r="AG8" s="17">
        <f ca="1">SUM($AE$8:$AF$8)</f>
        <v>0</v>
      </c>
      <c r="AH8" s="17">
        <f>'TUSD BE'!$AH$8*'TUSD BE'!$AH$58</f>
        <v>0.40015883042631456</v>
      </c>
      <c r="AI8" s="17">
        <f>'TUSD BE'!$AI$8*'TUSD BE'!$AI$58</f>
        <v>0</v>
      </c>
      <c r="AJ8" s="17">
        <f ca="1">'TUSD BE'!$AJ$8*'TUSD BE'!$AJ$58</f>
        <v>0</v>
      </c>
      <c r="AK8" s="17">
        <f ca="1">'TUSD BE'!$AK$8*'TUSD BE'!$AK$58</f>
        <v>0</v>
      </c>
      <c r="AL8" s="17">
        <f ca="1">SUM($AH$8:$AK$8)</f>
        <v>0.40015883042631456</v>
      </c>
      <c r="AM8" s="17">
        <f ca="1">SUMIF($L$4:$AL$4,"SUBTOTAL",$L$8:$AL$8)</f>
        <v>0.42946319330069244</v>
      </c>
      <c r="AO8" s="29">
        <f ca="1">+'TUSD BE'!$T$8+'TUSD BE'!$AB$8+'TUSD BE'!$AD$8+'TUSD BE'!$AL$8</f>
        <v>7.7260690034412436</v>
      </c>
      <c r="AP8" s="29">
        <f ca="1">+'TUSD BE'!$T$8+'TUSD BE'!$AB$8+'TUSD BE'!$AD$8+'TUSD BE'!$AL$8</f>
        <v>7.7260690034412436</v>
      </c>
    </row>
    <row r="9" spans="1:42" ht="11.25" customHeight="1" x14ac:dyDescent="0.25">
      <c r="A9" s="94"/>
      <c r="B9" s="26" t="s">
        <v>53</v>
      </c>
      <c r="C9" s="26" t="s">
        <v>25</v>
      </c>
      <c r="D9" s="26" t="s">
        <v>25</v>
      </c>
      <c r="E9" s="26" t="s">
        <v>25</v>
      </c>
      <c r="F9" s="26" t="s">
        <v>25</v>
      </c>
      <c r="G9" s="27" t="s">
        <v>9</v>
      </c>
      <c r="H9" s="27" t="s">
        <v>75</v>
      </c>
      <c r="I9" s="27">
        <f>'MERCADO TUSD'!$U$6</f>
        <v>10908</v>
      </c>
      <c r="J9" s="15"/>
      <c r="L9" s="17">
        <f>'TUSD BE'!$L$9*'TUSD BE'!$L$58</f>
        <v>0</v>
      </c>
      <c r="M9" s="17">
        <f>'TUSD BE'!$M$9*'TUSD BE'!$M$58</f>
        <v>3.9600905206859489E-4</v>
      </c>
      <c r="N9" s="17">
        <f ca="1">'TUSD BE'!$N$9*'TUSD BE'!$N$58</f>
        <v>0</v>
      </c>
      <c r="O9" s="17">
        <f>'TUSD BE'!$O$9*'TUSD BE'!$O$58</f>
        <v>0</v>
      </c>
      <c r="P9" s="17">
        <f>'TUSD BE'!$P$9*'TUSD BE'!$P$58</f>
        <v>0</v>
      </c>
      <c r="Q9" s="17">
        <f>'TUSD BE'!$Q$9*'TUSD BE'!$Q$58</f>
        <v>0</v>
      </c>
      <c r="R9" s="17">
        <f>'TUSD BE'!$R$9*'TUSD BE'!$R$58</f>
        <v>0</v>
      </c>
      <c r="S9" s="17">
        <f>'TUSD BE'!$R$9*'TUSD BE'!$S$58</f>
        <v>0</v>
      </c>
      <c r="T9" s="17">
        <f ca="1">SUM($L$9:$S$9)</f>
        <v>3.9600905206859489E-4</v>
      </c>
      <c r="U9" s="17">
        <f>'TUSD BE'!$U$9*'TUSD BE'!$U$58</f>
        <v>0</v>
      </c>
      <c r="V9" s="17">
        <f>'TUSD BE'!$V$9*'TUSD BE'!$V$58</f>
        <v>0</v>
      </c>
      <c r="W9" s="17">
        <f>'TUSD BE'!$W$9*'TUSD BE'!$W$58</f>
        <v>0</v>
      </c>
      <c r="X9" s="17">
        <f>'TUSD BE'!$X$9*'TUSD BE'!$X$58</f>
        <v>0</v>
      </c>
      <c r="Y9" s="17">
        <f>'TUSD BE'!$Y$9*'TUSD BE'!$Y$58</f>
        <v>0</v>
      </c>
      <c r="Z9" s="17">
        <f>'TUSD BE'!$Z$9*'TUSD BE'!$Z$58</f>
        <v>0</v>
      </c>
      <c r="AA9" s="17">
        <f>'TUSD BE'!$AA$9*'TUSD BE'!$AA$58</f>
        <v>0</v>
      </c>
      <c r="AB9" s="17">
        <f>SUM($U$9:$AA$9)</f>
        <v>0</v>
      </c>
      <c r="AC9" s="17">
        <f>'TUSD BE'!$AC$9*'TUSD BE'!$AC$58</f>
        <v>-2.8117717946327501</v>
      </c>
      <c r="AD9" s="17">
        <f>SUM($AC$9:$AC$9)</f>
        <v>-2.8117717946327501</v>
      </c>
      <c r="AE9" s="17">
        <f ca="1">$AO$9*$AO$55</f>
        <v>0</v>
      </c>
      <c r="AF9" s="17">
        <f ca="1">$AP$9*$AP$55</f>
        <v>0</v>
      </c>
      <c r="AG9" s="17">
        <f ca="1">SUM($AE$9:$AF$9)</f>
        <v>0</v>
      </c>
      <c r="AH9" s="17">
        <f>'TUSD BE'!$AH$9*'TUSD BE'!$AH$58</f>
        <v>0</v>
      </c>
      <c r="AI9" s="17">
        <f>'TUSD BE'!$AI$9*'TUSD BE'!$AI$58</f>
        <v>0</v>
      </c>
      <c r="AJ9" s="17">
        <f ca="1">'TUSD BE'!$AJ$9*'TUSD BE'!$AJ$58</f>
        <v>0</v>
      </c>
      <c r="AK9" s="17">
        <f ca="1">'TUSD BE'!$AK$9*'TUSD BE'!$AK$58</f>
        <v>0</v>
      </c>
      <c r="AL9" s="17">
        <f ca="1">SUM($AH$9:$AK$9)</f>
        <v>0</v>
      </c>
      <c r="AM9" s="17">
        <f ca="1">SUMIF($L$4:$AL$4,"SUBTOTAL",$L$9:$AL$9)</f>
        <v>-2.8113757855806814</v>
      </c>
      <c r="AO9" s="29">
        <f ca="1">+'TUSD BE'!$T$9+'TUSD BE'!$AB$9+'TUSD BE'!$AD$9+'TUSD BE'!$AL$9</f>
        <v>6.2218843259319954</v>
      </c>
      <c r="AP9" s="29">
        <f ca="1">+'TUSD BE'!$T$9+'TUSD BE'!$AB$9+'TUSD BE'!$AD$9+'TUSD BE'!$AL$9</f>
        <v>6.2218843259319954</v>
      </c>
    </row>
    <row r="10" spans="1:42" ht="11.25" customHeight="1" x14ac:dyDescent="0.25">
      <c r="A10" s="94"/>
      <c r="B10" s="94" t="s">
        <v>36</v>
      </c>
      <c r="C10" s="94" t="s">
        <v>25</v>
      </c>
      <c r="D10" s="94" t="s">
        <v>25</v>
      </c>
      <c r="E10" s="94" t="s">
        <v>25</v>
      </c>
      <c r="F10" s="94" t="s">
        <v>25</v>
      </c>
      <c r="G10" s="27" t="s">
        <v>9</v>
      </c>
      <c r="H10" s="27" t="s">
        <v>75</v>
      </c>
      <c r="I10" s="27">
        <f>'MERCADO TUSD'!$U$7</f>
        <v>139673</v>
      </c>
      <c r="J10" s="15"/>
      <c r="L10" s="17">
        <f>'TUSD BE'!$L$10*'TUSD BE'!$L$58</f>
        <v>0</v>
      </c>
      <c r="M10" s="17">
        <f>'TUSD BE'!$M$10*'TUSD BE'!$M$58</f>
        <v>0</v>
      </c>
      <c r="N10" s="17">
        <f ca="1">'TUSD BE'!$N$10*'TUSD BE'!$N$58</f>
        <v>0</v>
      </c>
      <c r="O10" s="17">
        <f>'TUSD BE'!$O$10*'TUSD BE'!$O$58</f>
        <v>0</v>
      </c>
      <c r="P10" s="17">
        <f>'TUSD BE'!$P$10*'TUSD BE'!$P$58</f>
        <v>0</v>
      </c>
      <c r="Q10" s="17">
        <f>'TUSD BE'!$Q$10*'TUSD BE'!$Q$58</f>
        <v>0</v>
      </c>
      <c r="R10" s="17">
        <f>'TUSD BE'!$R$10*'TUSD BE'!$R$58</f>
        <v>0</v>
      </c>
      <c r="S10" s="17">
        <f>'TUSD BE'!$R$10*'TUSD BE'!$S$58</f>
        <v>0</v>
      </c>
      <c r="T10" s="17">
        <f ca="1">SUM($L$10:$S$10)</f>
        <v>0</v>
      </c>
      <c r="U10" s="17">
        <f>'TUSD BE'!$U$10*'TUSD BE'!$U$58</f>
        <v>0</v>
      </c>
      <c r="V10" s="17">
        <f>'TUSD BE'!$V$10*'TUSD BE'!$V$58</f>
        <v>0</v>
      </c>
      <c r="W10" s="17">
        <f>'TUSD BE'!$W$10*'TUSD BE'!$W$58</f>
        <v>0</v>
      </c>
      <c r="X10" s="17">
        <f>'TUSD BE'!$X$10*'TUSD BE'!$X$58</f>
        <v>0</v>
      </c>
      <c r="Y10" s="17">
        <f>'TUSD BE'!$Y$10*'TUSD BE'!$Y$58</f>
        <v>-2.0828581117542693</v>
      </c>
      <c r="Z10" s="17">
        <f>'TUSD BE'!$Z$10*'TUSD BE'!$Z$58</f>
        <v>0</v>
      </c>
      <c r="AA10" s="17">
        <f>'TUSD BE'!$AA$10*'TUSD BE'!$AA$58</f>
        <v>0</v>
      </c>
      <c r="AB10" s="17">
        <f>SUM($U$10:$AA$10)</f>
        <v>-2.0828581117542693</v>
      </c>
      <c r="AC10" s="17">
        <f>'TUSD BE'!$AC$10*'TUSD BE'!$AC$58</f>
        <v>-10.358684466389301</v>
      </c>
      <c r="AD10" s="17">
        <f>SUM($AC$10:$AC$10)</f>
        <v>-10.358684466389301</v>
      </c>
      <c r="AE10" s="17">
        <f ca="1">$AO$10*$AO$55</f>
        <v>0</v>
      </c>
      <c r="AF10" s="17">
        <f ca="1">$AP$10*$AP$55</f>
        <v>0</v>
      </c>
      <c r="AG10" s="17">
        <f ca="1">SUM($AE$10:$AF$10)</f>
        <v>0</v>
      </c>
      <c r="AH10" s="17">
        <f>'TUSD BE'!$AH$10*'TUSD BE'!$AH$58</f>
        <v>0</v>
      </c>
      <c r="AI10" s="17">
        <f>'TUSD BE'!$AI$10*'TUSD BE'!$AI$58</f>
        <v>0</v>
      </c>
      <c r="AJ10" s="17">
        <f ca="1">'TUSD BE'!$AJ$10*'TUSD BE'!$AJ$58</f>
        <v>0</v>
      </c>
      <c r="AK10" s="17">
        <f ca="1">'TUSD BE'!$AK$10*'TUSD BE'!$AK$58</f>
        <v>0</v>
      </c>
      <c r="AL10" s="17">
        <f ca="1">SUM($AH$10:$AK$10)</f>
        <v>0</v>
      </c>
      <c r="AM10" s="17">
        <f ca="1">SUMIF($L$4:$AL$4,"SUBTOTAL",$L$10:$AL$10)</f>
        <v>-12.44154257814357</v>
      </c>
      <c r="AO10" s="29">
        <f ca="1">+'TUSD BE'!$T$10+'TUSD BE'!$AB$10+'TUSD BE'!$AD$10+'TUSD BE'!$AL$10</f>
        <v>37.631151043907884</v>
      </c>
      <c r="AP10" s="29">
        <f ca="1">+'TUSD BE'!$T$10+'TUSD BE'!$AB$10+'TUSD BE'!$AD$10+'TUSD BE'!$AL$10</f>
        <v>37.631151043907884</v>
      </c>
    </row>
    <row r="11" spans="1:42" ht="11.25" customHeight="1" x14ac:dyDescent="0.25">
      <c r="A11" s="94"/>
      <c r="B11" s="94"/>
      <c r="C11" s="94"/>
      <c r="D11" s="94"/>
      <c r="E11" s="94"/>
      <c r="F11" s="94"/>
      <c r="G11" s="27" t="s">
        <v>73</v>
      </c>
      <c r="H11" s="27" t="s">
        <v>72</v>
      </c>
      <c r="I11" s="27">
        <f>'MERCADO TUSD'!$U$8</f>
        <v>1014.939</v>
      </c>
      <c r="J11" s="15"/>
      <c r="L11" s="17">
        <f>'TUSD BE'!$L$11*'TUSD BE'!$L$58</f>
        <v>0</v>
      </c>
      <c r="M11" s="17">
        <f>'TUSD BE'!$M$11*'TUSD BE'!$M$58</f>
        <v>2.9304362874377859E-2</v>
      </c>
      <c r="N11" s="17">
        <f ca="1">'TUSD BE'!$N$11*'TUSD BE'!$N$58</f>
        <v>0</v>
      </c>
      <c r="O11" s="17">
        <f>'TUSD BE'!$O$11*'TUSD BE'!$O$58</f>
        <v>0</v>
      </c>
      <c r="P11" s="17">
        <f>'TUSD BE'!$P$11*'TUSD BE'!$P$58</f>
        <v>0</v>
      </c>
      <c r="Q11" s="17">
        <f>'TUSD BE'!$Q$11*'TUSD BE'!$Q$58</f>
        <v>1.771948671303601</v>
      </c>
      <c r="R11" s="17">
        <f>'TUSD BE'!$R$11*'TUSD BE'!$R$58</f>
        <v>0.30316417787960626</v>
      </c>
      <c r="S11" s="17">
        <f>'TUSD BE'!$R$11*'TUSD BE'!$S$58</f>
        <v>0</v>
      </c>
      <c r="T11" s="17">
        <f ca="1">SUM($L$11:$S$11)</f>
        <v>2.104417212057585</v>
      </c>
      <c r="U11" s="17">
        <f>'TUSD BE'!$U$11*'TUSD BE'!$U$58</f>
        <v>0</v>
      </c>
      <c r="V11" s="17">
        <f>'TUSD BE'!$V$11*'TUSD BE'!$V$58</f>
        <v>0</v>
      </c>
      <c r="W11" s="17">
        <f>'TUSD BE'!$W$11*'TUSD BE'!$W$58</f>
        <v>0</v>
      </c>
      <c r="X11" s="17">
        <f>'TUSD BE'!$X$11*'TUSD BE'!$X$58</f>
        <v>0</v>
      </c>
      <c r="Y11" s="17">
        <f>'TUSD BE'!$Y$11*'TUSD BE'!$Y$58</f>
        <v>-123.98367819215427</v>
      </c>
      <c r="Z11" s="17">
        <f>'TUSD BE'!$Z$11*'TUSD BE'!$Z$58</f>
        <v>0</v>
      </c>
      <c r="AA11" s="17">
        <f>'TUSD BE'!$AA$11*'TUSD BE'!$AA$58</f>
        <v>0</v>
      </c>
      <c r="AB11" s="17">
        <f>SUM($U$11:$AA$11)</f>
        <v>-123.98367819215427</v>
      </c>
      <c r="AC11" s="17">
        <f>'TUSD BE'!$AC$11*'TUSD BE'!$AC$58</f>
        <v>-891.54037086537187</v>
      </c>
      <c r="AD11" s="17">
        <f>SUM($AC$11:$AC$11)</f>
        <v>-891.54037086537187</v>
      </c>
      <c r="AE11" s="17">
        <f ca="1">$AO$11*$AO$55</f>
        <v>0</v>
      </c>
      <c r="AF11" s="17">
        <f ca="1">$AP$11*$AP$55</f>
        <v>0</v>
      </c>
      <c r="AG11" s="17">
        <f ca="1">SUM($AE$11:$AF$11)</f>
        <v>0</v>
      </c>
      <c r="AH11" s="17">
        <f>'TUSD BE'!$AH$11*'TUSD BE'!$AH$58</f>
        <v>0.40015883042631456</v>
      </c>
      <c r="AI11" s="17">
        <f>'TUSD BE'!$AI$11*'TUSD BE'!$AI$58</f>
        <v>0</v>
      </c>
      <c r="AJ11" s="17">
        <f ca="1">'TUSD BE'!$AJ$11*'TUSD BE'!$AJ$58</f>
        <v>0</v>
      </c>
      <c r="AK11" s="17">
        <f ca="1">'TUSD BE'!$AK$11*'TUSD BE'!$AK$58</f>
        <v>0</v>
      </c>
      <c r="AL11" s="17">
        <f ca="1">SUM($AH$11:$AK$11)</f>
        <v>0.40015883042631456</v>
      </c>
      <c r="AM11" s="17">
        <f ca="1">SUMIF($L$4:$AL$4,"SUBTOTAL",$L$11:$AL$11)</f>
        <v>-1013.0194730150422</v>
      </c>
      <c r="AO11" s="29">
        <f ca="1">+'TUSD BE'!$T$11+'TUSD BE'!$AB$11+'TUSD BE'!$AD$11+'TUSD BE'!$AL$11</f>
        <v>2944.722853482438</v>
      </c>
      <c r="AP11" s="29">
        <f ca="1">+'TUSD BE'!$T$11+'TUSD BE'!$AB$11+'TUSD BE'!$AD$11+'TUSD BE'!$AL$11</f>
        <v>2944.722853482438</v>
      </c>
    </row>
    <row r="12" spans="1:42" ht="11.25" customHeight="1" x14ac:dyDescent="0.25">
      <c r="A12" s="94"/>
      <c r="B12" s="94"/>
      <c r="C12" s="94"/>
      <c r="D12" s="94"/>
      <c r="E12" s="94"/>
      <c r="F12" s="94"/>
      <c r="G12" s="27" t="s">
        <v>74</v>
      </c>
      <c r="H12" s="27" t="s">
        <v>72</v>
      </c>
      <c r="I12" s="27">
        <f>'MERCADO TUSD'!$U$9</f>
        <v>28226.924000000003</v>
      </c>
      <c r="J12" s="15"/>
      <c r="L12" s="17">
        <f>'TUSD BE'!$L$12*'TUSD BE'!$L$58</f>
        <v>0</v>
      </c>
      <c r="M12" s="17">
        <f>'TUSD BE'!$M$12*'TUSD BE'!$M$58</f>
        <v>2.9304362874377859E-2</v>
      </c>
      <c r="N12" s="17">
        <f ca="1">'TUSD BE'!$N$12*'TUSD BE'!$N$58</f>
        <v>0</v>
      </c>
      <c r="O12" s="17">
        <f>'TUSD BE'!$O$12*'TUSD BE'!$O$58</f>
        <v>0</v>
      </c>
      <c r="P12" s="17">
        <f>'TUSD BE'!$P$12*'TUSD BE'!$P$58</f>
        <v>0</v>
      </c>
      <c r="Q12" s="17">
        <f>'TUSD BE'!$Q$12*'TUSD BE'!$Q$58</f>
        <v>1.771948671303601</v>
      </c>
      <c r="R12" s="17">
        <f>'TUSD BE'!$R$12*'TUSD BE'!$R$58</f>
        <v>0.30316417787960626</v>
      </c>
      <c r="S12" s="17">
        <f>'TUSD BE'!$R$12*'TUSD BE'!$S$58</f>
        <v>0</v>
      </c>
      <c r="T12" s="17">
        <f ca="1">SUM($L$12:$S$12)</f>
        <v>2.104417212057585</v>
      </c>
      <c r="U12" s="17">
        <f>'TUSD BE'!$U$12*'TUSD BE'!$U$58</f>
        <v>0</v>
      </c>
      <c r="V12" s="17">
        <f>'TUSD BE'!$V$12*'TUSD BE'!$V$58</f>
        <v>0</v>
      </c>
      <c r="W12" s="17">
        <f>'TUSD BE'!$W$12*'TUSD BE'!$W$58</f>
        <v>0</v>
      </c>
      <c r="X12" s="17">
        <f>'TUSD BE'!$X$12*'TUSD BE'!$X$58</f>
        <v>0</v>
      </c>
      <c r="Y12" s="17">
        <f>'TUSD BE'!$Y$12*'TUSD BE'!$Y$58</f>
        <v>0</v>
      </c>
      <c r="Z12" s="17">
        <f>'TUSD BE'!$Z$12*'TUSD BE'!$Z$58</f>
        <v>0</v>
      </c>
      <c r="AA12" s="17">
        <f>'TUSD BE'!$AA$12*'TUSD BE'!$AA$58</f>
        <v>0</v>
      </c>
      <c r="AB12" s="17">
        <f>SUM($U$12:$AA$12)</f>
        <v>0</v>
      </c>
      <c r="AC12" s="17">
        <f>'TUSD BE'!$AC$12*'TUSD BE'!$AC$58</f>
        <v>0</v>
      </c>
      <c r="AD12" s="17">
        <f>SUM($AC$12:$AC$12)</f>
        <v>0</v>
      </c>
      <c r="AE12" s="17">
        <f ca="1">$AO$12*$AO$55</f>
        <v>0</v>
      </c>
      <c r="AF12" s="17">
        <f ca="1">$AP$12*$AP$55</f>
        <v>0</v>
      </c>
      <c r="AG12" s="17">
        <f ca="1">SUM($AE$12:$AF$12)</f>
        <v>0</v>
      </c>
      <c r="AH12" s="17">
        <f>'TUSD BE'!$AH$12*'TUSD BE'!$AH$58</f>
        <v>0.40015883042631456</v>
      </c>
      <c r="AI12" s="17">
        <f>'TUSD BE'!$AI$12*'TUSD BE'!$AI$58</f>
        <v>0</v>
      </c>
      <c r="AJ12" s="17">
        <f ca="1">'TUSD BE'!$AJ$12*'TUSD BE'!$AJ$58</f>
        <v>0</v>
      </c>
      <c r="AK12" s="17">
        <f ca="1">'TUSD BE'!$AK$12*'TUSD BE'!$AK$58</f>
        <v>0</v>
      </c>
      <c r="AL12" s="17">
        <f ca="1">SUM($AH$12:$AK$12)</f>
        <v>0.40015883042631456</v>
      </c>
      <c r="AM12" s="17">
        <f ca="1">SUMIF($L$4:$AL$4,"SUBTOTAL",$L$12:$AL$12)</f>
        <v>2.5045760424838996</v>
      </c>
      <c r="AO12" s="29">
        <f ca="1">+'TUSD BE'!$T$12+'TUSD BE'!$AB$12+'TUSD BE'!$AD$12+'TUSD BE'!$AL$12</f>
        <v>97.343173671127971</v>
      </c>
      <c r="AP12" s="29">
        <f ca="1">+'TUSD BE'!$T$12+'TUSD BE'!$AB$12+'TUSD BE'!$AD$12+'TUSD BE'!$AL$12</f>
        <v>97.343173671127971</v>
      </c>
    </row>
    <row r="13" spans="1:42" ht="11.25" customHeight="1" x14ac:dyDescent="0.25">
      <c r="A13" s="94"/>
      <c r="B13" s="94"/>
      <c r="C13" s="94"/>
      <c r="D13" s="94"/>
      <c r="E13" s="94" t="s">
        <v>79</v>
      </c>
      <c r="F13" s="94" t="s">
        <v>25</v>
      </c>
      <c r="G13" s="27" t="s">
        <v>73</v>
      </c>
      <c r="H13" s="27" t="s">
        <v>72</v>
      </c>
      <c r="I13" s="27">
        <f>'MERCADO TUSD'!$U$10</f>
        <v>0</v>
      </c>
      <c r="J13" s="15"/>
      <c r="L13" s="17">
        <f>'TUSD BE'!$L$13*'TUSD BE'!$L$58</f>
        <v>0</v>
      </c>
      <c r="M13" s="17">
        <f>'TUSD BE'!$M$13*'TUSD BE'!$M$58</f>
        <v>2.9304362874377859E-2</v>
      </c>
      <c r="N13" s="17">
        <f ca="1">'TUSD BE'!$N$13*'TUSD BE'!$N$58</f>
        <v>0</v>
      </c>
      <c r="O13" s="17">
        <f>'TUSD BE'!$O$13*'TUSD BE'!$O$58</f>
        <v>0</v>
      </c>
      <c r="P13" s="17">
        <f>'TUSD BE'!$P$13*'TUSD BE'!$P$58</f>
        <v>0</v>
      </c>
      <c r="Q13" s="17">
        <f>'TUSD BE'!$Q$13*'TUSD BE'!$Q$58</f>
        <v>0</v>
      </c>
      <c r="R13" s="17">
        <f>'TUSD BE'!$R$13*'TUSD BE'!$R$58</f>
        <v>0</v>
      </c>
      <c r="S13" s="17">
        <f>'TUSD BE'!$R$13*'TUSD BE'!$S$58</f>
        <v>0</v>
      </c>
      <c r="T13" s="17">
        <f ca="1">SUM($L$13:$S$13)</f>
        <v>2.9304362874377859E-2</v>
      </c>
      <c r="U13" s="17">
        <f>'TUSD BE'!$U$13*'TUSD BE'!$U$58</f>
        <v>0</v>
      </c>
      <c r="V13" s="17">
        <f>'TUSD BE'!$V$13*'TUSD BE'!$V$58</f>
        <v>0</v>
      </c>
      <c r="W13" s="17">
        <f>'TUSD BE'!$W$13*'TUSD BE'!$W$58</f>
        <v>0</v>
      </c>
      <c r="X13" s="17">
        <f>'TUSD BE'!$X$13*'TUSD BE'!$X$58</f>
        <v>0</v>
      </c>
      <c r="Y13" s="17">
        <f>'TUSD BE'!$Y$13*'TUSD BE'!$Y$58</f>
        <v>-123.98367819215427</v>
      </c>
      <c r="Z13" s="17">
        <f>'TUSD BE'!$Z$13*'TUSD BE'!$Z$58</f>
        <v>0</v>
      </c>
      <c r="AA13" s="17">
        <f>'TUSD BE'!$AA$13*'TUSD BE'!$AA$58</f>
        <v>0</v>
      </c>
      <c r="AB13" s="17">
        <f>SUM($U$13:$AA$13)</f>
        <v>-123.98367819215427</v>
      </c>
      <c r="AC13" s="17">
        <f>'TUSD BE'!$AC$13*'TUSD BE'!$AC$58</f>
        <v>-891.54037086537187</v>
      </c>
      <c r="AD13" s="17">
        <f>SUM($AC$13:$AC$13)</f>
        <v>-891.54037086537187</v>
      </c>
      <c r="AE13" s="17">
        <f ca="1">$AO$13*$AO$55</f>
        <v>0</v>
      </c>
      <c r="AF13" s="17">
        <f ca="1">$AP$13*$AP$55</f>
        <v>0</v>
      </c>
      <c r="AG13" s="17">
        <f ca="1">SUM($AE$13:$AF$13)</f>
        <v>0</v>
      </c>
      <c r="AH13" s="17">
        <f>'TUSD BE'!$AH$13*'TUSD BE'!$AH$58</f>
        <v>0.40015883042631456</v>
      </c>
      <c r="AI13" s="17">
        <f>'TUSD BE'!$AI$13*'TUSD BE'!$AI$58</f>
        <v>0</v>
      </c>
      <c r="AJ13" s="17">
        <f ca="1">'TUSD BE'!$AJ$13*'TUSD BE'!$AJ$58</f>
        <v>0</v>
      </c>
      <c r="AK13" s="17">
        <f ca="1">'TUSD BE'!$AK$13*'TUSD BE'!$AK$58</f>
        <v>0</v>
      </c>
      <c r="AL13" s="17">
        <f ca="1">SUM($AH$13:$AK$13)</f>
        <v>0.40015883042631456</v>
      </c>
      <c r="AM13" s="17">
        <f ca="1">SUMIF($L$4:$AL$4,"SUBTOTAL",$L$13:$AL$13)</f>
        <v>-1015.0945858642255</v>
      </c>
      <c r="AO13" s="29">
        <f ca="1">+'TUSD BE'!$T$13+'TUSD BE'!$AB$13+'TUSD BE'!$AD$13+'TUSD BE'!$AL$13</f>
        <v>2855.1057488147517</v>
      </c>
      <c r="AP13" s="29">
        <f ca="1">+'TUSD BE'!$T$13+'TUSD BE'!$AB$13+'TUSD BE'!$AD$13+'TUSD BE'!$AL$13</f>
        <v>2855.1057488147517</v>
      </c>
    </row>
    <row r="14" spans="1:42" ht="11.25" customHeight="1" x14ac:dyDescent="0.25">
      <c r="A14" s="94"/>
      <c r="B14" s="94"/>
      <c r="C14" s="94"/>
      <c r="D14" s="94"/>
      <c r="E14" s="94"/>
      <c r="F14" s="94"/>
      <c r="G14" s="27" t="s">
        <v>74</v>
      </c>
      <c r="H14" s="27" t="s">
        <v>72</v>
      </c>
      <c r="I14" s="27">
        <f>'MERCADO TUSD'!$U$11</f>
        <v>0</v>
      </c>
      <c r="J14" s="15"/>
      <c r="L14" s="17">
        <f>'TUSD BE'!$L$14*'TUSD BE'!$L$58</f>
        <v>0</v>
      </c>
      <c r="M14" s="17">
        <f>'TUSD BE'!$M$14*'TUSD BE'!$M$58</f>
        <v>2.9304362874377859E-2</v>
      </c>
      <c r="N14" s="17">
        <f ca="1">'TUSD BE'!$N$14*'TUSD BE'!$N$58</f>
        <v>0</v>
      </c>
      <c r="O14" s="17">
        <f>'TUSD BE'!$O$14*'TUSD BE'!$O$58</f>
        <v>0</v>
      </c>
      <c r="P14" s="17">
        <f>'TUSD BE'!$P$14*'TUSD BE'!$P$58</f>
        <v>0</v>
      </c>
      <c r="Q14" s="17">
        <f>'TUSD BE'!$Q$14*'TUSD BE'!$Q$58</f>
        <v>0</v>
      </c>
      <c r="R14" s="17">
        <f>'TUSD BE'!$R$14*'TUSD BE'!$R$58</f>
        <v>0</v>
      </c>
      <c r="S14" s="17">
        <f>'TUSD BE'!$R$14*'TUSD BE'!$S$58</f>
        <v>0</v>
      </c>
      <c r="T14" s="17">
        <f ca="1">SUM($L$14:$S$14)</f>
        <v>2.9304362874377859E-2</v>
      </c>
      <c r="U14" s="17">
        <f>'TUSD BE'!$U$14*'TUSD BE'!$U$58</f>
        <v>0</v>
      </c>
      <c r="V14" s="17">
        <f>'TUSD BE'!$V$14*'TUSD BE'!$V$58</f>
        <v>0</v>
      </c>
      <c r="W14" s="17">
        <f>'TUSD BE'!$W$14*'TUSD BE'!$W$58</f>
        <v>0</v>
      </c>
      <c r="X14" s="17">
        <f>'TUSD BE'!$X$14*'TUSD BE'!$X$58</f>
        <v>0</v>
      </c>
      <c r="Y14" s="17">
        <f>'TUSD BE'!$Y$14*'TUSD BE'!$Y$58</f>
        <v>0</v>
      </c>
      <c r="Z14" s="17">
        <f>'TUSD BE'!$Z$14*'TUSD BE'!$Z$58</f>
        <v>0</v>
      </c>
      <c r="AA14" s="17">
        <f>'TUSD BE'!$AA$14*'TUSD BE'!$AA$58</f>
        <v>0</v>
      </c>
      <c r="AB14" s="17">
        <f>SUM($U$14:$AA$14)</f>
        <v>0</v>
      </c>
      <c r="AC14" s="17">
        <f>'TUSD BE'!$AC$14*'TUSD BE'!$AC$58</f>
        <v>0</v>
      </c>
      <c r="AD14" s="17">
        <f>SUM($AC$14:$AC$14)</f>
        <v>0</v>
      </c>
      <c r="AE14" s="17">
        <f ca="1">$AO$14*$AO$55</f>
        <v>0</v>
      </c>
      <c r="AF14" s="17">
        <f ca="1">$AP$14*$AP$55</f>
        <v>0</v>
      </c>
      <c r="AG14" s="17">
        <f ca="1">SUM($AE$14:$AF$14)</f>
        <v>0</v>
      </c>
      <c r="AH14" s="17">
        <f>'TUSD BE'!$AH$14*'TUSD BE'!$AH$58</f>
        <v>0.40015883042631456</v>
      </c>
      <c r="AI14" s="17">
        <f>'TUSD BE'!$AI$14*'TUSD BE'!$AI$58</f>
        <v>0</v>
      </c>
      <c r="AJ14" s="17">
        <f ca="1">'TUSD BE'!$AJ$14*'TUSD BE'!$AJ$58</f>
        <v>0</v>
      </c>
      <c r="AK14" s="17">
        <f ca="1">'TUSD BE'!$AK$14*'TUSD BE'!$AK$58</f>
        <v>0</v>
      </c>
      <c r="AL14" s="17">
        <f ca="1">SUM($AH$14:$AK$14)</f>
        <v>0.40015883042631456</v>
      </c>
      <c r="AM14" s="17">
        <f ca="1">SUMIF($L$4:$AL$4,"SUBTOTAL",$L$14:$AL$14)</f>
        <v>0.42946319330069244</v>
      </c>
      <c r="AO14" s="29">
        <f ca="1">+'TUSD BE'!$T$14+'TUSD BE'!$AB$14+'TUSD BE'!$AD$14+'TUSD BE'!$AL$14</f>
        <v>7.7260690034412436</v>
      </c>
      <c r="AP14" s="29">
        <f ca="1">+'TUSD BE'!$T$14+'TUSD BE'!$AB$14+'TUSD BE'!$AD$14+'TUSD BE'!$AL$14</f>
        <v>7.7260690034412436</v>
      </c>
    </row>
    <row r="15" spans="1:42" ht="11.25" customHeight="1" x14ac:dyDescent="0.25">
      <c r="A15" s="94" t="s">
        <v>80</v>
      </c>
      <c r="B15" s="94" t="s">
        <v>53</v>
      </c>
      <c r="C15" s="94" t="s">
        <v>25</v>
      </c>
      <c r="D15" s="94" t="s">
        <v>25</v>
      </c>
      <c r="E15" s="26" t="s">
        <v>81</v>
      </c>
      <c r="F15" s="26" t="s">
        <v>25</v>
      </c>
      <c r="G15" s="27" t="s">
        <v>9</v>
      </c>
      <c r="H15" s="27" t="s">
        <v>75</v>
      </c>
      <c r="I15" s="27">
        <f>'MERCADO TUSD'!$U$12+0.00000001</f>
        <v>1E-8</v>
      </c>
      <c r="J15" s="15"/>
      <c r="L15" s="17">
        <f>'TUSD BE'!$L$15*'TUSD BE'!$L$58</f>
        <v>0</v>
      </c>
      <c r="M15" s="17">
        <f>'TUSD BE'!$M$15*'TUSD BE'!$M$58</f>
        <v>4.0754329630360254E-4</v>
      </c>
      <c r="N15" s="17">
        <f ca="1">'TUSD BE'!$N$15*'TUSD BE'!$N$58</f>
        <v>0</v>
      </c>
      <c r="O15" s="17">
        <f>'TUSD BE'!$O$15*'TUSD BE'!$O$58</f>
        <v>0</v>
      </c>
      <c r="P15" s="17">
        <f>'TUSD BE'!$P$15*'TUSD BE'!$P$58</f>
        <v>0</v>
      </c>
      <c r="Q15" s="17">
        <f>'TUSD BE'!$Q$15*'TUSD BE'!$Q$58</f>
        <v>0</v>
      </c>
      <c r="R15" s="17">
        <f>'TUSD BE'!$R$15*'TUSD BE'!$R$58</f>
        <v>0</v>
      </c>
      <c r="S15" s="17">
        <f>'TUSD BE'!$R$15*'TUSD BE'!$S$58</f>
        <v>0</v>
      </c>
      <c r="T15" s="17">
        <f ca="1">SUM($L$15:$S$15)</f>
        <v>4.0754329630360254E-4</v>
      </c>
      <c r="U15" s="17">
        <f>'TUSD BE'!$U$15*'TUSD BE'!$U$58</f>
        <v>0</v>
      </c>
      <c r="V15" s="17">
        <f>'TUSD BE'!$V$15*'TUSD BE'!$V$58</f>
        <v>0</v>
      </c>
      <c r="W15" s="17">
        <f>'TUSD BE'!$W$15*'TUSD BE'!$W$58</f>
        <v>0</v>
      </c>
      <c r="X15" s="17">
        <f>'TUSD BE'!$X$15*'TUSD BE'!$X$58</f>
        <v>0</v>
      </c>
      <c r="Y15" s="17">
        <f>'TUSD BE'!$Y$15*'TUSD BE'!$Y$58</f>
        <v>0</v>
      </c>
      <c r="Z15" s="17">
        <f>'TUSD BE'!$Z$15*'TUSD BE'!$Z$58</f>
        <v>0</v>
      </c>
      <c r="AA15" s="17">
        <f>'TUSD BE'!$AA$15*'TUSD BE'!$AA$58</f>
        <v>0</v>
      </c>
      <c r="AB15" s="17">
        <f>SUM($U$15:$AA$15)</f>
        <v>0</v>
      </c>
      <c r="AC15" s="17">
        <f>'TUSD BE'!$AC$15*'TUSD BE'!$AC$58</f>
        <v>-4.8338470142840491</v>
      </c>
      <c r="AD15" s="17">
        <f>SUM($AC$15:$AC$15)</f>
        <v>-4.8338470142840491</v>
      </c>
      <c r="AE15" s="17">
        <f ca="1">$AO$15*$AO$55</f>
        <v>0</v>
      </c>
      <c r="AF15" s="17">
        <f ca="1">$AP$15*$AP$55</f>
        <v>0</v>
      </c>
      <c r="AG15" s="17">
        <f ca="1">SUM($AE$15:$AF$15)</f>
        <v>0</v>
      </c>
      <c r="AH15" s="17">
        <f>'TUSD BE'!$AH$15*'TUSD BE'!$AH$58</f>
        <v>0</v>
      </c>
      <c r="AI15" s="17">
        <f>'TUSD BE'!$AI$15*'TUSD BE'!$AI$58</f>
        <v>0</v>
      </c>
      <c r="AJ15" s="17">
        <f ca="1">'TUSD BE'!$AJ$15*'TUSD BE'!$AJ$58</f>
        <v>0</v>
      </c>
      <c r="AK15" s="17">
        <f ca="1">'TUSD BE'!$AK$15*'TUSD BE'!$AK$58</f>
        <v>0</v>
      </c>
      <c r="AL15" s="17">
        <f ca="1">SUM($AH$15:$AK$15)</f>
        <v>0</v>
      </c>
      <c r="AM15" s="17">
        <f ca="1">SUMIF($L$4:$AL$4,"SUBTOTAL",$L$15:$AL$15)</f>
        <v>-4.8334394709877451</v>
      </c>
      <c r="AO15" s="29">
        <f ca="1">+'TUSD BE'!$T$15+'TUSD BE'!$AB$15+'TUSD BE'!$AD$15+'TUSD BE'!$AL$15</f>
        <v>10.689190300678844</v>
      </c>
      <c r="AP15" s="29">
        <f ca="1">+'TUSD BE'!$T$15+'TUSD BE'!$AB$15+'TUSD BE'!$AD$15+'TUSD BE'!$AL$15</f>
        <v>10.689190300678844</v>
      </c>
    </row>
    <row r="16" spans="1:42" ht="11.25" customHeight="1" x14ac:dyDescent="0.25">
      <c r="A16" s="94"/>
      <c r="B16" s="94"/>
      <c r="C16" s="94"/>
      <c r="D16" s="94"/>
      <c r="E16" s="26" t="s">
        <v>82</v>
      </c>
      <c r="F16" s="26" t="s">
        <v>25</v>
      </c>
      <c r="G16" s="27" t="s">
        <v>9</v>
      </c>
      <c r="H16" s="27" t="s">
        <v>75</v>
      </c>
      <c r="I16" s="27">
        <f>'MERCADO TUSD'!$U$13+0.00000001</f>
        <v>1E-8</v>
      </c>
      <c r="J16" s="15"/>
      <c r="L16" s="17">
        <f>'TUSD BE'!$L$16*'TUSD BE'!$L$58</f>
        <v>0</v>
      </c>
      <c r="M16" s="17">
        <f>'TUSD BE'!$M$16*'TUSD BE'!$M$58</f>
        <v>4.0754329630360254E-4</v>
      </c>
      <c r="N16" s="17">
        <f ca="1">'TUSD BE'!$N$16*'TUSD BE'!$N$58</f>
        <v>0</v>
      </c>
      <c r="O16" s="17">
        <f>'TUSD BE'!$O$16*'TUSD BE'!$O$58</f>
        <v>0</v>
      </c>
      <c r="P16" s="17">
        <f>'TUSD BE'!$P$16*'TUSD BE'!$P$58</f>
        <v>0</v>
      </c>
      <c r="Q16" s="17">
        <f>'TUSD BE'!$Q$16*'TUSD BE'!$Q$58</f>
        <v>0</v>
      </c>
      <c r="R16" s="17">
        <f>'TUSD BE'!$R$16*'TUSD BE'!$R$58</f>
        <v>0</v>
      </c>
      <c r="S16" s="17">
        <f>'TUSD BE'!$R$16*'TUSD BE'!$S$58</f>
        <v>0</v>
      </c>
      <c r="T16" s="17">
        <f ca="1">SUM($L$16:$S$16)</f>
        <v>4.0754329630360254E-4</v>
      </c>
      <c r="U16" s="17">
        <f>'TUSD BE'!$U$16*'TUSD BE'!$U$58</f>
        <v>0</v>
      </c>
      <c r="V16" s="17">
        <f>'TUSD BE'!$V$16*'TUSD BE'!$V$58</f>
        <v>0</v>
      </c>
      <c r="W16" s="17">
        <f>'TUSD BE'!$W$16*'TUSD BE'!$W$58</f>
        <v>0</v>
      </c>
      <c r="X16" s="17">
        <f>'TUSD BE'!$X$16*'TUSD BE'!$X$58</f>
        <v>0</v>
      </c>
      <c r="Y16" s="17">
        <f>'TUSD BE'!$Y$16*'TUSD BE'!$Y$58</f>
        <v>0</v>
      </c>
      <c r="Z16" s="17">
        <f>'TUSD BE'!$Z$16*'TUSD BE'!$Z$58</f>
        <v>0</v>
      </c>
      <c r="AA16" s="17">
        <f>'TUSD BE'!$AA$16*'TUSD BE'!$AA$58</f>
        <v>0</v>
      </c>
      <c r="AB16" s="17">
        <f>SUM($U$16:$AA$16)</f>
        <v>0</v>
      </c>
      <c r="AC16" s="17">
        <f>'TUSD BE'!$AC$16*'TUSD BE'!$AC$58</f>
        <v>-9.8346730975400067</v>
      </c>
      <c r="AD16" s="17">
        <f>SUM($AC$16:$AC$16)</f>
        <v>-9.8346730975400067</v>
      </c>
      <c r="AE16" s="17">
        <f ca="1">$AO$16*$AO$55</f>
        <v>0</v>
      </c>
      <c r="AF16" s="17">
        <f ca="1">$AP$16*$AP$55</f>
        <v>0</v>
      </c>
      <c r="AG16" s="17">
        <f ca="1">SUM($AE$16:$AF$16)</f>
        <v>0</v>
      </c>
      <c r="AH16" s="17">
        <f>'TUSD BE'!$AH$16*'TUSD BE'!$AH$58</f>
        <v>0</v>
      </c>
      <c r="AI16" s="17">
        <f>'TUSD BE'!$AI$16*'TUSD BE'!$AI$58</f>
        <v>0</v>
      </c>
      <c r="AJ16" s="17">
        <f ca="1">'TUSD BE'!$AJ$16*'TUSD BE'!$AJ$58</f>
        <v>0</v>
      </c>
      <c r="AK16" s="17">
        <f ca="1">'TUSD BE'!$AK$16*'TUSD BE'!$AK$58</f>
        <v>0</v>
      </c>
      <c r="AL16" s="17">
        <f ca="1">SUM($AH$16:$AK$16)</f>
        <v>0</v>
      </c>
      <c r="AM16" s="17">
        <f ca="1">SUMIF($L$4:$AL$4,"SUBTOTAL",$L$16:$AL$16)</f>
        <v>-9.8342655542437036</v>
      </c>
      <c r="AO16" s="29">
        <f ca="1">+'TUSD BE'!$T$16+'TUSD BE'!$AB$16+'TUSD BE'!$AD$16+'TUSD BE'!$AL$16</f>
        <v>21.736609837253887</v>
      </c>
      <c r="AP16" s="29">
        <f ca="1">+'TUSD BE'!$T$16+'TUSD BE'!$AB$16+'TUSD BE'!$AD$16+'TUSD BE'!$AL$16</f>
        <v>21.736609837253887</v>
      </c>
    </row>
    <row r="17" spans="1:42" ht="11.25" customHeight="1" x14ac:dyDescent="0.25">
      <c r="A17" s="94" t="s">
        <v>22</v>
      </c>
      <c r="B17" s="94" t="s">
        <v>85</v>
      </c>
      <c r="C17" s="94" t="s">
        <v>24</v>
      </c>
      <c r="D17" s="94" t="s">
        <v>24</v>
      </c>
      <c r="E17" s="94" t="s">
        <v>25</v>
      </c>
      <c r="F17" s="94" t="s">
        <v>25</v>
      </c>
      <c r="G17" s="27" t="s">
        <v>73</v>
      </c>
      <c r="H17" s="27" t="s">
        <v>72</v>
      </c>
      <c r="I17" s="27">
        <f>'MERCADO TUSD'!$U$14</f>
        <v>0</v>
      </c>
      <c r="J17" s="15"/>
      <c r="L17" s="17">
        <f>'TUSD BE'!$L$17*'TUSD BE'!$L$58</f>
        <v>0</v>
      </c>
      <c r="M17" s="17">
        <f>'TUSD BE'!$M$17*'TUSD BE'!$M$58</f>
        <v>5.5196781036103142E-2</v>
      </c>
      <c r="N17" s="17">
        <f ca="1">'TUSD BE'!$N$17*'TUSD BE'!$N$58</f>
        <v>0</v>
      </c>
      <c r="O17" s="17">
        <f>'TUSD BE'!$O$17*'TUSD BE'!$O$58</f>
        <v>0</v>
      </c>
      <c r="P17" s="17">
        <f>'TUSD BE'!$P$17*'TUSD BE'!$P$58</f>
        <v>0</v>
      </c>
      <c r="Q17" s="17">
        <f>'TUSD BE'!$Q$17*'TUSD BE'!$Q$58</f>
        <v>2.1094627039328584</v>
      </c>
      <c r="R17" s="17">
        <f>'TUSD BE'!$R$17*'TUSD BE'!$R$58</f>
        <v>0.30316417787960626</v>
      </c>
      <c r="S17" s="17">
        <f>'TUSD BE'!$R$17*'TUSD BE'!$S$58</f>
        <v>0</v>
      </c>
      <c r="T17" s="17">
        <f ca="1">SUM($L$17:$S$17)</f>
        <v>2.4678236628485677</v>
      </c>
      <c r="U17" s="17">
        <f>'TUSD BE'!$U$17*'TUSD BE'!$U$58</f>
        <v>0</v>
      </c>
      <c r="V17" s="17">
        <f>'TUSD BE'!$V$17*'TUSD BE'!$V$58</f>
        <v>0</v>
      </c>
      <c r="W17" s="17">
        <f>'TUSD BE'!$W$17*'TUSD BE'!$W$58</f>
        <v>0</v>
      </c>
      <c r="X17" s="17">
        <f>'TUSD BE'!$X$17*'TUSD BE'!$X$58</f>
        <v>0</v>
      </c>
      <c r="Y17" s="17">
        <f>'TUSD BE'!$Y$17*'TUSD BE'!$Y$58</f>
        <v>-45.391242463473866</v>
      </c>
      <c r="Z17" s="17">
        <f>'TUSD BE'!$Z$17*'TUSD BE'!$Z$58</f>
        <v>0</v>
      </c>
      <c r="AA17" s="17">
        <f>'TUSD BE'!$AA$17*'TUSD BE'!$AA$58</f>
        <v>0</v>
      </c>
      <c r="AB17" s="17">
        <f>SUM($U$17:$AA$17)</f>
        <v>-45.391242463473866</v>
      </c>
      <c r="AC17" s="17">
        <f>'TUSD BE'!$AC$17*'TUSD BE'!$AC$58</f>
        <v>-416.55366734909614</v>
      </c>
      <c r="AD17" s="17">
        <f>SUM($AC$17:$AC$17)</f>
        <v>-416.55366734909614</v>
      </c>
      <c r="AE17" s="17">
        <f ca="1">$AO$17*$AO$55</f>
        <v>0</v>
      </c>
      <c r="AF17" s="17">
        <f ca="1">$AP$17*$AP$55</f>
        <v>0</v>
      </c>
      <c r="AG17" s="17">
        <f ca="1">SUM($AE$17:$AF$17)</f>
        <v>0</v>
      </c>
      <c r="AH17" s="17">
        <f>'TUSD BE'!$AH$17*'TUSD BE'!$AH$58</f>
        <v>1.0364246843483467</v>
      </c>
      <c r="AI17" s="17">
        <f>'TUSD BE'!$AI$17*'TUSD BE'!$AI$58</f>
        <v>0</v>
      </c>
      <c r="AJ17" s="17">
        <f ca="1">'TUSD BE'!$AJ$17*'TUSD BE'!$AJ$58</f>
        <v>0</v>
      </c>
      <c r="AK17" s="17">
        <f ca="1">'TUSD BE'!$AK$17*'TUSD BE'!$AK$58</f>
        <v>0</v>
      </c>
      <c r="AL17" s="17">
        <f ca="1">SUM($AH$17:$AK$17)</f>
        <v>1.0364246843483467</v>
      </c>
      <c r="AM17" s="17">
        <f ca="1">SUMIF($L$4:$AL$4,"SUBTOTAL",$L$17:$AL$17)</f>
        <v>-458.44066146537313</v>
      </c>
      <c r="AO17" s="29">
        <f ca="1">+'TUSD BE'!$T$17+'TUSD BE'!$AB$17+'TUSD BE'!$AD$17+'TUSD BE'!$AL$17</f>
        <v>1365.0604010691084</v>
      </c>
      <c r="AP17" s="29">
        <f ca="1">+'TUSD BE'!$T$17+'TUSD BE'!$AB$17+'TUSD BE'!$AD$17+'TUSD BE'!$AL$17</f>
        <v>1365.0604010691084</v>
      </c>
    </row>
    <row r="18" spans="1:42" ht="11.25" customHeight="1" x14ac:dyDescent="0.25">
      <c r="A18" s="94"/>
      <c r="B18" s="94"/>
      <c r="C18" s="94"/>
      <c r="D18" s="94"/>
      <c r="E18" s="94"/>
      <c r="F18" s="94"/>
      <c r="G18" s="27" t="s">
        <v>83</v>
      </c>
      <c r="H18" s="27" t="s">
        <v>72</v>
      </c>
      <c r="I18" s="27">
        <f>'MERCADO TUSD'!$U$15</f>
        <v>0</v>
      </c>
      <c r="J18" s="15"/>
      <c r="L18" s="17">
        <f>'TUSD BE'!$L$18*'TUSD BE'!$L$58</f>
        <v>0</v>
      </c>
      <c r="M18" s="17">
        <f>'TUSD BE'!$M$18*'TUSD BE'!$M$58</f>
        <v>5.5196781036103142E-2</v>
      </c>
      <c r="N18" s="17">
        <f ca="1">'TUSD BE'!$N$18*'TUSD BE'!$N$58</f>
        <v>0</v>
      </c>
      <c r="O18" s="17">
        <f>'TUSD BE'!$O$18*'TUSD BE'!$O$58</f>
        <v>0</v>
      </c>
      <c r="P18" s="17">
        <f>'TUSD BE'!$P$18*'TUSD BE'!$P$58</f>
        <v>0</v>
      </c>
      <c r="Q18" s="17">
        <f>'TUSD BE'!$Q$18*'TUSD BE'!$Q$58</f>
        <v>2.1094627039328584</v>
      </c>
      <c r="R18" s="17">
        <f>'TUSD BE'!$R$18*'TUSD BE'!$R$58</f>
        <v>0.30316417787960626</v>
      </c>
      <c r="S18" s="17">
        <f>'TUSD BE'!$R$18*'TUSD BE'!$S$58</f>
        <v>0</v>
      </c>
      <c r="T18" s="17">
        <f ca="1">SUM($L$18:$S$18)</f>
        <v>2.4678236628485677</v>
      </c>
      <c r="U18" s="17">
        <f>'TUSD BE'!$U$18*'TUSD BE'!$U$58</f>
        <v>0</v>
      </c>
      <c r="V18" s="17">
        <f>'TUSD BE'!$V$18*'TUSD BE'!$V$58</f>
        <v>0</v>
      </c>
      <c r="W18" s="17">
        <f>'TUSD BE'!$W$18*'TUSD BE'!$W$58</f>
        <v>0</v>
      </c>
      <c r="X18" s="17">
        <f>'TUSD BE'!$X$18*'TUSD BE'!$X$58</f>
        <v>0</v>
      </c>
      <c r="Y18" s="17">
        <f>'TUSD BE'!$Y$18*'TUSD BE'!$Y$58</f>
        <v>-27.234751727564831</v>
      </c>
      <c r="Z18" s="17">
        <f>'TUSD BE'!$Z$18*'TUSD BE'!$Z$58</f>
        <v>0</v>
      </c>
      <c r="AA18" s="17">
        <f>'TUSD BE'!$AA$18*'TUSD BE'!$AA$58</f>
        <v>0</v>
      </c>
      <c r="AB18" s="17">
        <f>SUM($U$18:$AA$18)</f>
        <v>-27.234751727564831</v>
      </c>
      <c r="AC18" s="17">
        <f>'TUSD BE'!$AC$18*'TUSD BE'!$AC$58</f>
        <v>-249.9322953648566</v>
      </c>
      <c r="AD18" s="17">
        <f>SUM($AC$18:$AC$18)</f>
        <v>-249.9322953648566</v>
      </c>
      <c r="AE18" s="17">
        <f ca="1">$AO$18*$AO$55</f>
        <v>0</v>
      </c>
      <c r="AF18" s="17">
        <f ca="1">$AP$18*$AP$55</f>
        <v>0</v>
      </c>
      <c r="AG18" s="17">
        <f ca="1">SUM($AE$18:$AF$18)</f>
        <v>0</v>
      </c>
      <c r="AH18" s="17">
        <f>'TUSD BE'!$AH$18*'TUSD BE'!$AH$58</f>
        <v>1.0364246843483467</v>
      </c>
      <c r="AI18" s="17">
        <f>'TUSD BE'!$AI$18*'TUSD BE'!$AI$58</f>
        <v>0</v>
      </c>
      <c r="AJ18" s="17">
        <f ca="1">'TUSD BE'!$AJ$18*'TUSD BE'!$AJ$58</f>
        <v>0</v>
      </c>
      <c r="AK18" s="17">
        <f ca="1">'TUSD BE'!$AK$18*'TUSD BE'!$AK$58</f>
        <v>0</v>
      </c>
      <c r="AL18" s="17">
        <f ca="1">SUM($AH$18:$AK$18)</f>
        <v>1.0364246843483467</v>
      </c>
      <c r="AM18" s="17">
        <f ca="1">SUMIF($L$4:$AL$4,"SUBTOTAL",$L$18:$AL$18)</f>
        <v>-273.66279874522451</v>
      </c>
      <c r="AO18" s="29">
        <f ca="1">+'TUSD BE'!$T$18+'TUSD BE'!$AB$18+'TUSD BE'!$AD$18+'TUSD BE'!$AL$18</f>
        <v>868.41774176193769</v>
      </c>
      <c r="AP18" s="29">
        <f ca="1">+'TUSD BE'!$T$18+'TUSD BE'!$AB$18+'TUSD BE'!$AD$18+'TUSD BE'!$AL$18</f>
        <v>868.41774176193769</v>
      </c>
    </row>
    <row r="19" spans="1:42" ht="11.25" customHeight="1" x14ac:dyDescent="0.25">
      <c r="A19" s="94"/>
      <c r="B19" s="94"/>
      <c r="C19" s="94"/>
      <c r="D19" s="94"/>
      <c r="E19" s="94"/>
      <c r="F19" s="94"/>
      <c r="G19" s="27" t="s">
        <v>74</v>
      </c>
      <c r="H19" s="27" t="s">
        <v>72</v>
      </c>
      <c r="I19" s="27">
        <f>'MERCADO TUSD'!$U$16</f>
        <v>0</v>
      </c>
      <c r="J19" s="15"/>
      <c r="L19" s="17">
        <f>'TUSD BE'!$L$19*'TUSD BE'!$L$58</f>
        <v>0</v>
      </c>
      <c r="M19" s="17">
        <f>'TUSD BE'!$M$19*'TUSD BE'!$M$58</f>
        <v>5.5196781036103142E-2</v>
      </c>
      <c r="N19" s="17">
        <f ca="1">'TUSD BE'!$N$19*'TUSD BE'!$N$58</f>
        <v>0</v>
      </c>
      <c r="O19" s="17">
        <f>'TUSD BE'!$O$19*'TUSD BE'!$O$58</f>
        <v>0</v>
      </c>
      <c r="P19" s="17">
        <f>'TUSD BE'!$P$19*'TUSD BE'!$P$58</f>
        <v>0</v>
      </c>
      <c r="Q19" s="17">
        <f>'TUSD BE'!$Q$19*'TUSD BE'!$Q$58</f>
        <v>2.1094627039328584</v>
      </c>
      <c r="R19" s="17">
        <f>'TUSD BE'!$R$19*'TUSD BE'!$R$58</f>
        <v>0.30316417787960626</v>
      </c>
      <c r="S19" s="17">
        <f>'TUSD BE'!$R$19*'TUSD BE'!$S$58</f>
        <v>0</v>
      </c>
      <c r="T19" s="17">
        <f ca="1">SUM($L$19:$S$19)</f>
        <v>2.4678236628485677</v>
      </c>
      <c r="U19" s="17">
        <f>'TUSD BE'!$U$19*'TUSD BE'!$U$58</f>
        <v>0</v>
      </c>
      <c r="V19" s="17">
        <f>'TUSD BE'!$V$19*'TUSD BE'!$V$58</f>
        <v>0</v>
      </c>
      <c r="W19" s="17">
        <f>'TUSD BE'!$W$19*'TUSD BE'!$W$58</f>
        <v>0</v>
      </c>
      <c r="X19" s="17">
        <f>'TUSD BE'!$X$19*'TUSD BE'!$X$58</f>
        <v>0</v>
      </c>
      <c r="Y19" s="17">
        <f>'TUSD BE'!$Y$19*'TUSD BE'!$Y$58</f>
        <v>-9.086557177032736</v>
      </c>
      <c r="Z19" s="17">
        <f>'TUSD BE'!$Z$19*'TUSD BE'!$Z$58</f>
        <v>0</v>
      </c>
      <c r="AA19" s="17">
        <f>'TUSD BE'!$AA$19*'TUSD BE'!$AA$58</f>
        <v>0</v>
      </c>
      <c r="AB19" s="17">
        <f>SUM($U$19:$AA$19)</f>
        <v>-9.086557177032736</v>
      </c>
      <c r="AC19" s="17">
        <f>'TUSD BE'!$AC$19*'TUSD BE'!$AC$58</f>
        <v>-83.310638514420319</v>
      </c>
      <c r="AD19" s="17">
        <f>SUM($AC$19:$AC$19)</f>
        <v>-83.310638514420319</v>
      </c>
      <c r="AE19" s="17">
        <f ca="1">$AO$19*$AO$55</f>
        <v>0</v>
      </c>
      <c r="AF19" s="17">
        <f ca="1">$AP$19*$AP$55</f>
        <v>0</v>
      </c>
      <c r="AG19" s="17">
        <f ca="1">SUM($AE$19:$AF$19)</f>
        <v>0</v>
      </c>
      <c r="AH19" s="17">
        <f>'TUSD BE'!$AH$19*'TUSD BE'!$AH$58</f>
        <v>1.0364246843483467</v>
      </c>
      <c r="AI19" s="17">
        <f>'TUSD BE'!$AI$19*'TUSD BE'!$AI$58</f>
        <v>0</v>
      </c>
      <c r="AJ19" s="17">
        <f ca="1">'TUSD BE'!$AJ$19*'TUSD BE'!$AJ$58</f>
        <v>0</v>
      </c>
      <c r="AK19" s="17">
        <f ca="1">'TUSD BE'!$AK$19*'TUSD BE'!$AK$58</f>
        <v>0</v>
      </c>
      <c r="AL19" s="17">
        <f ca="1">SUM($AH$19:$AK$19)</f>
        <v>1.0364246843483467</v>
      </c>
      <c r="AM19" s="17">
        <f ca="1">SUMIF($L$4:$AL$4,"SUBTOTAL",$L$19:$AL$19)</f>
        <v>-88.892947344256143</v>
      </c>
      <c r="AO19" s="29">
        <f ca="1">+'TUSD BE'!$T$19+'TUSD BE'!$AB$19+'TUSD BE'!$AD$19+'TUSD BE'!$AL$19</f>
        <v>371.83319392677561</v>
      </c>
      <c r="AP19" s="29">
        <f ca="1">+'TUSD BE'!$T$19+'TUSD BE'!$AB$19+'TUSD BE'!$AD$19+'TUSD BE'!$AL$19</f>
        <v>371.83319392677561</v>
      </c>
    </row>
    <row r="20" spans="1:42" ht="11.25" customHeight="1" x14ac:dyDescent="0.25">
      <c r="A20" s="94"/>
      <c r="B20" s="94" t="s">
        <v>23</v>
      </c>
      <c r="C20" s="94" t="s">
        <v>24</v>
      </c>
      <c r="D20" s="26" t="s">
        <v>24</v>
      </c>
      <c r="E20" s="26" t="s">
        <v>25</v>
      </c>
      <c r="F20" s="26" t="s">
        <v>25</v>
      </c>
      <c r="G20" s="27" t="s">
        <v>78</v>
      </c>
      <c r="H20" s="27" t="s">
        <v>72</v>
      </c>
      <c r="I20" s="27">
        <f>'MERCADO TUSD'!$U$17</f>
        <v>11694.771999999999</v>
      </c>
      <c r="J20" s="15"/>
      <c r="L20" s="17">
        <f>'TUSD BE'!$L$20*'TUSD BE'!$L$58</f>
        <v>0</v>
      </c>
      <c r="M20" s="17">
        <f>'TUSD BE'!$M$20*'TUSD BE'!$M$58</f>
        <v>5.5196781036103142E-2</v>
      </c>
      <c r="N20" s="17">
        <f ca="1">'TUSD BE'!$N$20*'TUSD BE'!$N$58</f>
        <v>0</v>
      </c>
      <c r="O20" s="17">
        <f>'TUSD BE'!$O$20*'TUSD BE'!$O$58</f>
        <v>0</v>
      </c>
      <c r="P20" s="17">
        <f>'TUSD BE'!$P$20*'TUSD BE'!$P$58</f>
        <v>0</v>
      </c>
      <c r="Q20" s="17">
        <f>'TUSD BE'!$Q$20*'TUSD BE'!$Q$58</f>
        <v>2.1094627039328584</v>
      </c>
      <c r="R20" s="17">
        <f>'TUSD BE'!$R$20*'TUSD BE'!$R$58</f>
        <v>0.30316417787960626</v>
      </c>
      <c r="S20" s="17">
        <f>'TUSD BE'!$R$20*'TUSD BE'!$S$58</f>
        <v>0</v>
      </c>
      <c r="T20" s="17">
        <f ca="1">SUM($L$20:$S$20)</f>
        <v>2.4678236628485677</v>
      </c>
      <c r="U20" s="17">
        <f>'TUSD BE'!$U$20*'TUSD BE'!$U$58</f>
        <v>0</v>
      </c>
      <c r="V20" s="17">
        <f>'TUSD BE'!$V$20*'TUSD BE'!$V$58</f>
        <v>0</v>
      </c>
      <c r="W20" s="17">
        <f>'TUSD BE'!$W$20*'TUSD BE'!$W$58</f>
        <v>0</v>
      </c>
      <c r="X20" s="17">
        <f>'TUSD BE'!$X$20*'TUSD BE'!$X$58</f>
        <v>0</v>
      </c>
      <c r="Y20" s="17">
        <f>'TUSD BE'!$Y$20*'TUSD BE'!$Y$58</f>
        <v>-16.803884421740875</v>
      </c>
      <c r="Z20" s="17">
        <f>'TUSD BE'!$Z$20*'TUSD BE'!$Z$58</f>
        <v>0</v>
      </c>
      <c r="AA20" s="17">
        <f>'TUSD BE'!$AA$20*'TUSD BE'!$AA$58</f>
        <v>0</v>
      </c>
      <c r="AB20" s="17">
        <f>SUM($U$20:$AA$20)</f>
        <v>-16.803884421740875</v>
      </c>
      <c r="AC20" s="17">
        <f>'TUSD BE'!$AC$20*'TUSD BE'!$AC$58</f>
        <v>-154.27916419015384</v>
      </c>
      <c r="AD20" s="17">
        <f>SUM($AC$20:$AC$20)</f>
        <v>-154.27916419015384</v>
      </c>
      <c r="AE20" s="17">
        <f ca="1">$AO$20*$AO$55</f>
        <v>0</v>
      </c>
      <c r="AF20" s="17">
        <f ca="1">$AP$20*$AP$55</f>
        <v>0</v>
      </c>
      <c r="AG20" s="17">
        <f ca="1">SUM($AE$20:$AF$20)</f>
        <v>0</v>
      </c>
      <c r="AH20" s="17">
        <f>'TUSD BE'!$AH$20*'TUSD BE'!$AH$58</f>
        <v>1.0364246843483467</v>
      </c>
      <c r="AI20" s="17">
        <f>'TUSD BE'!$AI$20*'TUSD BE'!$AI$58</f>
        <v>0</v>
      </c>
      <c r="AJ20" s="17">
        <f ca="1">'TUSD BE'!$AJ$20*'TUSD BE'!$AJ$58</f>
        <v>0</v>
      </c>
      <c r="AK20" s="17">
        <f ca="1">'TUSD BE'!$AK$20*'TUSD BE'!$AK$58</f>
        <v>0</v>
      </c>
      <c r="AL20" s="17">
        <f ca="1">SUM($AH$20:$AK$20)</f>
        <v>1.0364246843483467</v>
      </c>
      <c r="AM20" s="17">
        <f ca="1">SUMIF($L$4:$AL$4,"SUBTOTAL",$L$20:$AL$20)</f>
        <v>-167.5788002646978</v>
      </c>
      <c r="AO20" s="29">
        <f ca="1">+'TUSD BE'!$T$20+'TUSD BE'!$AB$20+'TUSD BE'!$AD$20+'TUSD BE'!$AL$20</f>
        <v>583.25330280533854</v>
      </c>
      <c r="AP20" s="29">
        <f ca="1">+'TUSD BE'!$T$20+'TUSD BE'!$AB$20+'TUSD BE'!$AD$20+'TUSD BE'!$AL$20</f>
        <v>583.25330280533854</v>
      </c>
    </row>
    <row r="21" spans="1:42" ht="11.25" customHeight="1" x14ac:dyDescent="0.25">
      <c r="A21" s="94"/>
      <c r="B21" s="94"/>
      <c r="C21" s="94"/>
      <c r="D21" s="26" t="s">
        <v>29</v>
      </c>
      <c r="E21" s="26" t="s">
        <v>25</v>
      </c>
      <c r="F21" s="26" t="s">
        <v>25</v>
      </c>
      <c r="G21" s="27" t="s">
        <v>78</v>
      </c>
      <c r="H21" s="27" t="s">
        <v>72</v>
      </c>
      <c r="I21" s="27">
        <f>'MERCADO TUSD'!$U$18</f>
        <v>30.416</v>
      </c>
      <c r="J21" s="15"/>
      <c r="L21" s="17">
        <f>'TUSD BE'!$L$21*'TUSD BE'!$L$58</f>
        <v>0</v>
      </c>
      <c r="M21" s="17">
        <f>'TUSD BE'!$M$21*'TUSD BE'!$M$58</f>
        <v>5.5196781036103142E-2</v>
      </c>
      <c r="N21" s="17">
        <f ca="1">'TUSD BE'!$N$21*'TUSD BE'!$N$58</f>
        <v>0</v>
      </c>
      <c r="O21" s="17">
        <f>'TUSD BE'!$O$21*'TUSD BE'!$O$58</f>
        <v>0</v>
      </c>
      <c r="P21" s="17">
        <f>'TUSD BE'!$P$21*'TUSD BE'!$P$58</f>
        <v>0</v>
      </c>
      <c r="Q21" s="17">
        <f>'TUSD BE'!$Q$21*'TUSD BE'!$Q$58</f>
        <v>0</v>
      </c>
      <c r="R21" s="17">
        <f>'TUSD BE'!$R$21*'TUSD BE'!$R$58</f>
        <v>0</v>
      </c>
      <c r="S21" s="17">
        <f>'TUSD BE'!$R$21*'TUSD BE'!$S$58</f>
        <v>0</v>
      </c>
      <c r="T21" s="17">
        <f ca="1">SUM($L$21:$S$21)</f>
        <v>5.5196781036103142E-2</v>
      </c>
      <c r="U21" s="17">
        <f>'TUSD BE'!$U$21*'TUSD BE'!$U$58</f>
        <v>0</v>
      </c>
      <c r="V21" s="17">
        <f>'TUSD BE'!$V$21*'TUSD BE'!$V$58</f>
        <v>0</v>
      </c>
      <c r="W21" s="17">
        <f>'TUSD BE'!$W$21*'TUSD BE'!$W$58</f>
        <v>0</v>
      </c>
      <c r="X21" s="17">
        <f>'TUSD BE'!$X$21*'TUSD BE'!$X$58</f>
        <v>0</v>
      </c>
      <c r="Y21" s="17">
        <f>'TUSD BE'!$Y$21*'TUSD BE'!$Y$58</f>
        <v>-16.803884421740875</v>
      </c>
      <c r="Z21" s="17">
        <f>'TUSD BE'!$Z$21*'TUSD BE'!$Z$58</f>
        <v>0</v>
      </c>
      <c r="AA21" s="17">
        <f>'TUSD BE'!$AA$21*'TUSD BE'!$AA$58</f>
        <v>0</v>
      </c>
      <c r="AB21" s="17">
        <f>SUM($U$21:$AA$21)</f>
        <v>-16.803884421740875</v>
      </c>
      <c r="AC21" s="17">
        <f>'TUSD BE'!$AC$21*'TUSD BE'!$AC$58</f>
        <v>-154.27916419015384</v>
      </c>
      <c r="AD21" s="17">
        <f>SUM($AC$21:$AC$21)</f>
        <v>-154.27916419015384</v>
      </c>
      <c r="AE21" s="17">
        <f ca="1">$AO$21*$AO$55</f>
        <v>0</v>
      </c>
      <c r="AF21" s="17">
        <f ca="1">$AP$21*$AP$55</f>
        <v>0</v>
      </c>
      <c r="AG21" s="17">
        <f ca="1">SUM($AE$21:$AF$21)</f>
        <v>0</v>
      </c>
      <c r="AH21" s="17">
        <f>'TUSD BE'!$AH$21*'TUSD BE'!$AH$58</f>
        <v>1.0364246843483467</v>
      </c>
      <c r="AI21" s="17">
        <f>'TUSD BE'!$AI$21*'TUSD BE'!$AI$58</f>
        <v>0</v>
      </c>
      <c r="AJ21" s="17">
        <f ca="1">'TUSD BE'!$AJ$21*'TUSD BE'!$AJ$58</f>
        <v>0</v>
      </c>
      <c r="AK21" s="17">
        <f ca="1">'TUSD BE'!$AK$21*'TUSD BE'!$AK$58</f>
        <v>0</v>
      </c>
      <c r="AL21" s="17">
        <f ca="1">SUM($AH$21:$AK$21)</f>
        <v>1.0364246843483467</v>
      </c>
      <c r="AM21" s="17">
        <f ca="1">SUMIF($L$4:$AL$4,"SUBTOTAL",$L$21:$AL$21)</f>
        <v>-169.99142714651026</v>
      </c>
      <c r="AO21" s="29">
        <f ca="1">+'TUSD BE'!$T$21+'TUSD BE'!$AB$21+'TUSD BE'!$AD$21+'TUSD BE'!$AL$21</f>
        <v>479.27009207987442</v>
      </c>
      <c r="AP21" s="29">
        <f ca="1">+'TUSD BE'!$T$21+'TUSD BE'!$AB$21+'TUSD BE'!$AD$21+'TUSD BE'!$AL$21</f>
        <v>479.27009207987442</v>
      </c>
    </row>
    <row r="22" spans="1:42" ht="11.25" customHeight="1" x14ac:dyDescent="0.25">
      <c r="A22" s="94"/>
      <c r="B22" s="94"/>
      <c r="C22" s="94"/>
      <c r="D22" s="26" t="s">
        <v>30</v>
      </c>
      <c r="E22" s="26" t="s">
        <v>25</v>
      </c>
      <c r="F22" s="26" t="s">
        <v>25</v>
      </c>
      <c r="G22" s="27" t="s">
        <v>78</v>
      </c>
      <c r="H22" s="27" t="s">
        <v>72</v>
      </c>
      <c r="I22" s="27">
        <f>'MERCADO TUSD'!$U$19</f>
        <v>60.935000000000002</v>
      </c>
      <c r="J22" s="15"/>
      <c r="L22" s="17">
        <f>'TUSD BE'!$L$22*'TUSD BE'!$L$58</f>
        <v>0</v>
      </c>
      <c r="M22" s="17">
        <f>'TUSD BE'!$M$22*'TUSD BE'!$M$58</f>
        <v>5.5196781036103142E-2</v>
      </c>
      <c r="N22" s="17">
        <f ca="1">'TUSD BE'!$N$22*'TUSD BE'!$N$58</f>
        <v>0</v>
      </c>
      <c r="O22" s="17">
        <f>'TUSD BE'!$O$22*'TUSD BE'!$O$58</f>
        <v>0</v>
      </c>
      <c r="P22" s="17">
        <f>'TUSD BE'!$P$22*'TUSD BE'!$P$58</f>
        <v>0</v>
      </c>
      <c r="Q22" s="17">
        <f>'TUSD BE'!$Q$22*'TUSD BE'!$Q$58</f>
        <v>0</v>
      </c>
      <c r="R22" s="17">
        <f>'TUSD BE'!$R$22*'TUSD BE'!$R$58</f>
        <v>0</v>
      </c>
      <c r="S22" s="17">
        <f>'TUSD BE'!$R$22*'TUSD BE'!$S$58</f>
        <v>0</v>
      </c>
      <c r="T22" s="17">
        <f ca="1">SUM($L$22:$S$22)</f>
        <v>5.5196781036103142E-2</v>
      </c>
      <c r="U22" s="17">
        <f>'TUSD BE'!$U$22*'TUSD BE'!$U$58</f>
        <v>0</v>
      </c>
      <c r="V22" s="17">
        <f>'TUSD BE'!$V$22*'TUSD BE'!$V$58</f>
        <v>0</v>
      </c>
      <c r="W22" s="17">
        <f>'TUSD BE'!$W$22*'TUSD BE'!$W$58</f>
        <v>0</v>
      </c>
      <c r="X22" s="17">
        <f>'TUSD BE'!$X$22*'TUSD BE'!$X$58</f>
        <v>0</v>
      </c>
      <c r="Y22" s="17">
        <f>'TUSD BE'!$Y$22*'TUSD BE'!$Y$58</f>
        <v>-16.803884421740875</v>
      </c>
      <c r="Z22" s="17">
        <f>'TUSD BE'!$Z$22*'TUSD BE'!$Z$58</f>
        <v>0</v>
      </c>
      <c r="AA22" s="17">
        <f>'TUSD BE'!$AA$22*'TUSD BE'!$AA$58</f>
        <v>0</v>
      </c>
      <c r="AB22" s="17">
        <f>SUM($U$22:$AA$22)</f>
        <v>-16.803884421740875</v>
      </c>
      <c r="AC22" s="17">
        <f>'TUSD BE'!$AC$22*'TUSD BE'!$AC$58</f>
        <v>-154.27916419015384</v>
      </c>
      <c r="AD22" s="17">
        <f>SUM($AC$22:$AC$22)</f>
        <v>-154.27916419015384</v>
      </c>
      <c r="AE22" s="17">
        <f ca="1">$AO$22*$AO$55</f>
        <v>0</v>
      </c>
      <c r="AF22" s="17">
        <f ca="1">$AP$22*$AP$55</f>
        <v>0</v>
      </c>
      <c r="AG22" s="17">
        <f ca="1">SUM($AE$22:$AF$22)</f>
        <v>0</v>
      </c>
      <c r="AH22" s="17">
        <f>'TUSD BE'!$AH$22*'TUSD BE'!$AH$58</f>
        <v>1.0364246843483467</v>
      </c>
      <c r="AI22" s="17">
        <f>'TUSD BE'!$AI$22*'TUSD BE'!$AI$58</f>
        <v>0</v>
      </c>
      <c r="AJ22" s="17">
        <f ca="1">'TUSD BE'!$AJ$22*'TUSD BE'!$AJ$58</f>
        <v>0</v>
      </c>
      <c r="AK22" s="17">
        <f ca="1">'TUSD BE'!$AK$22*'TUSD BE'!$AK$58</f>
        <v>0</v>
      </c>
      <c r="AL22" s="17">
        <f ca="1">SUM($AH$22:$AK$22)</f>
        <v>1.0364246843483467</v>
      </c>
      <c r="AM22" s="17">
        <f ca="1">SUMIF($L$4:$AL$4,"SUBTOTAL",$L$22:$AL$22)</f>
        <v>-169.99142714651026</v>
      </c>
      <c r="AO22" s="29">
        <f ca="1">+'TUSD BE'!$T$22+'TUSD BE'!$AB$22+'TUSD BE'!$AD$22+'TUSD BE'!$AL$22</f>
        <v>479.27009207987442</v>
      </c>
      <c r="AP22" s="29">
        <f ca="1">+'TUSD BE'!$T$22+'TUSD BE'!$AB$22+'TUSD BE'!$AD$22+'TUSD BE'!$AL$22</f>
        <v>479.27009207987442</v>
      </c>
    </row>
    <row r="23" spans="1:42" ht="11.25" customHeight="1" x14ac:dyDescent="0.25">
      <c r="A23" s="94"/>
      <c r="B23" s="94"/>
      <c r="C23" s="94"/>
      <c r="D23" s="26" t="s">
        <v>31</v>
      </c>
      <c r="E23" s="26" t="s">
        <v>25</v>
      </c>
      <c r="F23" s="26" t="s">
        <v>25</v>
      </c>
      <c r="G23" s="27" t="s">
        <v>78</v>
      </c>
      <c r="H23" s="27" t="s">
        <v>72</v>
      </c>
      <c r="I23" s="27">
        <f>'MERCADO TUSD'!$U$20</f>
        <v>58.873999999999995</v>
      </c>
      <c r="J23" s="15"/>
      <c r="L23" s="17">
        <f>'TUSD BE'!$L$23*'TUSD BE'!$L$58</f>
        <v>0</v>
      </c>
      <c r="M23" s="17">
        <f>'TUSD BE'!$M$23*'TUSD BE'!$M$58</f>
        <v>5.5196781036103142E-2</v>
      </c>
      <c r="N23" s="17">
        <f ca="1">'TUSD BE'!$N$23*'TUSD BE'!$N$58</f>
        <v>0</v>
      </c>
      <c r="O23" s="17">
        <f>'TUSD BE'!$O$23*'TUSD BE'!$O$58</f>
        <v>0</v>
      </c>
      <c r="P23" s="17">
        <f>'TUSD BE'!$P$23*'TUSD BE'!$P$58</f>
        <v>0</v>
      </c>
      <c r="Q23" s="17">
        <f>'TUSD BE'!$Q$23*'TUSD BE'!$Q$58</f>
        <v>0</v>
      </c>
      <c r="R23" s="17">
        <f>'TUSD BE'!$R$23*'TUSD BE'!$R$58</f>
        <v>0</v>
      </c>
      <c r="S23" s="17">
        <f>'TUSD BE'!$R$23*'TUSD BE'!$S$58</f>
        <v>0</v>
      </c>
      <c r="T23" s="17">
        <f ca="1">SUM($L$23:$S$23)</f>
        <v>5.5196781036103142E-2</v>
      </c>
      <c r="U23" s="17">
        <f>'TUSD BE'!$U$23*'TUSD BE'!$U$58</f>
        <v>0</v>
      </c>
      <c r="V23" s="17">
        <f>'TUSD BE'!$V$23*'TUSD BE'!$V$58</f>
        <v>0</v>
      </c>
      <c r="W23" s="17">
        <f>'TUSD BE'!$W$23*'TUSD BE'!$W$58</f>
        <v>0</v>
      </c>
      <c r="X23" s="17">
        <f>'TUSD BE'!$X$23*'TUSD BE'!$X$58</f>
        <v>0</v>
      </c>
      <c r="Y23" s="17">
        <f>'TUSD BE'!$Y$23*'TUSD BE'!$Y$58</f>
        <v>-16.803884421740875</v>
      </c>
      <c r="Z23" s="17">
        <f>'TUSD BE'!$Z$23*'TUSD BE'!$Z$58</f>
        <v>0</v>
      </c>
      <c r="AA23" s="17">
        <f>'TUSD BE'!$AA$23*'TUSD BE'!$AA$58</f>
        <v>0</v>
      </c>
      <c r="AB23" s="17">
        <f>SUM($U$23:$AA$23)</f>
        <v>-16.803884421740875</v>
      </c>
      <c r="AC23" s="17">
        <f>'TUSD BE'!$AC$23*'TUSD BE'!$AC$58</f>
        <v>-154.27916419015384</v>
      </c>
      <c r="AD23" s="17">
        <f>SUM($AC$23:$AC$23)</f>
        <v>-154.27916419015384</v>
      </c>
      <c r="AE23" s="17">
        <f ca="1">$AO$23*$AO$55</f>
        <v>0</v>
      </c>
      <c r="AF23" s="17">
        <f ca="1">$AP$23*$AP$55</f>
        <v>0</v>
      </c>
      <c r="AG23" s="17">
        <f ca="1">SUM($AE$23:$AF$23)</f>
        <v>0</v>
      </c>
      <c r="AH23" s="17">
        <f>'TUSD BE'!$AH$23*'TUSD BE'!$AH$58</f>
        <v>1.0364246843483467</v>
      </c>
      <c r="AI23" s="17">
        <f>'TUSD BE'!$AI$23*'TUSD BE'!$AI$58</f>
        <v>0</v>
      </c>
      <c r="AJ23" s="17">
        <f ca="1">'TUSD BE'!$AJ$23*'TUSD BE'!$AJ$58</f>
        <v>0</v>
      </c>
      <c r="AK23" s="17">
        <f ca="1">'TUSD BE'!$AK$23*'TUSD BE'!$AK$58</f>
        <v>0</v>
      </c>
      <c r="AL23" s="17">
        <f ca="1">SUM($AH$23:$AK$23)</f>
        <v>1.0364246843483467</v>
      </c>
      <c r="AM23" s="17">
        <f ca="1">SUMIF($L$4:$AL$4,"SUBTOTAL",$L$23:$AL$23)</f>
        <v>-169.99142714651026</v>
      </c>
      <c r="AO23" s="29">
        <f ca="1">+'TUSD BE'!$T$23+'TUSD BE'!$AB$23+'TUSD BE'!$AD$23+'TUSD BE'!$AL$23</f>
        <v>479.27009207987442</v>
      </c>
      <c r="AP23" s="29">
        <f ca="1">+'TUSD BE'!$T$23+'TUSD BE'!$AB$23+'TUSD BE'!$AD$23+'TUSD BE'!$AL$23</f>
        <v>479.27009207987442</v>
      </c>
    </row>
    <row r="24" spans="1:42" ht="11.25" customHeight="1" x14ac:dyDescent="0.25">
      <c r="A24" s="94"/>
      <c r="B24" s="94"/>
      <c r="C24" s="94"/>
      <c r="D24" s="26" t="s">
        <v>32</v>
      </c>
      <c r="E24" s="26" t="s">
        <v>25</v>
      </c>
      <c r="F24" s="26" t="s">
        <v>25</v>
      </c>
      <c r="G24" s="27" t="s">
        <v>78</v>
      </c>
      <c r="H24" s="27" t="s">
        <v>72</v>
      </c>
      <c r="I24" s="27">
        <f>'MERCADO TUSD'!$U$21</f>
        <v>22.426000000000002</v>
      </c>
      <c r="J24" s="15"/>
      <c r="L24" s="17">
        <f>'TUSD BE'!$L$24*'TUSD BE'!$L$58</f>
        <v>0</v>
      </c>
      <c r="M24" s="17">
        <f>'TUSD BE'!$M$24*'TUSD BE'!$M$58</f>
        <v>5.5196781036103142E-2</v>
      </c>
      <c r="N24" s="17">
        <f ca="1">'TUSD BE'!$N$24*'TUSD BE'!$N$58</f>
        <v>0</v>
      </c>
      <c r="O24" s="17">
        <f>'TUSD BE'!$O$24*'TUSD BE'!$O$58</f>
        <v>0</v>
      </c>
      <c r="P24" s="17">
        <f>'TUSD BE'!$P$24*'TUSD BE'!$P$58</f>
        <v>0</v>
      </c>
      <c r="Q24" s="17">
        <f>'TUSD BE'!$Q$24*'TUSD BE'!$Q$58</f>
        <v>0</v>
      </c>
      <c r="R24" s="17">
        <f>'TUSD BE'!$R$24*'TUSD BE'!$R$58</f>
        <v>0</v>
      </c>
      <c r="S24" s="17">
        <f>'TUSD BE'!$R$24*'TUSD BE'!$S$58</f>
        <v>0</v>
      </c>
      <c r="T24" s="17">
        <f ca="1">SUM($L$24:$S$24)</f>
        <v>5.5196781036103142E-2</v>
      </c>
      <c r="U24" s="17">
        <f>'TUSD BE'!$U$24*'TUSD BE'!$U$58</f>
        <v>0</v>
      </c>
      <c r="V24" s="17">
        <f>'TUSD BE'!$V$24*'TUSD BE'!$V$58</f>
        <v>0</v>
      </c>
      <c r="W24" s="17">
        <f>'TUSD BE'!$W$24*'TUSD BE'!$W$58</f>
        <v>0</v>
      </c>
      <c r="X24" s="17">
        <f>'TUSD BE'!$X$24*'TUSD BE'!$X$58</f>
        <v>0</v>
      </c>
      <c r="Y24" s="17">
        <f>'TUSD BE'!$Y$24*'TUSD BE'!$Y$58</f>
        <v>-16.803884421740875</v>
      </c>
      <c r="Z24" s="17">
        <f>'TUSD BE'!$Z$24*'TUSD BE'!$Z$58</f>
        <v>0</v>
      </c>
      <c r="AA24" s="17">
        <f>'TUSD BE'!$AA$24*'TUSD BE'!$AA$58</f>
        <v>0</v>
      </c>
      <c r="AB24" s="17">
        <f>SUM($U$24:$AA$24)</f>
        <v>-16.803884421740875</v>
      </c>
      <c r="AC24" s="17">
        <f>'TUSD BE'!$AC$24*'TUSD BE'!$AC$58</f>
        <v>-154.27916419015384</v>
      </c>
      <c r="AD24" s="17">
        <f>SUM($AC$24:$AC$24)</f>
        <v>-154.27916419015384</v>
      </c>
      <c r="AE24" s="17">
        <f ca="1">$AO$24*$AO$55</f>
        <v>0</v>
      </c>
      <c r="AF24" s="17">
        <f ca="1">$AP$24*$AP$55</f>
        <v>0</v>
      </c>
      <c r="AG24" s="17">
        <f ca="1">SUM($AE$24:$AF$24)</f>
        <v>0</v>
      </c>
      <c r="AH24" s="17">
        <f>'TUSD BE'!$AH$24*'TUSD BE'!$AH$58</f>
        <v>1.0364246843483467</v>
      </c>
      <c r="AI24" s="17">
        <f>'TUSD BE'!$AI$24*'TUSD BE'!$AI$58</f>
        <v>0</v>
      </c>
      <c r="AJ24" s="17">
        <f ca="1">'TUSD BE'!$AJ$24*'TUSD BE'!$AJ$58</f>
        <v>0</v>
      </c>
      <c r="AK24" s="17">
        <f ca="1">'TUSD BE'!$AK$24*'TUSD BE'!$AK$58</f>
        <v>0</v>
      </c>
      <c r="AL24" s="17">
        <f ca="1">SUM($AH$24:$AK$24)</f>
        <v>1.0364246843483467</v>
      </c>
      <c r="AM24" s="17">
        <f ca="1">SUMIF($L$4:$AL$4,"SUBTOTAL",$L$24:$AL$24)</f>
        <v>-169.99142714651026</v>
      </c>
      <c r="AO24" s="29">
        <f ca="1">+'TUSD BE'!$T$24+'TUSD BE'!$AB$24+'TUSD BE'!$AD$24+'TUSD BE'!$AL$24</f>
        <v>479.27009207987442</v>
      </c>
      <c r="AP24" s="29">
        <f ca="1">+'TUSD BE'!$T$24+'TUSD BE'!$AB$24+'TUSD BE'!$AD$24+'TUSD BE'!$AL$24</f>
        <v>479.27009207987442</v>
      </c>
    </row>
    <row r="25" spans="1:42" ht="11.25" customHeight="1" x14ac:dyDescent="0.25">
      <c r="A25" s="94"/>
      <c r="B25" s="94" t="s">
        <v>87</v>
      </c>
      <c r="C25" s="94" t="s">
        <v>24</v>
      </c>
      <c r="D25" s="26" t="s">
        <v>24</v>
      </c>
      <c r="E25" s="26" t="s">
        <v>25</v>
      </c>
      <c r="F25" s="26" t="s">
        <v>25</v>
      </c>
      <c r="G25" s="27" t="s">
        <v>78</v>
      </c>
      <c r="H25" s="27" t="s">
        <v>72</v>
      </c>
      <c r="I25" s="27">
        <f>'MERCADO TUSD'!$U$22</f>
        <v>0</v>
      </c>
      <c r="J25" s="15"/>
      <c r="L25" s="17">
        <f>'TUSD BE'!$L$25*'TUSD BE'!$L$58</f>
        <v>0</v>
      </c>
      <c r="M25" s="17">
        <f>'TUSD BE'!$M$25*'TUSD BE'!$M$58</f>
        <v>5.5196781036103142E-2</v>
      </c>
      <c r="N25" s="17">
        <f ca="1">'TUSD BE'!$N$25*'TUSD BE'!$N$58</f>
        <v>0</v>
      </c>
      <c r="O25" s="17">
        <f>'TUSD BE'!$O$25*'TUSD BE'!$O$58</f>
        <v>0</v>
      </c>
      <c r="P25" s="17">
        <f>'TUSD BE'!$P$25*'TUSD BE'!$P$58</f>
        <v>0</v>
      </c>
      <c r="Q25" s="17">
        <f>'TUSD BE'!$Q$25*'TUSD BE'!$Q$58</f>
        <v>2.1094627039328584</v>
      </c>
      <c r="R25" s="17">
        <f>'TUSD BE'!$R$25*'TUSD BE'!$R$58</f>
        <v>0.30316417787960626</v>
      </c>
      <c r="S25" s="17">
        <f>'TUSD BE'!$R$25*'TUSD BE'!$S$58</f>
        <v>0</v>
      </c>
      <c r="T25" s="17">
        <f ca="1">SUM($L$25:$S$25)</f>
        <v>2.4678236628485677</v>
      </c>
      <c r="U25" s="17">
        <f>'TUSD BE'!$U$25*'TUSD BE'!$U$58</f>
        <v>0</v>
      </c>
      <c r="V25" s="17">
        <f>'TUSD BE'!$V$25*'TUSD BE'!$V$58</f>
        <v>0</v>
      </c>
      <c r="W25" s="17">
        <f>'TUSD BE'!$W$25*'TUSD BE'!$W$58</f>
        <v>0</v>
      </c>
      <c r="X25" s="17">
        <f>'TUSD BE'!$X$25*'TUSD BE'!$X$58</f>
        <v>0</v>
      </c>
      <c r="Y25" s="17">
        <f>'TUSD BE'!$Y$25*'TUSD BE'!$Y$58</f>
        <v>-16.803884421740875</v>
      </c>
      <c r="Z25" s="17">
        <f>'TUSD BE'!$Z$25*'TUSD BE'!$Z$58</f>
        <v>0</v>
      </c>
      <c r="AA25" s="17">
        <f>'TUSD BE'!$AA$25*'TUSD BE'!$AA$58</f>
        <v>0</v>
      </c>
      <c r="AB25" s="17">
        <f>SUM($U$25:$AA$25)</f>
        <v>-16.803884421740875</v>
      </c>
      <c r="AC25" s="17">
        <f>'TUSD BE'!$AC$25*'TUSD BE'!$AC$58</f>
        <v>-154.27916419015384</v>
      </c>
      <c r="AD25" s="17">
        <f>SUM($AC$25:$AC$25)</f>
        <v>-154.27916419015384</v>
      </c>
      <c r="AE25" s="17">
        <f ca="1">$AO$25*$AO$55</f>
        <v>0</v>
      </c>
      <c r="AF25" s="17">
        <f ca="1">$AP$25*$AP$55</f>
        <v>0</v>
      </c>
      <c r="AG25" s="17">
        <f ca="1">SUM($AE$25:$AF$25)</f>
        <v>0</v>
      </c>
      <c r="AH25" s="17">
        <f>'TUSD BE'!$AH$25*'TUSD BE'!$AH$58</f>
        <v>1.0364246843483467</v>
      </c>
      <c r="AI25" s="17">
        <f>'TUSD BE'!$AI$25*'TUSD BE'!$AI$58</f>
        <v>0</v>
      </c>
      <c r="AJ25" s="17">
        <f ca="1">'TUSD BE'!$AJ$25*'TUSD BE'!$AJ$58</f>
        <v>0</v>
      </c>
      <c r="AK25" s="17">
        <f ca="1">'TUSD BE'!$AK$25*'TUSD BE'!$AK$58</f>
        <v>0</v>
      </c>
      <c r="AL25" s="17">
        <f ca="1">SUM($AH$25:$AK$25)</f>
        <v>1.0364246843483467</v>
      </c>
      <c r="AM25" s="17">
        <f ca="1">SUMIF($L$4:$AL$4,"SUBTOTAL",$L$25:$AL$25)</f>
        <v>-167.5788002646978</v>
      </c>
      <c r="AO25" s="29">
        <f ca="1">+'TUSD BE'!$T$25+'TUSD BE'!$AB$25+'TUSD BE'!$AD$25+'TUSD BE'!$AL$25</f>
        <v>583.25330280533854</v>
      </c>
      <c r="AP25" s="29">
        <f ca="1">+'TUSD BE'!$T$25+'TUSD BE'!$AB$25+'TUSD BE'!$AD$25+'TUSD BE'!$AL$25</f>
        <v>583.25330280533854</v>
      </c>
    </row>
    <row r="26" spans="1:42" ht="11.25" customHeight="1" x14ac:dyDescent="0.25">
      <c r="A26" s="94"/>
      <c r="B26" s="94"/>
      <c r="C26" s="94"/>
      <c r="D26" s="26" t="s">
        <v>29</v>
      </c>
      <c r="E26" s="26" t="s">
        <v>25</v>
      </c>
      <c r="F26" s="26" t="s">
        <v>25</v>
      </c>
      <c r="G26" s="27" t="s">
        <v>78</v>
      </c>
      <c r="H26" s="27" t="s">
        <v>72</v>
      </c>
      <c r="I26" s="27">
        <f>'MERCADO TUSD'!$U$23</f>
        <v>0</v>
      </c>
      <c r="J26" s="15"/>
      <c r="L26" s="17">
        <f>'TUSD BE'!$L$26*'TUSD BE'!$L$58</f>
        <v>0</v>
      </c>
      <c r="M26" s="17">
        <f>'TUSD BE'!$M$26*'TUSD BE'!$M$58</f>
        <v>5.5196781036103142E-2</v>
      </c>
      <c r="N26" s="17">
        <f ca="1">'TUSD BE'!$N$26*'TUSD BE'!$N$58</f>
        <v>0</v>
      </c>
      <c r="O26" s="17">
        <f>'TUSD BE'!$O$26*'TUSD BE'!$O$58</f>
        <v>0</v>
      </c>
      <c r="P26" s="17">
        <f>'TUSD BE'!$P$26*'TUSD BE'!$P$58</f>
        <v>0</v>
      </c>
      <c r="Q26" s="17">
        <f>'TUSD BE'!$Q$26*'TUSD BE'!$Q$58</f>
        <v>0</v>
      </c>
      <c r="R26" s="17">
        <f>'TUSD BE'!$R$26*'TUSD BE'!$R$58</f>
        <v>0</v>
      </c>
      <c r="S26" s="17">
        <f>'TUSD BE'!$R$26*'TUSD BE'!$S$58</f>
        <v>0</v>
      </c>
      <c r="T26" s="17">
        <f ca="1">SUM($L$26:$S$26)</f>
        <v>5.5196781036103142E-2</v>
      </c>
      <c r="U26" s="17">
        <f>'TUSD BE'!$U$26*'TUSD BE'!$U$58</f>
        <v>0</v>
      </c>
      <c r="V26" s="17">
        <f>'TUSD BE'!$V$26*'TUSD BE'!$V$58</f>
        <v>0</v>
      </c>
      <c r="W26" s="17">
        <f>'TUSD BE'!$W$26*'TUSD BE'!$W$58</f>
        <v>0</v>
      </c>
      <c r="X26" s="17">
        <f>'TUSD BE'!$X$26*'TUSD BE'!$X$58</f>
        <v>0</v>
      </c>
      <c r="Y26" s="17">
        <f>'TUSD BE'!$Y$26*'TUSD BE'!$Y$58</f>
        <v>-16.803884421740875</v>
      </c>
      <c r="Z26" s="17">
        <f>'TUSD BE'!$Z$26*'TUSD BE'!$Z$58</f>
        <v>0</v>
      </c>
      <c r="AA26" s="17">
        <f>'TUSD BE'!$AA$26*'TUSD BE'!$AA$58</f>
        <v>0</v>
      </c>
      <c r="AB26" s="17">
        <f>SUM($U$26:$AA$26)</f>
        <v>-16.803884421740875</v>
      </c>
      <c r="AC26" s="17">
        <f>'TUSD BE'!$AC$26*'TUSD BE'!$AC$58</f>
        <v>-154.27916419015384</v>
      </c>
      <c r="AD26" s="17">
        <f>SUM($AC$26:$AC$26)</f>
        <v>-154.27916419015384</v>
      </c>
      <c r="AE26" s="17">
        <f ca="1">$AO$26*$AO$55</f>
        <v>0</v>
      </c>
      <c r="AF26" s="17">
        <f ca="1">$AP$26*$AP$55</f>
        <v>0</v>
      </c>
      <c r="AG26" s="17">
        <f ca="1">SUM($AE$26:$AF$26)</f>
        <v>0</v>
      </c>
      <c r="AH26" s="17">
        <f>'TUSD BE'!$AH$26*'TUSD BE'!$AH$58</f>
        <v>1.0364246843483467</v>
      </c>
      <c r="AI26" s="17">
        <f>'TUSD BE'!$AI$26*'TUSD BE'!$AI$58</f>
        <v>0</v>
      </c>
      <c r="AJ26" s="17">
        <f ca="1">'TUSD BE'!$AJ$26*'TUSD BE'!$AJ$58</f>
        <v>0</v>
      </c>
      <c r="AK26" s="17">
        <f ca="1">'TUSD BE'!$AK$26*'TUSD BE'!$AK$58</f>
        <v>0</v>
      </c>
      <c r="AL26" s="17">
        <f ca="1">SUM($AH$26:$AK$26)</f>
        <v>1.0364246843483467</v>
      </c>
      <c r="AM26" s="17">
        <f ca="1">SUMIF($L$4:$AL$4,"SUBTOTAL",$L$26:$AL$26)</f>
        <v>-169.99142714651026</v>
      </c>
      <c r="AO26" s="29">
        <f ca="1">+'TUSD BE'!$T$26+'TUSD BE'!$AB$26+'TUSD BE'!$AD$26+'TUSD BE'!$AL$26</f>
        <v>479.27009207987442</v>
      </c>
      <c r="AP26" s="29">
        <f ca="1">+'TUSD BE'!$T$26+'TUSD BE'!$AB$26+'TUSD BE'!$AD$26+'TUSD BE'!$AL$26</f>
        <v>479.27009207987442</v>
      </c>
    </row>
    <row r="27" spans="1:42" ht="11.25" customHeight="1" x14ac:dyDescent="0.25">
      <c r="A27" s="94"/>
      <c r="B27" s="94"/>
      <c r="C27" s="94"/>
      <c r="D27" s="26" t="s">
        <v>30</v>
      </c>
      <c r="E27" s="26" t="s">
        <v>25</v>
      </c>
      <c r="F27" s="26" t="s">
        <v>25</v>
      </c>
      <c r="G27" s="27" t="s">
        <v>78</v>
      </c>
      <c r="H27" s="27" t="s">
        <v>72</v>
      </c>
      <c r="I27" s="27">
        <f>'MERCADO TUSD'!$U$24</f>
        <v>0</v>
      </c>
      <c r="J27" s="15"/>
      <c r="L27" s="17">
        <f>'TUSD BE'!$L$27*'TUSD BE'!$L$58</f>
        <v>0</v>
      </c>
      <c r="M27" s="17">
        <f>'TUSD BE'!$M$27*'TUSD BE'!$M$58</f>
        <v>5.5196781036103142E-2</v>
      </c>
      <c r="N27" s="17">
        <f ca="1">'TUSD BE'!$N$27*'TUSD BE'!$N$58</f>
        <v>0</v>
      </c>
      <c r="O27" s="17">
        <f>'TUSD BE'!$O$27*'TUSD BE'!$O$58</f>
        <v>0</v>
      </c>
      <c r="P27" s="17">
        <f>'TUSD BE'!$P$27*'TUSD BE'!$P$58</f>
        <v>0</v>
      </c>
      <c r="Q27" s="17">
        <f>'TUSD BE'!$Q$27*'TUSD BE'!$Q$58</f>
        <v>0</v>
      </c>
      <c r="R27" s="17">
        <f>'TUSD BE'!$R$27*'TUSD BE'!$R$58</f>
        <v>0</v>
      </c>
      <c r="S27" s="17">
        <f>'TUSD BE'!$R$27*'TUSD BE'!$S$58</f>
        <v>0</v>
      </c>
      <c r="T27" s="17">
        <f ca="1">SUM($L$27:$S$27)</f>
        <v>5.5196781036103142E-2</v>
      </c>
      <c r="U27" s="17">
        <f>'TUSD BE'!$U$27*'TUSD BE'!$U$58</f>
        <v>0</v>
      </c>
      <c r="V27" s="17">
        <f>'TUSD BE'!$V$27*'TUSD BE'!$V$58</f>
        <v>0</v>
      </c>
      <c r="W27" s="17">
        <f>'TUSD BE'!$W$27*'TUSD BE'!$W$58</f>
        <v>0</v>
      </c>
      <c r="X27" s="17">
        <f>'TUSD BE'!$X$27*'TUSD BE'!$X$58</f>
        <v>0</v>
      </c>
      <c r="Y27" s="17">
        <f>'TUSD BE'!$Y$27*'TUSD BE'!$Y$58</f>
        <v>-16.803884421740875</v>
      </c>
      <c r="Z27" s="17">
        <f>'TUSD BE'!$Z$27*'TUSD BE'!$Z$58</f>
        <v>0</v>
      </c>
      <c r="AA27" s="17">
        <f>'TUSD BE'!$AA$27*'TUSD BE'!$AA$58</f>
        <v>0</v>
      </c>
      <c r="AB27" s="17">
        <f>SUM($U$27:$AA$27)</f>
        <v>-16.803884421740875</v>
      </c>
      <c r="AC27" s="17">
        <f>'TUSD BE'!$AC$27*'TUSD BE'!$AC$58</f>
        <v>-154.27916419015384</v>
      </c>
      <c r="AD27" s="17">
        <f>SUM($AC$27:$AC$27)</f>
        <v>-154.27916419015384</v>
      </c>
      <c r="AE27" s="17">
        <f ca="1">$AO$27*$AO$55</f>
        <v>0</v>
      </c>
      <c r="AF27" s="17">
        <f ca="1">$AP$27*$AP$55</f>
        <v>0</v>
      </c>
      <c r="AG27" s="17">
        <f ca="1">SUM($AE$27:$AF$27)</f>
        <v>0</v>
      </c>
      <c r="AH27" s="17">
        <f>'TUSD BE'!$AH$27*'TUSD BE'!$AH$58</f>
        <v>1.0364246843483467</v>
      </c>
      <c r="AI27" s="17">
        <f>'TUSD BE'!$AI$27*'TUSD BE'!$AI$58</f>
        <v>0</v>
      </c>
      <c r="AJ27" s="17">
        <f ca="1">'TUSD BE'!$AJ$27*'TUSD BE'!$AJ$58</f>
        <v>0</v>
      </c>
      <c r="AK27" s="17">
        <f ca="1">'TUSD BE'!$AK$27*'TUSD BE'!$AK$58</f>
        <v>0</v>
      </c>
      <c r="AL27" s="17">
        <f ca="1">SUM($AH$27:$AK$27)</f>
        <v>1.0364246843483467</v>
      </c>
      <c r="AM27" s="17">
        <f ca="1">SUMIF($L$4:$AL$4,"SUBTOTAL",$L$27:$AL$27)</f>
        <v>-169.99142714651026</v>
      </c>
      <c r="AO27" s="29">
        <f ca="1">+'TUSD BE'!$T$27+'TUSD BE'!$AB$27+'TUSD BE'!$AD$27+'TUSD BE'!$AL$27</f>
        <v>479.27009207987442</v>
      </c>
      <c r="AP27" s="29">
        <f ca="1">+'TUSD BE'!$T$27+'TUSD BE'!$AB$27+'TUSD BE'!$AD$27+'TUSD BE'!$AL$27</f>
        <v>479.27009207987442</v>
      </c>
    </row>
    <row r="28" spans="1:42" ht="11.25" customHeight="1" x14ac:dyDescent="0.25">
      <c r="A28" s="94"/>
      <c r="B28" s="94"/>
      <c r="C28" s="94"/>
      <c r="D28" s="26" t="s">
        <v>31</v>
      </c>
      <c r="E28" s="26" t="s">
        <v>25</v>
      </c>
      <c r="F28" s="26" t="s">
        <v>25</v>
      </c>
      <c r="G28" s="27" t="s">
        <v>78</v>
      </c>
      <c r="H28" s="27" t="s">
        <v>72</v>
      </c>
      <c r="I28" s="27">
        <f>'MERCADO TUSD'!$U$25</f>
        <v>0</v>
      </c>
      <c r="J28" s="15"/>
      <c r="L28" s="17">
        <f>'TUSD BE'!$L$28*'TUSD BE'!$L$58</f>
        <v>0</v>
      </c>
      <c r="M28" s="17">
        <f>'TUSD BE'!$M$28*'TUSD BE'!$M$58</f>
        <v>5.5196781036103142E-2</v>
      </c>
      <c r="N28" s="17">
        <f ca="1">'TUSD BE'!$N$28*'TUSD BE'!$N$58</f>
        <v>0</v>
      </c>
      <c r="O28" s="17">
        <f>'TUSD BE'!$O$28*'TUSD BE'!$O$58</f>
        <v>0</v>
      </c>
      <c r="P28" s="17">
        <f>'TUSD BE'!$P$28*'TUSD BE'!$P$58</f>
        <v>0</v>
      </c>
      <c r="Q28" s="17">
        <f>'TUSD BE'!$Q$28*'TUSD BE'!$Q$58</f>
        <v>0</v>
      </c>
      <c r="R28" s="17">
        <f>'TUSD BE'!$R$28*'TUSD BE'!$R$58</f>
        <v>0</v>
      </c>
      <c r="S28" s="17">
        <f>'TUSD BE'!$R$28*'TUSD BE'!$S$58</f>
        <v>0</v>
      </c>
      <c r="T28" s="17">
        <f ca="1">SUM($L$28:$S$28)</f>
        <v>5.5196781036103142E-2</v>
      </c>
      <c r="U28" s="17">
        <f>'TUSD BE'!$U$28*'TUSD BE'!$U$58</f>
        <v>0</v>
      </c>
      <c r="V28" s="17">
        <f>'TUSD BE'!$V$28*'TUSD BE'!$V$58</f>
        <v>0</v>
      </c>
      <c r="W28" s="17">
        <f>'TUSD BE'!$W$28*'TUSD BE'!$W$58</f>
        <v>0</v>
      </c>
      <c r="X28" s="17">
        <f>'TUSD BE'!$X$28*'TUSD BE'!$X$58</f>
        <v>0</v>
      </c>
      <c r="Y28" s="17">
        <f>'TUSD BE'!$Y$28*'TUSD BE'!$Y$58</f>
        <v>-16.803884421740875</v>
      </c>
      <c r="Z28" s="17">
        <f>'TUSD BE'!$Z$28*'TUSD BE'!$Z$58</f>
        <v>0</v>
      </c>
      <c r="AA28" s="17">
        <f>'TUSD BE'!$AA$28*'TUSD BE'!$AA$58</f>
        <v>0</v>
      </c>
      <c r="AB28" s="17">
        <f>SUM($U$28:$AA$28)</f>
        <v>-16.803884421740875</v>
      </c>
      <c r="AC28" s="17">
        <f>'TUSD BE'!$AC$28*'TUSD BE'!$AC$58</f>
        <v>-154.27916419015384</v>
      </c>
      <c r="AD28" s="17">
        <f>SUM($AC$28:$AC$28)</f>
        <v>-154.27916419015384</v>
      </c>
      <c r="AE28" s="17">
        <f ca="1">$AO$28*$AO$55</f>
        <v>0</v>
      </c>
      <c r="AF28" s="17">
        <f ca="1">$AP$28*$AP$55</f>
        <v>0</v>
      </c>
      <c r="AG28" s="17">
        <f ca="1">SUM($AE$28:$AF$28)</f>
        <v>0</v>
      </c>
      <c r="AH28" s="17">
        <f>'TUSD BE'!$AH$28*'TUSD BE'!$AH$58</f>
        <v>1.0364246843483467</v>
      </c>
      <c r="AI28" s="17">
        <f>'TUSD BE'!$AI$28*'TUSD BE'!$AI$58</f>
        <v>0</v>
      </c>
      <c r="AJ28" s="17">
        <f ca="1">'TUSD BE'!$AJ$28*'TUSD BE'!$AJ$58</f>
        <v>0</v>
      </c>
      <c r="AK28" s="17">
        <f ca="1">'TUSD BE'!$AK$28*'TUSD BE'!$AK$58</f>
        <v>0</v>
      </c>
      <c r="AL28" s="17">
        <f ca="1">SUM($AH$28:$AK$28)</f>
        <v>1.0364246843483467</v>
      </c>
      <c r="AM28" s="17">
        <f ca="1">SUMIF($L$4:$AL$4,"SUBTOTAL",$L$28:$AL$28)</f>
        <v>-169.99142714651026</v>
      </c>
      <c r="AO28" s="29">
        <f ca="1">+'TUSD BE'!$T$28+'TUSD BE'!$AB$28+'TUSD BE'!$AD$28+'TUSD BE'!$AL$28</f>
        <v>479.27009207987442</v>
      </c>
      <c r="AP28" s="29">
        <f ca="1">+'TUSD BE'!$T$28+'TUSD BE'!$AB$28+'TUSD BE'!$AD$28+'TUSD BE'!$AL$28</f>
        <v>479.27009207987442</v>
      </c>
    </row>
    <row r="29" spans="1:42" ht="11.25" customHeight="1" x14ac:dyDescent="0.25">
      <c r="A29" s="94"/>
      <c r="B29" s="94"/>
      <c r="C29" s="94"/>
      <c r="D29" s="26" t="s">
        <v>32</v>
      </c>
      <c r="E29" s="26" t="s">
        <v>25</v>
      </c>
      <c r="F29" s="26" t="s">
        <v>25</v>
      </c>
      <c r="G29" s="27" t="s">
        <v>78</v>
      </c>
      <c r="H29" s="27" t="s">
        <v>72</v>
      </c>
      <c r="I29" s="27">
        <f>'MERCADO TUSD'!$U$26</f>
        <v>0</v>
      </c>
      <c r="J29" s="15"/>
      <c r="L29" s="17">
        <f>'TUSD BE'!$L$29*'TUSD BE'!$L$58</f>
        <v>0</v>
      </c>
      <c r="M29" s="17">
        <f>'TUSD BE'!$M$29*'TUSD BE'!$M$58</f>
        <v>5.5196781036103142E-2</v>
      </c>
      <c r="N29" s="17">
        <f ca="1">'TUSD BE'!$N$29*'TUSD BE'!$N$58</f>
        <v>0</v>
      </c>
      <c r="O29" s="17">
        <f>'TUSD BE'!$O$29*'TUSD BE'!$O$58</f>
        <v>0</v>
      </c>
      <c r="P29" s="17">
        <f>'TUSD BE'!$P$29*'TUSD BE'!$P$58</f>
        <v>0</v>
      </c>
      <c r="Q29" s="17">
        <f>'TUSD BE'!$Q$29*'TUSD BE'!$Q$58</f>
        <v>0</v>
      </c>
      <c r="R29" s="17">
        <f>'TUSD BE'!$R$29*'TUSD BE'!$R$58</f>
        <v>0</v>
      </c>
      <c r="S29" s="17">
        <f>'TUSD BE'!$R$29*'TUSD BE'!$S$58</f>
        <v>0</v>
      </c>
      <c r="T29" s="17">
        <f ca="1">SUM($L$29:$S$29)</f>
        <v>5.5196781036103142E-2</v>
      </c>
      <c r="U29" s="17">
        <f>'TUSD BE'!$U$29*'TUSD BE'!$U$58</f>
        <v>0</v>
      </c>
      <c r="V29" s="17">
        <f>'TUSD BE'!$V$29*'TUSD BE'!$V$58</f>
        <v>0</v>
      </c>
      <c r="W29" s="17">
        <f>'TUSD BE'!$W$29*'TUSD BE'!$W$58</f>
        <v>0</v>
      </c>
      <c r="X29" s="17">
        <f>'TUSD BE'!$X$29*'TUSD BE'!$X$58</f>
        <v>0</v>
      </c>
      <c r="Y29" s="17">
        <f>'TUSD BE'!$Y$29*'TUSD BE'!$Y$58</f>
        <v>-16.803884421740875</v>
      </c>
      <c r="Z29" s="17">
        <f>'TUSD BE'!$Z$29*'TUSD BE'!$Z$58</f>
        <v>0</v>
      </c>
      <c r="AA29" s="17">
        <f>'TUSD BE'!$AA$29*'TUSD BE'!$AA$58</f>
        <v>0</v>
      </c>
      <c r="AB29" s="17">
        <f>SUM($U$29:$AA$29)</f>
        <v>-16.803884421740875</v>
      </c>
      <c r="AC29" s="17">
        <f>'TUSD BE'!$AC$29*'TUSD BE'!$AC$58</f>
        <v>-154.27916419015384</v>
      </c>
      <c r="AD29" s="17">
        <f>SUM($AC$29:$AC$29)</f>
        <v>-154.27916419015384</v>
      </c>
      <c r="AE29" s="17">
        <f ca="1">$AO$29*$AO$55</f>
        <v>0</v>
      </c>
      <c r="AF29" s="17">
        <f ca="1">$AP$29*$AP$55</f>
        <v>0</v>
      </c>
      <c r="AG29" s="17">
        <f ca="1">SUM($AE$29:$AF$29)</f>
        <v>0</v>
      </c>
      <c r="AH29" s="17">
        <f>'TUSD BE'!$AH$29*'TUSD BE'!$AH$58</f>
        <v>1.0364246843483467</v>
      </c>
      <c r="AI29" s="17">
        <f>'TUSD BE'!$AI$29*'TUSD BE'!$AI$58</f>
        <v>0</v>
      </c>
      <c r="AJ29" s="17">
        <f ca="1">'TUSD BE'!$AJ$29*'TUSD BE'!$AJ$58</f>
        <v>0</v>
      </c>
      <c r="AK29" s="17">
        <f ca="1">'TUSD BE'!$AK$29*'TUSD BE'!$AK$58</f>
        <v>0</v>
      </c>
      <c r="AL29" s="17">
        <f ca="1">SUM($AH$29:$AK$29)</f>
        <v>1.0364246843483467</v>
      </c>
      <c r="AM29" s="17">
        <f ca="1">SUMIF($L$4:$AL$4,"SUBTOTAL",$L$29:$AL$29)</f>
        <v>-169.99142714651026</v>
      </c>
      <c r="AO29" s="29">
        <f ca="1">+'TUSD BE'!$T$29+'TUSD BE'!$AB$29+'TUSD BE'!$AD$29+'TUSD BE'!$AL$29</f>
        <v>479.27009207987442</v>
      </c>
      <c r="AP29" s="29">
        <f ca="1">+'TUSD BE'!$T$29+'TUSD BE'!$AB$29+'TUSD BE'!$AD$29+'TUSD BE'!$AL$29</f>
        <v>479.27009207987442</v>
      </c>
    </row>
    <row r="30" spans="1:42" ht="11.25" customHeight="1" x14ac:dyDescent="0.25">
      <c r="A30" s="94" t="s">
        <v>40</v>
      </c>
      <c r="B30" s="94" t="s">
        <v>85</v>
      </c>
      <c r="C30" s="94" t="s">
        <v>41</v>
      </c>
      <c r="D30" s="94" t="s">
        <v>25</v>
      </c>
      <c r="E30" s="94" t="s">
        <v>25</v>
      </c>
      <c r="F30" s="94" t="s">
        <v>25</v>
      </c>
      <c r="G30" s="27" t="s">
        <v>73</v>
      </c>
      <c r="H30" s="27" t="s">
        <v>72</v>
      </c>
      <c r="I30" s="27">
        <f>'MERCADO TUSD'!$U$27</f>
        <v>0</v>
      </c>
      <c r="J30" s="15"/>
      <c r="L30" s="17">
        <f>'TUSD BE'!$L$30*'TUSD BE'!$L$58</f>
        <v>0</v>
      </c>
      <c r="M30" s="17">
        <f>'TUSD BE'!$M$30*'TUSD BE'!$M$58</f>
        <v>5.5196781036103142E-2</v>
      </c>
      <c r="N30" s="17">
        <f ca="1">'TUSD BE'!$N$30*'TUSD BE'!$N$58</f>
        <v>0</v>
      </c>
      <c r="O30" s="17">
        <f>'TUSD BE'!$O$30*'TUSD BE'!$O$58</f>
        <v>0</v>
      </c>
      <c r="P30" s="17">
        <f>'TUSD BE'!$P$30*'TUSD BE'!$P$58</f>
        <v>0</v>
      </c>
      <c r="Q30" s="17">
        <f>'TUSD BE'!$Q$30*'TUSD BE'!$Q$58</f>
        <v>2.1094627039328584</v>
      </c>
      <c r="R30" s="17">
        <f>'TUSD BE'!$R$30*'TUSD BE'!$R$58</f>
        <v>0.30316417787960626</v>
      </c>
      <c r="S30" s="17">
        <f>'TUSD BE'!$R$30*'TUSD BE'!$S$58</f>
        <v>0</v>
      </c>
      <c r="T30" s="17">
        <f ca="1">SUM($L$30:$S$30)</f>
        <v>2.4678236628485677</v>
      </c>
      <c r="U30" s="17">
        <f>'TUSD BE'!$U$30*'TUSD BE'!$U$58</f>
        <v>0</v>
      </c>
      <c r="V30" s="17">
        <f>'TUSD BE'!$V$30*'TUSD BE'!$V$58</f>
        <v>0</v>
      </c>
      <c r="W30" s="17">
        <f>'TUSD BE'!$W$30*'TUSD BE'!$W$58</f>
        <v>0</v>
      </c>
      <c r="X30" s="17">
        <f>'TUSD BE'!$X$30*'TUSD BE'!$X$58</f>
        <v>0</v>
      </c>
      <c r="Y30" s="17">
        <f>'TUSD BE'!$Y$30*'TUSD BE'!$Y$58</f>
        <v>-49.573551057736289</v>
      </c>
      <c r="Z30" s="17">
        <f>'TUSD BE'!$Z$30*'TUSD BE'!$Z$58</f>
        <v>0</v>
      </c>
      <c r="AA30" s="17">
        <f>'TUSD BE'!$AA$30*'TUSD BE'!$AA$58</f>
        <v>0</v>
      </c>
      <c r="AB30" s="17">
        <f>SUM($U$30:$AA$30)</f>
        <v>-49.573551057736289</v>
      </c>
      <c r="AC30" s="17">
        <f>'TUSD BE'!$AC$30*'TUSD BE'!$AC$58</f>
        <v>-455.12355335203353</v>
      </c>
      <c r="AD30" s="17">
        <f>SUM($AC$30:$AC$30)</f>
        <v>-455.12355335203353</v>
      </c>
      <c r="AE30" s="17">
        <f ca="1">$AO$30*$AO$55</f>
        <v>0</v>
      </c>
      <c r="AF30" s="17">
        <f ca="1">$AP$30*$AP$55</f>
        <v>0</v>
      </c>
      <c r="AG30" s="17">
        <f ca="1">SUM($AE$30:$AF$30)</f>
        <v>0</v>
      </c>
      <c r="AH30" s="17">
        <f>'TUSD BE'!$AH$30*'TUSD BE'!$AH$58</f>
        <v>1.0364246843483467</v>
      </c>
      <c r="AI30" s="17">
        <f>'TUSD BE'!$AI$30*'TUSD BE'!$AI$58</f>
        <v>0</v>
      </c>
      <c r="AJ30" s="17">
        <f ca="1">'TUSD BE'!$AJ$30*'TUSD BE'!$AJ$58</f>
        <v>0</v>
      </c>
      <c r="AK30" s="17">
        <f ca="1">'TUSD BE'!$AK$30*'TUSD BE'!$AK$58</f>
        <v>0</v>
      </c>
      <c r="AL30" s="17">
        <f ca="1">SUM($AH$30:$AK$30)</f>
        <v>1.0364246843483467</v>
      </c>
      <c r="AM30" s="17">
        <f ca="1">SUMIF($L$4:$AL$4,"SUBTOTAL",$L$30:$AL$30)</f>
        <v>-501.1928560625729</v>
      </c>
      <c r="AO30" s="29">
        <f ca="1">+'TUSD BE'!$T$30+'TUSD BE'!$AB$30+'TUSD BE'!$AD$30+'TUSD BE'!$AL$30</f>
        <v>1479.8785180097784</v>
      </c>
      <c r="AP30" s="29">
        <f ca="1">+'TUSD BE'!$T$30+'TUSD BE'!$AB$30+'TUSD BE'!$AD$30+'TUSD BE'!$AL$30</f>
        <v>1479.8785180097784</v>
      </c>
    </row>
    <row r="31" spans="1:42" ht="11.25" customHeight="1" x14ac:dyDescent="0.25">
      <c r="A31" s="94"/>
      <c r="B31" s="94"/>
      <c r="C31" s="94"/>
      <c r="D31" s="94"/>
      <c r="E31" s="94"/>
      <c r="F31" s="94"/>
      <c r="G31" s="27" t="s">
        <v>83</v>
      </c>
      <c r="H31" s="27" t="s">
        <v>72</v>
      </c>
      <c r="I31" s="27">
        <f>'MERCADO TUSD'!$U$28</f>
        <v>0</v>
      </c>
      <c r="J31" s="15"/>
      <c r="L31" s="17">
        <f>'TUSD BE'!$L$31*'TUSD BE'!$L$58</f>
        <v>0</v>
      </c>
      <c r="M31" s="17">
        <f>'TUSD BE'!$M$31*'TUSD BE'!$M$58</f>
        <v>5.5196781036103142E-2</v>
      </c>
      <c r="N31" s="17">
        <f ca="1">'TUSD BE'!$N$31*'TUSD BE'!$N$58</f>
        <v>0</v>
      </c>
      <c r="O31" s="17">
        <f>'TUSD BE'!$O$31*'TUSD BE'!$O$58</f>
        <v>0</v>
      </c>
      <c r="P31" s="17">
        <f>'TUSD BE'!$P$31*'TUSD BE'!$P$58</f>
        <v>0</v>
      </c>
      <c r="Q31" s="17">
        <f>'TUSD BE'!$Q$31*'TUSD BE'!$Q$58</f>
        <v>2.1094627039328584</v>
      </c>
      <c r="R31" s="17">
        <f>'TUSD BE'!$R$31*'TUSD BE'!$R$58</f>
        <v>0.30316417787960626</v>
      </c>
      <c r="S31" s="17">
        <f>'TUSD BE'!$R$31*'TUSD BE'!$S$58</f>
        <v>0</v>
      </c>
      <c r="T31" s="17">
        <f ca="1">SUM($L$31:$S$31)</f>
        <v>2.4678236628485677</v>
      </c>
      <c r="U31" s="17">
        <f>'TUSD BE'!$U$31*'TUSD BE'!$U$58</f>
        <v>0</v>
      </c>
      <c r="V31" s="17">
        <f>'TUSD BE'!$V$31*'TUSD BE'!$V$58</f>
        <v>0</v>
      </c>
      <c r="W31" s="17">
        <f>'TUSD BE'!$W$31*'TUSD BE'!$W$58</f>
        <v>0</v>
      </c>
      <c r="X31" s="17">
        <f>'TUSD BE'!$X$31*'TUSD BE'!$X$58</f>
        <v>0</v>
      </c>
      <c r="Y31" s="17">
        <f>'TUSD BE'!$Y$31*'TUSD BE'!$Y$58</f>
        <v>-29.740809035750743</v>
      </c>
      <c r="Z31" s="17">
        <f>'TUSD BE'!$Z$31*'TUSD BE'!$Z$58</f>
        <v>0</v>
      </c>
      <c r="AA31" s="17">
        <f>'TUSD BE'!$AA$31*'TUSD BE'!$AA$58</f>
        <v>0</v>
      </c>
      <c r="AB31" s="17">
        <f>SUM($U$31:$AA$31)</f>
        <v>-29.740809035750743</v>
      </c>
      <c r="AC31" s="17">
        <f>'TUSD BE'!$AC$31*'TUSD BE'!$AC$58</f>
        <v>-273.07401806474138</v>
      </c>
      <c r="AD31" s="17">
        <f>SUM($AC$31:$AC$31)</f>
        <v>-273.07401806474138</v>
      </c>
      <c r="AE31" s="17">
        <f ca="1">$AO$31*$AO$55</f>
        <v>0</v>
      </c>
      <c r="AF31" s="17">
        <f ca="1">$AP$31*$AP$55</f>
        <v>0</v>
      </c>
      <c r="AG31" s="17">
        <f ca="1">SUM($AE$31:$AF$31)</f>
        <v>0</v>
      </c>
      <c r="AH31" s="17">
        <f>'TUSD BE'!$AH$31*'TUSD BE'!$AH$58</f>
        <v>1.0364246843483467</v>
      </c>
      <c r="AI31" s="17">
        <f>'TUSD BE'!$AI$31*'TUSD BE'!$AI$58</f>
        <v>0</v>
      </c>
      <c r="AJ31" s="17">
        <f ca="1">'TUSD BE'!$AJ$31*'TUSD BE'!$AJ$58</f>
        <v>0</v>
      </c>
      <c r="AK31" s="17">
        <f ca="1">'TUSD BE'!$AK$31*'TUSD BE'!$AK$58</f>
        <v>0</v>
      </c>
      <c r="AL31" s="17">
        <f ca="1">SUM($AH$31:$AK$31)</f>
        <v>1.0364246843483467</v>
      </c>
      <c r="AM31" s="17">
        <f ca="1">SUMIF($L$4:$AL$4,"SUBTOTAL",$L$31:$AL$31)</f>
        <v>-299.3105787532952</v>
      </c>
      <c r="AO31" s="29">
        <f ca="1">+'TUSD BE'!$T$31+'TUSD BE'!$AB$31+'TUSD BE'!$AD$31+'TUSD BE'!$AL$31</f>
        <v>937.28458775336549</v>
      </c>
      <c r="AP31" s="29">
        <f ca="1">+'TUSD BE'!$T$31+'TUSD BE'!$AB$31+'TUSD BE'!$AD$31+'TUSD BE'!$AL$31</f>
        <v>937.28458775336549</v>
      </c>
    </row>
    <row r="32" spans="1:42" ht="11.25" customHeight="1" x14ac:dyDescent="0.25">
      <c r="A32" s="94"/>
      <c r="B32" s="94"/>
      <c r="C32" s="94"/>
      <c r="D32" s="94"/>
      <c r="E32" s="94"/>
      <c r="F32" s="94"/>
      <c r="G32" s="27" t="s">
        <v>74</v>
      </c>
      <c r="H32" s="27" t="s">
        <v>72</v>
      </c>
      <c r="I32" s="27">
        <f>'MERCADO TUSD'!$U$29</f>
        <v>0</v>
      </c>
      <c r="J32" s="15"/>
      <c r="L32" s="17">
        <f>'TUSD BE'!$L$32*'TUSD BE'!$L$58</f>
        <v>0</v>
      </c>
      <c r="M32" s="17">
        <f>'TUSD BE'!$M$32*'TUSD BE'!$M$58</f>
        <v>5.5196781036103142E-2</v>
      </c>
      <c r="N32" s="17">
        <f ca="1">'TUSD BE'!$N$32*'TUSD BE'!$N$58</f>
        <v>0</v>
      </c>
      <c r="O32" s="17">
        <f>'TUSD BE'!$O$32*'TUSD BE'!$O$58</f>
        <v>0</v>
      </c>
      <c r="P32" s="17">
        <f>'TUSD BE'!$P$32*'TUSD BE'!$P$58</f>
        <v>0</v>
      </c>
      <c r="Q32" s="17">
        <f>'TUSD BE'!$Q$32*'TUSD BE'!$Q$58</f>
        <v>2.1094627039328584</v>
      </c>
      <c r="R32" s="17">
        <f>'TUSD BE'!$R$32*'TUSD BE'!$R$58</f>
        <v>0.30316417787960626</v>
      </c>
      <c r="S32" s="17">
        <f>'TUSD BE'!$R$32*'TUSD BE'!$S$58</f>
        <v>0</v>
      </c>
      <c r="T32" s="17">
        <f ca="1">SUM($L$32:$S$32)</f>
        <v>2.4678236628485677</v>
      </c>
      <c r="U32" s="17">
        <f>'TUSD BE'!$U$32*'TUSD BE'!$U$58</f>
        <v>0</v>
      </c>
      <c r="V32" s="17">
        <f>'TUSD BE'!$V$32*'TUSD BE'!$V$58</f>
        <v>0</v>
      </c>
      <c r="W32" s="17">
        <f>'TUSD BE'!$W$32*'TUSD BE'!$W$58</f>
        <v>0</v>
      </c>
      <c r="X32" s="17">
        <f>'TUSD BE'!$X$32*'TUSD BE'!$X$58</f>
        <v>0</v>
      </c>
      <c r="Y32" s="17">
        <f>'TUSD BE'!$Y$32*'TUSD BE'!$Y$58</f>
        <v>-9.9080670137651961</v>
      </c>
      <c r="Z32" s="17">
        <f>'TUSD BE'!$Z$32*'TUSD BE'!$Z$58</f>
        <v>0</v>
      </c>
      <c r="AA32" s="17">
        <f>'TUSD BE'!$AA$32*'TUSD BE'!$AA$58</f>
        <v>0</v>
      </c>
      <c r="AB32" s="17">
        <f>SUM($U$32:$AA$32)</f>
        <v>-9.9080670137651961</v>
      </c>
      <c r="AC32" s="17">
        <f>'TUSD BE'!$AC$32*'TUSD BE'!$AC$58</f>
        <v>-91.024672688247136</v>
      </c>
      <c r="AD32" s="17">
        <f>SUM($AC$32:$AC$32)</f>
        <v>-91.024672688247136</v>
      </c>
      <c r="AE32" s="17">
        <f ca="1">$AO$32*$AO$55</f>
        <v>0</v>
      </c>
      <c r="AF32" s="17">
        <f ca="1">$AP$32*$AP$55</f>
        <v>0</v>
      </c>
      <c r="AG32" s="17">
        <f ca="1">SUM($AE$32:$AF$32)</f>
        <v>0</v>
      </c>
      <c r="AH32" s="17">
        <f>'TUSD BE'!$AH$32*'TUSD BE'!$AH$58</f>
        <v>1.0364246843483467</v>
      </c>
      <c r="AI32" s="17">
        <f>'TUSD BE'!$AI$32*'TUSD BE'!$AI$58</f>
        <v>0</v>
      </c>
      <c r="AJ32" s="17">
        <f ca="1">'TUSD BE'!$AJ$32*'TUSD BE'!$AJ$58</f>
        <v>0</v>
      </c>
      <c r="AK32" s="17">
        <f ca="1">'TUSD BE'!$AK$32*'TUSD BE'!$AK$58</f>
        <v>0</v>
      </c>
      <c r="AL32" s="17">
        <f ca="1">SUM($AH$32:$AK$32)</f>
        <v>1.0364246843483467</v>
      </c>
      <c r="AM32" s="17">
        <f ca="1">SUMIF($L$4:$AL$4,"SUBTOTAL",$L$32:$AL$32)</f>
        <v>-97.428491354815421</v>
      </c>
      <c r="AO32" s="29">
        <f ca="1">+'TUSD BE'!$T$32+'TUSD BE'!$AB$32+'TUSD BE'!$AD$32+'TUSD BE'!$AL$32</f>
        <v>394.69107703249</v>
      </c>
      <c r="AP32" s="29">
        <f ca="1">+'TUSD BE'!$T$32+'TUSD BE'!$AB$32+'TUSD BE'!$AD$32+'TUSD BE'!$AL$32</f>
        <v>394.69107703249</v>
      </c>
    </row>
    <row r="33" spans="1:42" ht="11.25" customHeight="1" x14ac:dyDescent="0.25">
      <c r="A33" s="94"/>
      <c r="B33" s="26" t="s">
        <v>23</v>
      </c>
      <c r="C33" s="26" t="s">
        <v>41</v>
      </c>
      <c r="D33" s="26" t="s">
        <v>25</v>
      </c>
      <c r="E33" s="26" t="s">
        <v>25</v>
      </c>
      <c r="F33" s="26" t="s">
        <v>25</v>
      </c>
      <c r="G33" s="27" t="s">
        <v>78</v>
      </c>
      <c r="H33" s="27" t="s">
        <v>72</v>
      </c>
      <c r="I33" s="27">
        <f>'MERCADO TUSD'!$U$30</f>
        <v>40057.667999999998</v>
      </c>
      <c r="J33" s="15"/>
      <c r="L33" s="17">
        <f>'TUSD BE'!$L$33*'TUSD BE'!$L$58</f>
        <v>0</v>
      </c>
      <c r="M33" s="17">
        <f>'TUSD BE'!$M$33*'TUSD BE'!$M$58</f>
        <v>5.5196781036103142E-2</v>
      </c>
      <c r="N33" s="17">
        <f ca="1">'TUSD BE'!$N$33*'TUSD BE'!$N$58</f>
        <v>0</v>
      </c>
      <c r="O33" s="17">
        <f>'TUSD BE'!$O$33*'TUSD BE'!$O$58</f>
        <v>0</v>
      </c>
      <c r="P33" s="17">
        <f>'TUSD BE'!$P$33*'TUSD BE'!$P$58</f>
        <v>0</v>
      </c>
      <c r="Q33" s="17">
        <f>'TUSD BE'!$Q$33*'TUSD BE'!$Q$58</f>
        <v>2.1094627039328584</v>
      </c>
      <c r="R33" s="17">
        <f>'TUSD BE'!$R$33*'TUSD BE'!$R$58</f>
        <v>0.30316417787960626</v>
      </c>
      <c r="S33" s="17">
        <f>'TUSD BE'!$R$33*'TUSD BE'!$S$58</f>
        <v>0</v>
      </c>
      <c r="T33" s="17">
        <f ca="1">SUM($L$33:$S$33)</f>
        <v>2.4678236628485677</v>
      </c>
      <c r="U33" s="17">
        <f>'TUSD BE'!$U$33*'TUSD BE'!$U$58</f>
        <v>0</v>
      </c>
      <c r="V33" s="17">
        <f>'TUSD BE'!$V$33*'TUSD BE'!$V$58</f>
        <v>0</v>
      </c>
      <c r="W33" s="17">
        <f>'TUSD BE'!$W$33*'TUSD BE'!$W$58</f>
        <v>0</v>
      </c>
      <c r="X33" s="17">
        <f>'TUSD BE'!$X$33*'TUSD BE'!$X$58</f>
        <v>0</v>
      </c>
      <c r="Y33" s="17">
        <f>'TUSD BE'!$Y$33*'TUSD BE'!$Y$58</f>
        <v>-16.803884421740875</v>
      </c>
      <c r="Z33" s="17">
        <f>'TUSD BE'!$Z$33*'TUSD BE'!$Z$58</f>
        <v>0</v>
      </c>
      <c r="AA33" s="17">
        <f>'TUSD BE'!$AA$33*'TUSD BE'!$AA$58</f>
        <v>0</v>
      </c>
      <c r="AB33" s="17">
        <f>SUM($U$33:$AA$33)</f>
        <v>-16.803884421740875</v>
      </c>
      <c r="AC33" s="17">
        <f>'TUSD BE'!$AC$33*'TUSD BE'!$AC$58</f>
        <v>-154.27916419015384</v>
      </c>
      <c r="AD33" s="17">
        <f>SUM($AC$33:$AC$33)</f>
        <v>-154.27916419015384</v>
      </c>
      <c r="AE33" s="17">
        <f ca="1">$AO$33*$AO$55</f>
        <v>0</v>
      </c>
      <c r="AF33" s="17">
        <f ca="1">$AP$33*$AP$55</f>
        <v>0</v>
      </c>
      <c r="AG33" s="17">
        <f ca="1">SUM($AE$33:$AF$33)</f>
        <v>0</v>
      </c>
      <c r="AH33" s="17">
        <f>'TUSD BE'!$AH$33*'TUSD BE'!$AH$58</f>
        <v>1.0364246843483467</v>
      </c>
      <c r="AI33" s="17">
        <f>'TUSD BE'!$AI$33*'TUSD BE'!$AI$58</f>
        <v>0</v>
      </c>
      <c r="AJ33" s="17">
        <f ca="1">'TUSD BE'!$AJ$33*'TUSD BE'!$AJ$58</f>
        <v>0</v>
      </c>
      <c r="AK33" s="17">
        <f ca="1">'TUSD BE'!$AK$33*'TUSD BE'!$AK$58</f>
        <v>0</v>
      </c>
      <c r="AL33" s="17">
        <f ca="1">SUM($AH$33:$AK$33)</f>
        <v>1.0364246843483467</v>
      </c>
      <c r="AM33" s="17">
        <f ca="1">SUMIF($L$4:$AL$4,"SUBTOTAL",$L$33:$AL$33)</f>
        <v>-167.5788002646978</v>
      </c>
      <c r="AO33" s="29">
        <f ca="1">+'TUSD BE'!$T$33+'TUSD BE'!$AB$33+'TUSD BE'!$AD$33+'TUSD BE'!$AL$33</f>
        <v>583.25330280533854</v>
      </c>
      <c r="AP33" s="29">
        <f ca="1">+'TUSD BE'!$T$33+'TUSD BE'!$AB$33+'TUSD BE'!$AD$33+'TUSD BE'!$AL$33</f>
        <v>583.25330280533854</v>
      </c>
    </row>
    <row r="34" spans="1:42" ht="11.25" customHeight="1" x14ac:dyDescent="0.25">
      <c r="A34" s="94"/>
      <c r="B34" s="94" t="s">
        <v>85</v>
      </c>
      <c r="C34" s="94" t="s">
        <v>41</v>
      </c>
      <c r="D34" s="94" t="s">
        <v>88</v>
      </c>
      <c r="E34" s="94" t="s">
        <v>25</v>
      </c>
      <c r="F34" s="94" t="s">
        <v>25</v>
      </c>
      <c r="G34" s="27" t="s">
        <v>73</v>
      </c>
      <c r="H34" s="27" t="s">
        <v>72</v>
      </c>
      <c r="I34" s="27">
        <f>'MERCADO TUSD'!$U$31</f>
        <v>0</v>
      </c>
      <c r="J34" s="15"/>
      <c r="L34" s="17">
        <f>'TUSD BE'!$L$34*'TUSD BE'!$L$58</f>
        <v>0</v>
      </c>
      <c r="M34" s="17">
        <f>'TUSD BE'!$M$34*'TUSD BE'!$M$58</f>
        <v>5.5196781036103142E-2</v>
      </c>
      <c r="N34" s="17">
        <f ca="1">'TUSD BE'!$N$34*'TUSD BE'!$N$58</f>
        <v>0</v>
      </c>
      <c r="O34" s="17">
        <f>'TUSD BE'!$O$34*'TUSD BE'!$O$58</f>
        <v>0</v>
      </c>
      <c r="P34" s="17">
        <f>'TUSD BE'!$P$34*'TUSD BE'!$P$58</f>
        <v>0</v>
      </c>
      <c r="Q34" s="17">
        <f>'TUSD BE'!$Q$34*'TUSD BE'!$Q$58</f>
        <v>2.1094627039328584</v>
      </c>
      <c r="R34" s="17">
        <f>'TUSD BE'!$R$34*'TUSD BE'!$R$58</f>
        <v>0.30316417787960626</v>
      </c>
      <c r="S34" s="17">
        <f>'TUSD BE'!$R$34*'TUSD BE'!$S$58</f>
        <v>0</v>
      </c>
      <c r="T34" s="17">
        <f ca="1">SUM($L$34:$S$34)</f>
        <v>2.4678236628485677</v>
      </c>
      <c r="U34" s="17">
        <f>'TUSD BE'!$U$34*'TUSD BE'!$U$58</f>
        <v>0</v>
      </c>
      <c r="V34" s="17">
        <f>'TUSD BE'!$V$34*'TUSD BE'!$V$58</f>
        <v>0</v>
      </c>
      <c r="W34" s="17">
        <f>'TUSD BE'!$W$34*'TUSD BE'!$W$58</f>
        <v>0</v>
      </c>
      <c r="X34" s="17">
        <f>'TUSD BE'!$X$34*'TUSD BE'!$X$58</f>
        <v>0</v>
      </c>
      <c r="Y34" s="17">
        <f>'TUSD BE'!$Y$34*'TUSD BE'!$Y$58</f>
        <v>-49.573551057736289</v>
      </c>
      <c r="Z34" s="17">
        <f>'TUSD BE'!$Z$34*'TUSD BE'!$Z$58</f>
        <v>0</v>
      </c>
      <c r="AA34" s="17">
        <f>'TUSD BE'!$AA$34*'TUSD BE'!$AA$58</f>
        <v>0</v>
      </c>
      <c r="AB34" s="17">
        <f>SUM($U$34:$AA$34)</f>
        <v>-49.573551057736289</v>
      </c>
      <c r="AC34" s="17">
        <f>'TUSD BE'!$AC$34*'TUSD BE'!$AC$58</f>
        <v>-455.12355335203353</v>
      </c>
      <c r="AD34" s="17">
        <f>SUM($AC$34:$AC$34)</f>
        <v>-455.12355335203353</v>
      </c>
      <c r="AE34" s="17">
        <f ca="1">$AO$34*$AO$55</f>
        <v>0</v>
      </c>
      <c r="AF34" s="17">
        <f ca="1">$AP$34*$AP$55</f>
        <v>0</v>
      </c>
      <c r="AG34" s="17">
        <f ca="1">SUM($AE$34:$AF$34)</f>
        <v>0</v>
      </c>
      <c r="AH34" s="17">
        <f>'TUSD BE'!$AH$34*'TUSD BE'!$AH$58</f>
        <v>1.0364246843483467</v>
      </c>
      <c r="AI34" s="17">
        <f>'TUSD BE'!$AI$34*'TUSD BE'!$AI$58</f>
        <v>0</v>
      </c>
      <c r="AJ34" s="17">
        <f ca="1">'TUSD BE'!$AJ$34*'TUSD BE'!$AJ$58</f>
        <v>0</v>
      </c>
      <c r="AK34" s="17">
        <f ca="1">'TUSD BE'!$AK$34*'TUSD BE'!$AK$58</f>
        <v>0</v>
      </c>
      <c r="AL34" s="17">
        <f ca="1">SUM($AH$34:$AK$34)</f>
        <v>1.0364246843483467</v>
      </c>
      <c r="AM34" s="17">
        <f ca="1">SUMIF($L$4:$AL$4,"SUBTOTAL",$L$34:$AL$34)</f>
        <v>-501.1928560625729</v>
      </c>
      <c r="AO34" s="29">
        <f ca="1">+'TUSD BE'!$T$34+'TUSD BE'!$AB$34+'TUSD BE'!$AD$34+'TUSD BE'!$AL$34</f>
        <v>1479.8785180097784</v>
      </c>
      <c r="AP34" s="29">
        <f ca="1">+'TUSD BE'!$T$34+'TUSD BE'!$AB$34+'TUSD BE'!$AD$34+'TUSD BE'!$AL$34</f>
        <v>1479.8785180097784</v>
      </c>
    </row>
    <row r="35" spans="1:42" ht="11.25" customHeight="1" x14ac:dyDescent="0.25">
      <c r="A35" s="94"/>
      <c r="B35" s="94"/>
      <c r="C35" s="94"/>
      <c r="D35" s="94"/>
      <c r="E35" s="94"/>
      <c r="F35" s="94"/>
      <c r="G35" s="27" t="s">
        <v>83</v>
      </c>
      <c r="H35" s="27" t="s">
        <v>72</v>
      </c>
      <c r="I35" s="27">
        <f>'MERCADO TUSD'!$U$32</f>
        <v>0</v>
      </c>
      <c r="J35" s="15"/>
      <c r="L35" s="17">
        <f>'TUSD BE'!$L$35*'TUSD BE'!$L$58</f>
        <v>0</v>
      </c>
      <c r="M35" s="17">
        <f>'TUSD BE'!$M$35*'TUSD BE'!$M$58</f>
        <v>5.5196781036103142E-2</v>
      </c>
      <c r="N35" s="17">
        <f ca="1">'TUSD BE'!$N$35*'TUSD BE'!$N$58</f>
        <v>0</v>
      </c>
      <c r="O35" s="17">
        <f>'TUSD BE'!$O$35*'TUSD BE'!$O$58</f>
        <v>0</v>
      </c>
      <c r="P35" s="17">
        <f>'TUSD BE'!$P$35*'TUSD BE'!$P$58</f>
        <v>0</v>
      </c>
      <c r="Q35" s="17">
        <f>'TUSD BE'!$Q$35*'TUSD BE'!$Q$58</f>
        <v>2.1094627039328584</v>
      </c>
      <c r="R35" s="17">
        <f>'TUSD BE'!$R$35*'TUSD BE'!$R$58</f>
        <v>0.30316417787960626</v>
      </c>
      <c r="S35" s="17">
        <f>'TUSD BE'!$R$35*'TUSD BE'!$S$58</f>
        <v>0</v>
      </c>
      <c r="T35" s="17">
        <f ca="1">SUM($L$35:$S$35)</f>
        <v>2.4678236628485677</v>
      </c>
      <c r="U35" s="17">
        <f>'TUSD BE'!$U$35*'TUSD BE'!$U$58</f>
        <v>0</v>
      </c>
      <c r="V35" s="17">
        <f>'TUSD BE'!$V$35*'TUSD BE'!$V$58</f>
        <v>0</v>
      </c>
      <c r="W35" s="17">
        <f>'TUSD BE'!$W$35*'TUSD BE'!$W$58</f>
        <v>0</v>
      </c>
      <c r="X35" s="17">
        <f>'TUSD BE'!$X$35*'TUSD BE'!$X$58</f>
        <v>0</v>
      </c>
      <c r="Y35" s="17">
        <f>'TUSD BE'!$Y$35*'TUSD BE'!$Y$58</f>
        <v>-29.740809035750743</v>
      </c>
      <c r="Z35" s="17">
        <f>'TUSD BE'!$Z$35*'TUSD BE'!$Z$58</f>
        <v>0</v>
      </c>
      <c r="AA35" s="17">
        <f>'TUSD BE'!$AA$35*'TUSD BE'!$AA$58</f>
        <v>0</v>
      </c>
      <c r="AB35" s="17">
        <f>SUM($U$35:$AA$35)</f>
        <v>-29.740809035750743</v>
      </c>
      <c r="AC35" s="17">
        <f>'TUSD BE'!$AC$35*'TUSD BE'!$AC$58</f>
        <v>-273.07401806474138</v>
      </c>
      <c r="AD35" s="17">
        <f>SUM($AC$35:$AC$35)</f>
        <v>-273.07401806474138</v>
      </c>
      <c r="AE35" s="17">
        <f ca="1">$AO$35*$AO$55</f>
        <v>0</v>
      </c>
      <c r="AF35" s="17">
        <f ca="1">$AP$35*$AP$55</f>
        <v>0</v>
      </c>
      <c r="AG35" s="17">
        <f ca="1">SUM($AE$35:$AF$35)</f>
        <v>0</v>
      </c>
      <c r="AH35" s="17">
        <f>'TUSD BE'!$AH$35*'TUSD BE'!$AH$58</f>
        <v>1.0364246843483467</v>
      </c>
      <c r="AI35" s="17">
        <f>'TUSD BE'!$AI$35*'TUSD BE'!$AI$58</f>
        <v>0</v>
      </c>
      <c r="AJ35" s="17">
        <f ca="1">'TUSD BE'!$AJ$35*'TUSD BE'!$AJ$58</f>
        <v>0</v>
      </c>
      <c r="AK35" s="17">
        <f ca="1">'TUSD BE'!$AK$35*'TUSD BE'!$AK$58</f>
        <v>0</v>
      </c>
      <c r="AL35" s="17">
        <f ca="1">SUM($AH$35:$AK$35)</f>
        <v>1.0364246843483467</v>
      </c>
      <c r="AM35" s="17">
        <f ca="1">SUMIF($L$4:$AL$4,"SUBTOTAL",$L$35:$AL$35)</f>
        <v>-299.3105787532952</v>
      </c>
      <c r="AO35" s="29">
        <f ca="1">+'TUSD BE'!$T$35+'TUSD BE'!$AB$35+'TUSD BE'!$AD$35+'TUSD BE'!$AL$35</f>
        <v>937.28458775336549</v>
      </c>
      <c r="AP35" s="29">
        <f ca="1">+'TUSD BE'!$T$35+'TUSD BE'!$AB$35+'TUSD BE'!$AD$35+'TUSD BE'!$AL$35</f>
        <v>937.28458775336549</v>
      </c>
    </row>
    <row r="36" spans="1:42" ht="11.25" customHeight="1" x14ac:dyDescent="0.25">
      <c r="A36" s="94"/>
      <c r="B36" s="94"/>
      <c r="C36" s="94"/>
      <c r="D36" s="94"/>
      <c r="E36" s="94"/>
      <c r="F36" s="94"/>
      <c r="G36" s="27" t="s">
        <v>74</v>
      </c>
      <c r="H36" s="27" t="s">
        <v>72</v>
      </c>
      <c r="I36" s="27">
        <f>'MERCADO TUSD'!$U$33</f>
        <v>0</v>
      </c>
      <c r="J36" s="15"/>
      <c r="L36" s="17">
        <f>'TUSD BE'!$L$36*'TUSD BE'!$L$58</f>
        <v>0</v>
      </c>
      <c r="M36" s="17">
        <f>'TUSD BE'!$M$36*'TUSD BE'!$M$58</f>
        <v>5.5196781036103142E-2</v>
      </c>
      <c r="N36" s="17">
        <f ca="1">'TUSD BE'!$N$36*'TUSD BE'!$N$58</f>
        <v>0</v>
      </c>
      <c r="O36" s="17">
        <f>'TUSD BE'!$O$36*'TUSD BE'!$O$58</f>
        <v>0</v>
      </c>
      <c r="P36" s="17">
        <f>'TUSD BE'!$P$36*'TUSD BE'!$P$58</f>
        <v>0</v>
      </c>
      <c r="Q36" s="17">
        <f>'TUSD BE'!$Q$36*'TUSD BE'!$Q$58</f>
        <v>2.1094627039328584</v>
      </c>
      <c r="R36" s="17">
        <f>'TUSD BE'!$R$36*'TUSD BE'!$R$58</f>
        <v>0.30316417787960626</v>
      </c>
      <c r="S36" s="17">
        <f>'TUSD BE'!$R$36*'TUSD BE'!$S$58</f>
        <v>0</v>
      </c>
      <c r="T36" s="17">
        <f ca="1">SUM($L$36:$S$36)</f>
        <v>2.4678236628485677</v>
      </c>
      <c r="U36" s="17">
        <f>'TUSD BE'!$U$36*'TUSD BE'!$U$58</f>
        <v>0</v>
      </c>
      <c r="V36" s="17">
        <f>'TUSD BE'!$V$36*'TUSD BE'!$V$58</f>
        <v>0</v>
      </c>
      <c r="W36" s="17">
        <f>'TUSD BE'!$W$36*'TUSD BE'!$W$58</f>
        <v>0</v>
      </c>
      <c r="X36" s="17">
        <f>'TUSD BE'!$X$36*'TUSD BE'!$X$58</f>
        <v>0</v>
      </c>
      <c r="Y36" s="17">
        <f>'TUSD BE'!$Y$36*'TUSD BE'!$Y$58</f>
        <v>-9.9080670137651961</v>
      </c>
      <c r="Z36" s="17">
        <f>'TUSD BE'!$Z$36*'TUSD BE'!$Z$58</f>
        <v>0</v>
      </c>
      <c r="AA36" s="17">
        <f>'TUSD BE'!$AA$36*'TUSD BE'!$AA$58</f>
        <v>0</v>
      </c>
      <c r="AB36" s="17">
        <f>SUM($U$36:$AA$36)</f>
        <v>-9.9080670137651961</v>
      </c>
      <c r="AC36" s="17">
        <f>'TUSD BE'!$AC$36*'TUSD BE'!$AC$58</f>
        <v>-91.024672688247136</v>
      </c>
      <c r="AD36" s="17">
        <f>SUM($AC$36:$AC$36)</f>
        <v>-91.024672688247136</v>
      </c>
      <c r="AE36" s="17">
        <f ca="1">$AO$36*$AO$55</f>
        <v>0</v>
      </c>
      <c r="AF36" s="17">
        <f ca="1">$AP$36*$AP$55</f>
        <v>0</v>
      </c>
      <c r="AG36" s="17">
        <f ca="1">SUM($AE$36:$AF$36)</f>
        <v>0</v>
      </c>
      <c r="AH36" s="17">
        <f>'TUSD BE'!$AH$36*'TUSD BE'!$AH$58</f>
        <v>1.0364246843483467</v>
      </c>
      <c r="AI36" s="17">
        <f>'TUSD BE'!$AI$36*'TUSD BE'!$AI$58</f>
        <v>0</v>
      </c>
      <c r="AJ36" s="17">
        <f ca="1">'TUSD BE'!$AJ$36*'TUSD BE'!$AJ$58</f>
        <v>0</v>
      </c>
      <c r="AK36" s="17">
        <f ca="1">'TUSD BE'!$AK$36*'TUSD BE'!$AK$58</f>
        <v>0</v>
      </c>
      <c r="AL36" s="17">
        <f ca="1">SUM($AH$36:$AK$36)</f>
        <v>1.0364246843483467</v>
      </c>
      <c r="AM36" s="17">
        <f ca="1">SUMIF($L$4:$AL$4,"SUBTOTAL",$L$36:$AL$36)</f>
        <v>-97.428491354815421</v>
      </c>
      <c r="AO36" s="29">
        <f ca="1">+'TUSD BE'!$T$36+'TUSD BE'!$AB$36+'TUSD BE'!$AD$36+'TUSD BE'!$AL$36</f>
        <v>394.69107703249</v>
      </c>
      <c r="AP36" s="29">
        <f ca="1">+'TUSD BE'!$T$36+'TUSD BE'!$AB$36+'TUSD BE'!$AD$36+'TUSD BE'!$AL$36</f>
        <v>394.69107703249</v>
      </c>
    </row>
    <row r="37" spans="1:42" ht="11.25" customHeight="1" x14ac:dyDescent="0.25">
      <c r="A37" s="94"/>
      <c r="B37" s="26" t="s">
        <v>23</v>
      </c>
      <c r="C37" s="26" t="s">
        <v>41</v>
      </c>
      <c r="D37" s="26" t="s">
        <v>88</v>
      </c>
      <c r="E37" s="26" t="s">
        <v>25</v>
      </c>
      <c r="F37" s="26" t="s">
        <v>25</v>
      </c>
      <c r="G37" s="27" t="s">
        <v>78</v>
      </c>
      <c r="H37" s="27" t="s">
        <v>72</v>
      </c>
      <c r="I37" s="27">
        <f>'MERCADO TUSD'!$U$34</f>
        <v>0</v>
      </c>
      <c r="J37" s="15"/>
      <c r="L37" s="17">
        <f>'TUSD BE'!$L$37*'TUSD BE'!$L$58</f>
        <v>0</v>
      </c>
      <c r="M37" s="17">
        <f>'TUSD BE'!$M$37*'TUSD BE'!$M$58</f>
        <v>5.5196781036103142E-2</v>
      </c>
      <c r="N37" s="17">
        <f ca="1">'TUSD BE'!$N$37*'TUSD BE'!$N$58</f>
        <v>0</v>
      </c>
      <c r="O37" s="17">
        <f>'TUSD BE'!$O$37*'TUSD BE'!$O$58</f>
        <v>0</v>
      </c>
      <c r="P37" s="17">
        <f>'TUSD BE'!$P$37*'TUSD BE'!$P$58</f>
        <v>0</v>
      </c>
      <c r="Q37" s="17">
        <f>'TUSD BE'!$Q$37*'TUSD BE'!$Q$58</f>
        <v>2.1094627039328584</v>
      </c>
      <c r="R37" s="17">
        <f>'TUSD BE'!$R$37*'TUSD BE'!$R$58</f>
        <v>0.30316417787960626</v>
      </c>
      <c r="S37" s="17">
        <f>'TUSD BE'!$R$37*'TUSD BE'!$S$58</f>
        <v>0</v>
      </c>
      <c r="T37" s="17">
        <f ca="1">SUM($L$37:$S$37)</f>
        <v>2.4678236628485677</v>
      </c>
      <c r="U37" s="17">
        <f>'TUSD BE'!$U$37*'TUSD BE'!$U$58</f>
        <v>0</v>
      </c>
      <c r="V37" s="17">
        <f>'TUSD BE'!$V$37*'TUSD BE'!$V$58</f>
        <v>0</v>
      </c>
      <c r="W37" s="17">
        <f>'TUSD BE'!$W$37*'TUSD BE'!$W$58</f>
        <v>0</v>
      </c>
      <c r="X37" s="17">
        <f>'TUSD BE'!$X$37*'TUSD BE'!$X$58</f>
        <v>0</v>
      </c>
      <c r="Y37" s="17">
        <f>'TUSD BE'!$Y$37*'TUSD BE'!$Y$58</f>
        <v>-16.803884421740875</v>
      </c>
      <c r="Z37" s="17">
        <f>'TUSD BE'!$Z$37*'TUSD BE'!$Z$58</f>
        <v>0</v>
      </c>
      <c r="AA37" s="17">
        <f>'TUSD BE'!$AA$37*'TUSD BE'!$AA$58</f>
        <v>0</v>
      </c>
      <c r="AB37" s="17">
        <f>SUM($U$37:$AA$37)</f>
        <v>-16.803884421740875</v>
      </c>
      <c r="AC37" s="17">
        <f>'TUSD BE'!$AC$37*'TUSD BE'!$AC$58</f>
        <v>-154.27916419015384</v>
      </c>
      <c r="AD37" s="17">
        <f>SUM($AC$37:$AC$37)</f>
        <v>-154.27916419015384</v>
      </c>
      <c r="AE37" s="17">
        <f ca="1">$AO$37*$AO$55</f>
        <v>0</v>
      </c>
      <c r="AF37" s="17">
        <f ca="1">$AP$37*$AP$55</f>
        <v>0</v>
      </c>
      <c r="AG37" s="17">
        <f ca="1">SUM($AE$37:$AF$37)</f>
        <v>0</v>
      </c>
      <c r="AH37" s="17">
        <f>'TUSD BE'!$AH$37*'TUSD BE'!$AH$58</f>
        <v>1.0364246843483467</v>
      </c>
      <c r="AI37" s="17">
        <f>'TUSD BE'!$AI$37*'TUSD BE'!$AI$58</f>
        <v>0</v>
      </c>
      <c r="AJ37" s="17">
        <f ca="1">'TUSD BE'!$AJ$37*'TUSD BE'!$AJ$58</f>
        <v>0</v>
      </c>
      <c r="AK37" s="17">
        <f ca="1">'TUSD BE'!$AK$37*'TUSD BE'!$AK$58</f>
        <v>0</v>
      </c>
      <c r="AL37" s="17">
        <f ca="1">SUM($AH$37:$AK$37)</f>
        <v>1.0364246843483467</v>
      </c>
      <c r="AM37" s="17">
        <f ca="1">SUMIF($L$4:$AL$4,"SUBTOTAL",$L$37:$AL$37)</f>
        <v>-167.5788002646978</v>
      </c>
      <c r="AO37" s="29">
        <f ca="1">+'TUSD BE'!$T$37+'TUSD BE'!$AB$37+'TUSD BE'!$AD$37+'TUSD BE'!$AL$37</f>
        <v>583.25330280533854</v>
      </c>
      <c r="AP37" s="29">
        <f ca="1">+'TUSD BE'!$T$37+'TUSD BE'!$AB$37+'TUSD BE'!$AD$37+'TUSD BE'!$AL$37</f>
        <v>583.25330280533854</v>
      </c>
    </row>
    <row r="38" spans="1:42" ht="11.25" customHeight="1" x14ac:dyDescent="0.25">
      <c r="A38" s="94"/>
      <c r="B38" s="94" t="s">
        <v>85</v>
      </c>
      <c r="C38" s="94" t="s">
        <v>41</v>
      </c>
      <c r="D38" s="94" t="s">
        <v>89</v>
      </c>
      <c r="E38" s="94" t="s">
        <v>25</v>
      </c>
      <c r="F38" s="94" t="s">
        <v>25</v>
      </c>
      <c r="G38" s="27" t="s">
        <v>73</v>
      </c>
      <c r="H38" s="27" t="s">
        <v>72</v>
      </c>
      <c r="I38" s="27">
        <f>'MERCADO TUSD'!$U$35</f>
        <v>0</v>
      </c>
      <c r="J38" s="15"/>
      <c r="L38" s="17">
        <f>'TUSD BE'!$L$38*'TUSD BE'!$L$58</f>
        <v>0</v>
      </c>
      <c r="M38" s="17">
        <f>'TUSD BE'!$M$38*'TUSD BE'!$M$58</f>
        <v>5.5196781036103142E-2</v>
      </c>
      <c r="N38" s="17">
        <f ca="1">'TUSD BE'!$N$38*'TUSD BE'!$N$58</f>
        <v>0</v>
      </c>
      <c r="O38" s="17">
        <f>'TUSD BE'!$O$38*'TUSD BE'!$O$58</f>
        <v>0</v>
      </c>
      <c r="P38" s="17">
        <f>'TUSD BE'!$P$38*'TUSD BE'!$P$58</f>
        <v>0</v>
      </c>
      <c r="Q38" s="17">
        <f>'TUSD BE'!$Q$38*'TUSD BE'!$Q$58</f>
        <v>2.1094627039328584</v>
      </c>
      <c r="R38" s="17">
        <f>'TUSD BE'!$R$38*'TUSD BE'!$R$58</f>
        <v>0.30316417787960626</v>
      </c>
      <c r="S38" s="17">
        <f>'TUSD BE'!$R$38*'TUSD BE'!$S$58</f>
        <v>0</v>
      </c>
      <c r="T38" s="17">
        <f ca="1">SUM($L$38:$S$38)</f>
        <v>2.4678236628485677</v>
      </c>
      <c r="U38" s="17">
        <f>'TUSD BE'!$U$38*'TUSD BE'!$U$58</f>
        <v>0</v>
      </c>
      <c r="V38" s="17">
        <f>'TUSD BE'!$V$38*'TUSD BE'!$V$58</f>
        <v>0</v>
      </c>
      <c r="W38" s="17">
        <f>'TUSD BE'!$W$38*'TUSD BE'!$W$58</f>
        <v>0</v>
      </c>
      <c r="X38" s="17">
        <f>'TUSD BE'!$X$38*'TUSD BE'!$X$58</f>
        <v>0</v>
      </c>
      <c r="Y38" s="17">
        <f>'TUSD BE'!$Y$38*'TUSD BE'!$Y$58</f>
        <v>-49.573551057736289</v>
      </c>
      <c r="Z38" s="17">
        <f>'TUSD BE'!$Z$38*'TUSD BE'!$Z$58</f>
        <v>0</v>
      </c>
      <c r="AA38" s="17">
        <f>'TUSD BE'!$AA$38*'TUSD BE'!$AA$58</f>
        <v>0</v>
      </c>
      <c r="AB38" s="17">
        <f>SUM($U$38:$AA$38)</f>
        <v>-49.573551057736289</v>
      </c>
      <c r="AC38" s="17">
        <f>'TUSD BE'!$AC$38*'TUSD BE'!$AC$58</f>
        <v>-455.12355335203353</v>
      </c>
      <c r="AD38" s="17">
        <f>SUM($AC$38:$AC$38)</f>
        <v>-455.12355335203353</v>
      </c>
      <c r="AE38" s="17">
        <f ca="1">$AO$38*$AO$55</f>
        <v>0</v>
      </c>
      <c r="AF38" s="17">
        <f ca="1">$AP$38*$AP$55</f>
        <v>0</v>
      </c>
      <c r="AG38" s="17">
        <f ca="1">SUM($AE$38:$AF$38)</f>
        <v>0</v>
      </c>
      <c r="AH38" s="17">
        <f>'TUSD BE'!$AH$38*'TUSD BE'!$AH$58</f>
        <v>1.0364246843483467</v>
      </c>
      <c r="AI38" s="17">
        <f>'TUSD BE'!$AI$38*'TUSD BE'!$AI$58</f>
        <v>0</v>
      </c>
      <c r="AJ38" s="17">
        <f ca="1">'TUSD BE'!$AJ$38*'TUSD BE'!$AJ$58</f>
        <v>0</v>
      </c>
      <c r="AK38" s="17">
        <f ca="1">'TUSD BE'!$AK$38*'TUSD BE'!$AK$58</f>
        <v>0</v>
      </c>
      <c r="AL38" s="17">
        <f ca="1">SUM($AH$38:$AK$38)</f>
        <v>1.0364246843483467</v>
      </c>
      <c r="AM38" s="17">
        <f ca="1">SUMIF($L$4:$AL$4,"SUBTOTAL",$L$38:$AL$38)</f>
        <v>-501.1928560625729</v>
      </c>
      <c r="AO38" s="29">
        <f ca="1">+'TUSD BE'!$T$38+'TUSD BE'!$AB$38+'TUSD BE'!$AD$38+'TUSD BE'!$AL$38</f>
        <v>1479.8785180097784</v>
      </c>
      <c r="AP38" s="29">
        <f ca="1">+'TUSD BE'!$T$38+'TUSD BE'!$AB$38+'TUSD BE'!$AD$38+'TUSD BE'!$AL$38</f>
        <v>1479.8785180097784</v>
      </c>
    </row>
    <row r="39" spans="1:42" ht="11.25" customHeight="1" x14ac:dyDescent="0.25">
      <c r="A39" s="94"/>
      <c r="B39" s="94"/>
      <c r="C39" s="94"/>
      <c r="D39" s="94"/>
      <c r="E39" s="94"/>
      <c r="F39" s="94"/>
      <c r="G39" s="27" t="s">
        <v>83</v>
      </c>
      <c r="H39" s="27" t="s">
        <v>72</v>
      </c>
      <c r="I39" s="27">
        <f>'MERCADO TUSD'!$U$36</f>
        <v>0</v>
      </c>
      <c r="J39" s="15"/>
      <c r="L39" s="17">
        <f>'TUSD BE'!$L$39*'TUSD BE'!$L$58</f>
        <v>0</v>
      </c>
      <c r="M39" s="17">
        <f>'TUSD BE'!$M$39*'TUSD BE'!$M$58</f>
        <v>5.5196781036103142E-2</v>
      </c>
      <c r="N39" s="17">
        <f ca="1">'TUSD BE'!$N$39*'TUSD BE'!$N$58</f>
        <v>0</v>
      </c>
      <c r="O39" s="17">
        <f>'TUSD BE'!$O$39*'TUSD BE'!$O$58</f>
        <v>0</v>
      </c>
      <c r="P39" s="17">
        <f>'TUSD BE'!$P$39*'TUSD BE'!$P$58</f>
        <v>0</v>
      </c>
      <c r="Q39" s="17">
        <f>'TUSD BE'!$Q$39*'TUSD BE'!$Q$58</f>
        <v>2.1094627039328584</v>
      </c>
      <c r="R39" s="17">
        <f>'TUSD BE'!$R$39*'TUSD BE'!$R$58</f>
        <v>0.30316417787960626</v>
      </c>
      <c r="S39" s="17">
        <f>'TUSD BE'!$R$39*'TUSD BE'!$S$58</f>
        <v>0</v>
      </c>
      <c r="T39" s="17">
        <f ca="1">SUM($L$39:$S$39)</f>
        <v>2.4678236628485677</v>
      </c>
      <c r="U39" s="17">
        <f>'TUSD BE'!$U$39*'TUSD BE'!$U$58</f>
        <v>0</v>
      </c>
      <c r="V39" s="17">
        <f>'TUSD BE'!$V$39*'TUSD BE'!$V$58</f>
        <v>0</v>
      </c>
      <c r="W39" s="17">
        <f>'TUSD BE'!$W$39*'TUSD BE'!$W$58</f>
        <v>0</v>
      </c>
      <c r="X39" s="17">
        <f>'TUSD BE'!$X$39*'TUSD BE'!$X$58</f>
        <v>0</v>
      </c>
      <c r="Y39" s="17">
        <f>'TUSD BE'!$Y$39*'TUSD BE'!$Y$58</f>
        <v>-29.740809035750743</v>
      </c>
      <c r="Z39" s="17">
        <f>'TUSD BE'!$Z$39*'TUSD BE'!$Z$58</f>
        <v>0</v>
      </c>
      <c r="AA39" s="17">
        <f>'TUSD BE'!$AA$39*'TUSD BE'!$AA$58</f>
        <v>0</v>
      </c>
      <c r="AB39" s="17">
        <f>SUM($U$39:$AA$39)</f>
        <v>-29.740809035750743</v>
      </c>
      <c r="AC39" s="17">
        <f>'TUSD BE'!$AC$39*'TUSD BE'!$AC$58</f>
        <v>-273.07401806474138</v>
      </c>
      <c r="AD39" s="17">
        <f>SUM($AC$39:$AC$39)</f>
        <v>-273.07401806474138</v>
      </c>
      <c r="AE39" s="17">
        <f ca="1">$AO$39*$AO$55</f>
        <v>0</v>
      </c>
      <c r="AF39" s="17">
        <f ca="1">$AP$39*$AP$55</f>
        <v>0</v>
      </c>
      <c r="AG39" s="17">
        <f ca="1">SUM($AE$39:$AF$39)</f>
        <v>0</v>
      </c>
      <c r="AH39" s="17">
        <f>'TUSD BE'!$AH$39*'TUSD BE'!$AH$58</f>
        <v>1.0364246843483467</v>
      </c>
      <c r="AI39" s="17">
        <f>'TUSD BE'!$AI$39*'TUSD BE'!$AI$58</f>
        <v>0</v>
      </c>
      <c r="AJ39" s="17">
        <f ca="1">'TUSD BE'!$AJ$39*'TUSD BE'!$AJ$58</f>
        <v>0</v>
      </c>
      <c r="AK39" s="17">
        <f ca="1">'TUSD BE'!$AK$39*'TUSD BE'!$AK$58</f>
        <v>0</v>
      </c>
      <c r="AL39" s="17">
        <f ca="1">SUM($AH$39:$AK$39)</f>
        <v>1.0364246843483467</v>
      </c>
      <c r="AM39" s="17">
        <f ca="1">SUMIF($L$4:$AL$4,"SUBTOTAL",$L$39:$AL$39)</f>
        <v>-299.3105787532952</v>
      </c>
      <c r="AO39" s="29">
        <f ca="1">+'TUSD BE'!$T$39+'TUSD BE'!$AB$39+'TUSD BE'!$AD$39+'TUSD BE'!$AL$39</f>
        <v>937.28458775336549</v>
      </c>
      <c r="AP39" s="29">
        <f ca="1">+'TUSD BE'!$T$39+'TUSD BE'!$AB$39+'TUSD BE'!$AD$39+'TUSD BE'!$AL$39</f>
        <v>937.28458775336549</v>
      </c>
    </row>
    <row r="40" spans="1:42" ht="11.25" customHeight="1" x14ac:dyDescent="0.25">
      <c r="A40" s="94"/>
      <c r="B40" s="94"/>
      <c r="C40" s="94"/>
      <c r="D40" s="94"/>
      <c r="E40" s="94"/>
      <c r="F40" s="94"/>
      <c r="G40" s="27" t="s">
        <v>74</v>
      </c>
      <c r="H40" s="27" t="s">
        <v>72</v>
      </c>
      <c r="I40" s="27">
        <f>'MERCADO TUSD'!$U$37</f>
        <v>0</v>
      </c>
      <c r="J40" s="15"/>
      <c r="L40" s="17">
        <f>'TUSD BE'!$L$40*'TUSD BE'!$L$58</f>
        <v>0</v>
      </c>
      <c r="M40" s="17">
        <f>'TUSD BE'!$M$40*'TUSD BE'!$M$58</f>
        <v>5.5196781036103142E-2</v>
      </c>
      <c r="N40" s="17">
        <f ca="1">'TUSD BE'!$N$40*'TUSD BE'!$N$58</f>
        <v>0</v>
      </c>
      <c r="O40" s="17">
        <f>'TUSD BE'!$O$40*'TUSD BE'!$O$58</f>
        <v>0</v>
      </c>
      <c r="P40" s="17">
        <f>'TUSD BE'!$P$40*'TUSD BE'!$P$58</f>
        <v>0</v>
      </c>
      <c r="Q40" s="17">
        <f>'TUSD BE'!$Q$40*'TUSD BE'!$Q$58</f>
        <v>2.1094627039328584</v>
      </c>
      <c r="R40" s="17">
        <f>'TUSD BE'!$R$40*'TUSD BE'!$R$58</f>
        <v>0.30316417787960626</v>
      </c>
      <c r="S40" s="17">
        <f>'TUSD BE'!$R$40*'TUSD BE'!$S$58</f>
        <v>0</v>
      </c>
      <c r="T40" s="17">
        <f ca="1">SUM($L$40:$S$40)</f>
        <v>2.4678236628485677</v>
      </c>
      <c r="U40" s="17">
        <f>'TUSD BE'!$U$40*'TUSD BE'!$U$58</f>
        <v>0</v>
      </c>
      <c r="V40" s="17">
        <f>'TUSD BE'!$V$40*'TUSD BE'!$V$58</f>
        <v>0</v>
      </c>
      <c r="W40" s="17">
        <f>'TUSD BE'!$W$40*'TUSD BE'!$W$58</f>
        <v>0</v>
      </c>
      <c r="X40" s="17">
        <f>'TUSD BE'!$X$40*'TUSD BE'!$X$58</f>
        <v>0</v>
      </c>
      <c r="Y40" s="17">
        <f>'TUSD BE'!$Y$40*'TUSD BE'!$Y$58</f>
        <v>-9.9080670137651961</v>
      </c>
      <c r="Z40" s="17">
        <f>'TUSD BE'!$Z$40*'TUSD BE'!$Z$58</f>
        <v>0</v>
      </c>
      <c r="AA40" s="17">
        <f>'TUSD BE'!$AA$40*'TUSD BE'!$AA$58</f>
        <v>0</v>
      </c>
      <c r="AB40" s="17">
        <f>SUM($U$40:$AA$40)</f>
        <v>-9.9080670137651961</v>
      </c>
      <c r="AC40" s="17">
        <f>'TUSD BE'!$AC$40*'TUSD BE'!$AC$58</f>
        <v>-91.024672688247136</v>
      </c>
      <c r="AD40" s="17">
        <f>SUM($AC$40:$AC$40)</f>
        <v>-91.024672688247136</v>
      </c>
      <c r="AE40" s="17">
        <f ca="1">$AO$40*$AO$55</f>
        <v>0</v>
      </c>
      <c r="AF40" s="17">
        <f ca="1">$AP$40*$AP$55</f>
        <v>0</v>
      </c>
      <c r="AG40" s="17">
        <f ca="1">SUM($AE$40:$AF$40)</f>
        <v>0</v>
      </c>
      <c r="AH40" s="17">
        <f>'TUSD BE'!$AH$40*'TUSD BE'!$AH$58</f>
        <v>1.0364246843483467</v>
      </c>
      <c r="AI40" s="17">
        <f>'TUSD BE'!$AI$40*'TUSD BE'!$AI$58</f>
        <v>0</v>
      </c>
      <c r="AJ40" s="17">
        <f ca="1">'TUSD BE'!$AJ$40*'TUSD BE'!$AJ$58</f>
        <v>0</v>
      </c>
      <c r="AK40" s="17">
        <f ca="1">'TUSD BE'!$AK$40*'TUSD BE'!$AK$58</f>
        <v>0</v>
      </c>
      <c r="AL40" s="17">
        <f ca="1">SUM($AH$40:$AK$40)</f>
        <v>1.0364246843483467</v>
      </c>
      <c r="AM40" s="17">
        <f ca="1">SUMIF($L$4:$AL$4,"SUBTOTAL",$L$40:$AL$40)</f>
        <v>-97.428491354815421</v>
      </c>
      <c r="AO40" s="29">
        <f ca="1">+'TUSD BE'!$T$40+'TUSD BE'!$AB$40+'TUSD BE'!$AD$40+'TUSD BE'!$AL$40</f>
        <v>394.69107703249</v>
      </c>
      <c r="AP40" s="29">
        <f ca="1">+'TUSD BE'!$T$40+'TUSD BE'!$AB$40+'TUSD BE'!$AD$40+'TUSD BE'!$AL$40</f>
        <v>394.69107703249</v>
      </c>
    </row>
    <row r="41" spans="1:42" ht="11.25" customHeight="1" x14ac:dyDescent="0.25">
      <c r="A41" s="94"/>
      <c r="B41" s="26" t="s">
        <v>23</v>
      </c>
      <c r="C41" s="26" t="s">
        <v>41</v>
      </c>
      <c r="D41" s="26" t="s">
        <v>89</v>
      </c>
      <c r="E41" s="26" t="s">
        <v>25</v>
      </c>
      <c r="F41" s="26" t="s">
        <v>25</v>
      </c>
      <c r="G41" s="27" t="s">
        <v>78</v>
      </c>
      <c r="H41" s="27" t="s">
        <v>72</v>
      </c>
      <c r="I41" s="27">
        <f>'MERCADO TUSD'!$U$38</f>
        <v>0</v>
      </c>
      <c r="J41" s="15"/>
      <c r="L41" s="17">
        <f>'TUSD BE'!$L$41*'TUSD BE'!$L$58</f>
        <v>0</v>
      </c>
      <c r="M41" s="17">
        <f>'TUSD BE'!$M$41*'TUSD BE'!$M$58</f>
        <v>5.5196781036103142E-2</v>
      </c>
      <c r="N41" s="17">
        <f ca="1">'TUSD BE'!$N$41*'TUSD BE'!$N$58</f>
        <v>0</v>
      </c>
      <c r="O41" s="17">
        <f>'TUSD BE'!$O$41*'TUSD BE'!$O$58</f>
        <v>0</v>
      </c>
      <c r="P41" s="17">
        <f>'TUSD BE'!$P$41*'TUSD BE'!$P$58</f>
        <v>0</v>
      </c>
      <c r="Q41" s="17">
        <f>'TUSD BE'!$Q$41*'TUSD BE'!$Q$58</f>
        <v>2.1094627039328584</v>
      </c>
      <c r="R41" s="17">
        <f>'TUSD BE'!$R$41*'TUSD BE'!$R$58</f>
        <v>0.30316417787960626</v>
      </c>
      <c r="S41" s="17">
        <f>'TUSD BE'!$R$41*'TUSD BE'!$S$58</f>
        <v>0</v>
      </c>
      <c r="T41" s="17">
        <f ca="1">SUM($L$41:$S$41)</f>
        <v>2.4678236628485677</v>
      </c>
      <c r="U41" s="17">
        <f>'TUSD BE'!$U$41*'TUSD BE'!$U$58</f>
        <v>0</v>
      </c>
      <c r="V41" s="17">
        <f>'TUSD BE'!$V$41*'TUSD BE'!$V$58</f>
        <v>0</v>
      </c>
      <c r="W41" s="17">
        <f>'TUSD BE'!$W$41*'TUSD BE'!$W$58</f>
        <v>0</v>
      </c>
      <c r="X41" s="17">
        <f>'TUSD BE'!$X$41*'TUSD BE'!$X$58</f>
        <v>0</v>
      </c>
      <c r="Y41" s="17">
        <f>'TUSD BE'!$Y$41*'TUSD BE'!$Y$58</f>
        <v>-16.803884421740875</v>
      </c>
      <c r="Z41" s="17">
        <f>'TUSD BE'!$Z$41*'TUSD BE'!$Z$58</f>
        <v>0</v>
      </c>
      <c r="AA41" s="17">
        <f>'TUSD BE'!$AA$41*'TUSD BE'!$AA$58</f>
        <v>0</v>
      </c>
      <c r="AB41" s="17">
        <f>SUM($U$41:$AA$41)</f>
        <v>-16.803884421740875</v>
      </c>
      <c r="AC41" s="17">
        <f>'TUSD BE'!$AC$41*'TUSD BE'!$AC$58</f>
        <v>-154.27916419015384</v>
      </c>
      <c r="AD41" s="17">
        <f>SUM($AC$41:$AC$41)</f>
        <v>-154.27916419015384</v>
      </c>
      <c r="AE41" s="17">
        <f ca="1">$AO$41*$AO$55</f>
        <v>0</v>
      </c>
      <c r="AF41" s="17">
        <f ca="1">$AP$41*$AP$55</f>
        <v>0</v>
      </c>
      <c r="AG41" s="17">
        <f ca="1">SUM($AE$41:$AF$41)</f>
        <v>0</v>
      </c>
      <c r="AH41" s="17">
        <f>'TUSD BE'!$AH$41*'TUSD BE'!$AH$58</f>
        <v>1.0364246843483467</v>
      </c>
      <c r="AI41" s="17">
        <f>'TUSD BE'!$AI$41*'TUSD BE'!$AI$58</f>
        <v>0</v>
      </c>
      <c r="AJ41" s="17">
        <f ca="1">'TUSD BE'!$AJ$41*'TUSD BE'!$AJ$58</f>
        <v>0</v>
      </c>
      <c r="AK41" s="17">
        <f ca="1">'TUSD BE'!$AK$41*'TUSD BE'!$AK$58</f>
        <v>0</v>
      </c>
      <c r="AL41" s="17">
        <f ca="1">SUM($AH$41:$AK$41)</f>
        <v>1.0364246843483467</v>
      </c>
      <c r="AM41" s="17">
        <f ca="1">SUMIF($L$4:$AL$4,"SUBTOTAL",$L$41:$AL$41)</f>
        <v>-167.5788002646978</v>
      </c>
      <c r="AO41" s="29">
        <f ca="1">+'TUSD BE'!$T$41+'TUSD BE'!$AB$41+'TUSD BE'!$AD$41+'TUSD BE'!$AL$41</f>
        <v>583.25330280533854</v>
      </c>
      <c r="AP41" s="29">
        <f ca="1">+'TUSD BE'!$T$41+'TUSD BE'!$AB$41+'TUSD BE'!$AD$41+'TUSD BE'!$AL$41</f>
        <v>583.25330280533854</v>
      </c>
    </row>
    <row r="42" spans="1:42" ht="11.25" customHeight="1" x14ac:dyDescent="0.25">
      <c r="A42" s="94"/>
      <c r="B42" s="94" t="s">
        <v>87</v>
      </c>
      <c r="C42" s="94" t="s">
        <v>41</v>
      </c>
      <c r="D42" s="26" t="s">
        <v>25</v>
      </c>
      <c r="E42" s="26" t="s">
        <v>25</v>
      </c>
      <c r="F42" s="26" t="s">
        <v>25</v>
      </c>
      <c r="G42" s="27" t="s">
        <v>78</v>
      </c>
      <c r="H42" s="27" t="s">
        <v>72</v>
      </c>
      <c r="I42" s="27">
        <f>'MERCADO TUSD'!$U$39</f>
        <v>0</v>
      </c>
      <c r="J42" s="15"/>
      <c r="L42" s="17">
        <f>'TUSD BE'!$L$42*'TUSD BE'!$L$58</f>
        <v>0</v>
      </c>
      <c r="M42" s="17">
        <f>'TUSD BE'!$M$42*'TUSD BE'!$M$58</f>
        <v>5.5196781036103142E-2</v>
      </c>
      <c r="N42" s="17">
        <f ca="1">'TUSD BE'!$N$42*'TUSD BE'!$N$58</f>
        <v>0</v>
      </c>
      <c r="O42" s="17">
        <f>'TUSD BE'!$O$42*'TUSD BE'!$O$58</f>
        <v>0</v>
      </c>
      <c r="P42" s="17">
        <f>'TUSD BE'!$P$42*'TUSD BE'!$P$58</f>
        <v>0</v>
      </c>
      <c r="Q42" s="17">
        <f>'TUSD BE'!$Q$42*'TUSD BE'!$Q$58</f>
        <v>2.1094627039328584</v>
      </c>
      <c r="R42" s="17">
        <f>'TUSD BE'!$R$42*'TUSD BE'!$R$58</f>
        <v>0.30316417787960626</v>
      </c>
      <c r="S42" s="17">
        <f>'TUSD BE'!$R$42*'TUSD BE'!$S$58</f>
        <v>0</v>
      </c>
      <c r="T42" s="17">
        <f ca="1">SUM($L$42:$S$42)</f>
        <v>2.4678236628485677</v>
      </c>
      <c r="U42" s="17">
        <f>'TUSD BE'!$U$42*'TUSD BE'!$U$58</f>
        <v>0</v>
      </c>
      <c r="V42" s="17">
        <f>'TUSD BE'!$V$42*'TUSD BE'!$V$58</f>
        <v>0</v>
      </c>
      <c r="W42" s="17">
        <f>'TUSD BE'!$W$42*'TUSD BE'!$W$58</f>
        <v>0</v>
      </c>
      <c r="X42" s="17">
        <f>'TUSD BE'!$X$42*'TUSD BE'!$X$58</f>
        <v>0</v>
      </c>
      <c r="Y42" s="17">
        <f>'TUSD BE'!$Y$42*'TUSD BE'!$Y$58</f>
        <v>-16.803884421740875</v>
      </c>
      <c r="Z42" s="17">
        <f>'TUSD BE'!$Z$42*'TUSD BE'!$Z$58</f>
        <v>0</v>
      </c>
      <c r="AA42" s="17">
        <f>'TUSD BE'!$AA$42*'TUSD BE'!$AA$58</f>
        <v>0</v>
      </c>
      <c r="AB42" s="17">
        <f>SUM($U$42:$AA$42)</f>
        <v>-16.803884421740875</v>
      </c>
      <c r="AC42" s="17">
        <f>'TUSD BE'!$AC$42*'TUSD BE'!$AC$58</f>
        <v>-154.27916419015384</v>
      </c>
      <c r="AD42" s="17">
        <f>SUM($AC$42:$AC$42)</f>
        <v>-154.27916419015384</v>
      </c>
      <c r="AE42" s="17">
        <f ca="1">$AO$42*$AO$55</f>
        <v>0</v>
      </c>
      <c r="AF42" s="17">
        <f ca="1">$AP$42*$AP$55</f>
        <v>0</v>
      </c>
      <c r="AG42" s="17">
        <f ca="1">SUM($AE$42:$AF$42)</f>
        <v>0</v>
      </c>
      <c r="AH42" s="17">
        <f>'TUSD BE'!$AH$42*'TUSD BE'!$AH$58</f>
        <v>1.0364246843483467</v>
      </c>
      <c r="AI42" s="17">
        <f>'TUSD BE'!$AI$42*'TUSD BE'!$AI$58</f>
        <v>0</v>
      </c>
      <c r="AJ42" s="17">
        <f ca="1">'TUSD BE'!$AJ$42*'TUSD BE'!$AJ$58</f>
        <v>0</v>
      </c>
      <c r="AK42" s="17">
        <f ca="1">'TUSD BE'!$AK$42*'TUSD BE'!$AK$58</f>
        <v>0</v>
      </c>
      <c r="AL42" s="17">
        <f ca="1">SUM($AH$42:$AK$42)</f>
        <v>1.0364246843483467</v>
      </c>
      <c r="AM42" s="17">
        <f ca="1">SUMIF($L$4:$AL$4,"SUBTOTAL",$L$42:$AL$42)</f>
        <v>-167.5788002646978</v>
      </c>
      <c r="AO42" s="29">
        <f ca="1">+'TUSD BE'!$T$42+'TUSD BE'!$AB$42+'TUSD BE'!$AD$42+'TUSD BE'!$AL$42</f>
        <v>583.25330280533854</v>
      </c>
      <c r="AP42" s="29">
        <f ca="1">+'TUSD BE'!$T$42+'TUSD BE'!$AB$42+'TUSD BE'!$AD$42+'TUSD BE'!$AL$42</f>
        <v>583.25330280533854</v>
      </c>
    </row>
    <row r="43" spans="1:42" ht="11.25" customHeight="1" x14ac:dyDescent="0.25">
      <c r="A43" s="94"/>
      <c r="B43" s="94"/>
      <c r="C43" s="94"/>
      <c r="D43" s="26" t="s">
        <v>88</v>
      </c>
      <c r="E43" s="26" t="s">
        <v>25</v>
      </c>
      <c r="F43" s="26" t="s">
        <v>25</v>
      </c>
      <c r="G43" s="27" t="s">
        <v>78</v>
      </c>
      <c r="H43" s="27" t="s">
        <v>72</v>
      </c>
      <c r="I43" s="27">
        <f>'MERCADO TUSD'!$U$40</f>
        <v>0</v>
      </c>
      <c r="J43" s="15"/>
      <c r="L43" s="17">
        <f>'TUSD BE'!$L$43*'TUSD BE'!$L$58</f>
        <v>0</v>
      </c>
      <c r="M43" s="17">
        <f>'TUSD BE'!$M$43*'TUSD BE'!$M$58</f>
        <v>5.5196781036103142E-2</v>
      </c>
      <c r="N43" s="17">
        <f ca="1">'TUSD BE'!$N$43*'TUSD BE'!$N$58</f>
        <v>0</v>
      </c>
      <c r="O43" s="17">
        <f>'TUSD BE'!$O$43*'TUSD BE'!$O$58</f>
        <v>0</v>
      </c>
      <c r="P43" s="17">
        <f>'TUSD BE'!$P$43*'TUSD BE'!$P$58</f>
        <v>0</v>
      </c>
      <c r="Q43" s="17">
        <f>'TUSD BE'!$Q$43*'TUSD BE'!$Q$58</f>
        <v>2.1094627039328584</v>
      </c>
      <c r="R43" s="17">
        <f>'TUSD BE'!$R$43*'TUSD BE'!$R$58</f>
        <v>0.30316417787960626</v>
      </c>
      <c r="S43" s="17">
        <f>'TUSD BE'!$R$43*'TUSD BE'!$S$58</f>
        <v>0</v>
      </c>
      <c r="T43" s="17">
        <f ca="1">SUM($L$43:$S$43)</f>
        <v>2.4678236628485677</v>
      </c>
      <c r="U43" s="17">
        <f>'TUSD BE'!$U$43*'TUSD BE'!$U$58</f>
        <v>0</v>
      </c>
      <c r="V43" s="17">
        <f>'TUSD BE'!$V$43*'TUSD BE'!$V$58</f>
        <v>0</v>
      </c>
      <c r="W43" s="17">
        <f>'TUSD BE'!$W$43*'TUSD BE'!$W$58</f>
        <v>0</v>
      </c>
      <c r="X43" s="17">
        <f>'TUSD BE'!$X$43*'TUSD BE'!$X$58</f>
        <v>0</v>
      </c>
      <c r="Y43" s="17">
        <f>'TUSD BE'!$Y$43*'TUSD BE'!$Y$58</f>
        <v>-16.803884421740875</v>
      </c>
      <c r="Z43" s="17">
        <f>'TUSD BE'!$Z$43*'TUSD BE'!$Z$58</f>
        <v>0</v>
      </c>
      <c r="AA43" s="17">
        <f>'TUSD BE'!$AA$43*'TUSD BE'!$AA$58</f>
        <v>0</v>
      </c>
      <c r="AB43" s="17">
        <f>SUM($U$43:$AA$43)</f>
        <v>-16.803884421740875</v>
      </c>
      <c r="AC43" s="17">
        <f>'TUSD BE'!$AC$43*'TUSD BE'!$AC$58</f>
        <v>-154.27916419015384</v>
      </c>
      <c r="AD43" s="17">
        <f>SUM($AC$43:$AC$43)</f>
        <v>-154.27916419015384</v>
      </c>
      <c r="AE43" s="17">
        <f ca="1">$AO$43*$AO$55</f>
        <v>0</v>
      </c>
      <c r="AF43" s="17">
        <f ca="1">$AP$43*$AP$55</f>
        <v>0</v>
      </c>
      <c r="AG43" s="17">
        <f ca="1">SUM($AE$43:$AF$43)</f>
        <v>0</v>
      </c>
      <c r="AH43" s="17">
        <f>'TUSD BE'!$AH$43*'TUSD BE'!$AH$58</f>
        <v>1.0364246843483467</v>
      </c>
      <c r="AI43" s="17">
        <f>'TUSD BE'!$AI$43*'TUSD BE'!$AI$58</f>
        <v>0</v>
      </c>
      <c r="AJ43" s="17">
        <f ca="1">'TUSD BE'!$AJ$43*'TUSD BE'!$AJ$58</f>
        <v>0</v>
      </c>
      <c r="AK43" s="17">
        <f ca="1">'TUSD BE'!$AK$43*'TUSD BE'!$AK$58</f>
        <v>0</v>
      </c>
      <c r="AL43" s="17">
        <f ca="1">SUM($AH$43:$AK$43)</f>
        <v>1.0364246843483467</v>
      </c>
      <c r="AM43" s="17">
        <f ca="1">SUMIF($L$4:$AL$4,"SUBTOTAL",$L$43:$AL$43)</f>
        <v>-167.5788002646978</v>
      </c>
      <c r="AO43" s="29">
        <f ca="1">+'TUSD BE'!$T$43+'TUSD BE'!$AB$43+'TUSD BE'!$AD$43+'TUSD BE'!$AL$43</f>
        <v>583.25330280533854</v>
      </c>
      <c r="AP43" s="29">
        <f ca="1">+'TUSD BE'!$T$43+'TUSD BE'!$AB$43+'TUSD BE'!$AD$43+'TUSD BE'!$AL$43</f>
        <v>583.25330280533854</v>
      </c>
    </row>
    <row r="44" spans="1:42" ht="11.25" customHeight="1" x14ac:dyDescent="0.25">
      <c r="A44" s="94"/>
      <c r="B44" s="94"/>
      <c r="C44" s="94"/>
      <c r="D44" s="26" t="s">
        <v>89</v>
      </c>
      <c r="E44" s="26" t="s">
        <v>25</v>
      </c>
      <c r="F44" s="26" t="s">
        <v>25</v>
      </c>
      <c r="G44" s="27" t="s">
        <v>78</v>
      </c>
      <c r="H44" s="27" t="s">
        <v>72</v>
      </c>
      <c r="I44" s="27">
        <f>'MERCADO TUSD'!$U$41</f>
        <v>0</v>
      </c>
      <c r="J44" s="15"/>
      <c r="L44" s="17">
        <f>'TUSD BE'!$L$44*'TUSD BE'!$L$58</f>
        <v>0</v>
      </c>
      <c r="M44" s="17">
        <f>'TUSD BE'!$M$44*'TUSD BE'!$M$58</f>
        <v>5.5196781036103142E-2</v>
      </c>
      <c r="N44" s="17">
        <f ca="1">'TUSD BE'!$N$44*'TUSD BE'!$N$58</f>
        <v>0</v>
      </c>
      <c r="O44" s="17">
        <f>'TUSD BE'!$O$44*'TUSD BE'!$O$58</f>
        <v>0</v>
      </c>
      <c r="P44" s="17">
        <f>'TUSD BE'!$P$44*'TUSD BE'!$P$58</f>
        <v>0</v>
      </c>
      <c r="Q44" s="17">
        <f>'TUSD BE'!$Q$44*'TUSD BE'!$Q$58</f>
        <v>2.1094627039328584</v>
      </c>
      <c r="R44" s="17">
        <f>'TUSD BE'!$R$44*'TUSD BE'!$R$58</f>
        <v>0.30316417787960626</v>
      </c>
      <c r="S44" s="17">
        <f>'TUSD BE'!$R$44*'TUSD BE'!$S$58</f>
        <v>0</v>
      </c>
      <c r="T44" s="17">
        <f ca="1">SUM($L$44:$S$44)</f>
        <v>2.4678236628485677</v>
      </c>
      <c r="U44" s="17">
        <f>'TUSD BE'!$U$44*'TUSD BE'!$U$58</f>
        <v>0</v>
      </c>
      <c r="V44" s="17">
        <f>'TUSD BE'!$V$44*'TUSD BE'!$V$58</f>
        <v>0</v>
      </c>
      <c r="W44" s="17">
        <f>'TUSD BE'!$W$44*'TUSD BE'!$W$58</f>
        <v>0</v>
      </c>
      <c r="X44" s="17">
        <f>'TUSD BE'!$X$44*'TUSD BE'!$X$58</f>
        <v>0</v>
      </c>
      <c r="Y44" s="17">
        <f>'TUSD BE'!$Y$44*'TUSD BE'!$Y$58</f>
        <v>-16.803884421740875</v>
      </c>
      <c r="Z44" s="17">
        <f>'TUSD BE'!$Z$44*'TUSD BE'!$Z$58</f>
        <v>0</v>
      </c>
      <c r="AA44" s="17">
        <f>'TUSD BE'!$AA$44*'TUSD BE'!$AA$58</f>
        <v>0</v>
      </c>
      <c r="AB44" s="17">
        <f>SUM($U$44:$AA$44)</f>
        <v>-16.803884421740875</v>
      </c>
      <c r="AC44" s="17">
        <f>'TUSD BE'!$AC$44*'TUSD BE'!$AC$58</f>
        <v>-154.27916419015384</v>
      </c>
      <c r="AD44" s="17">
        <f>SUM($AC$44:$AC$44)</f>
        <v>-154.27916419015384</v>
      </c>
      <c r="AE44" s="17">
        <f ca="1">$AO$44*$AO$55</f>
        <v>0</v>
      </c>
      <c r="AF44" s="17">
        <f ca="1">$AP$44*$AP$55</f>
        <v>0</v>
      </c>
      <c r="AG44" s="17">
        <f ca="1">SUM($AE$44:$AF$44)</f>
        <v>0</v>
      </c>
      <c r="AH44" s="17">
        <f>'TUSD BE'!$AH$44*'TUSD BE'!$AH$58</f>
        <v>1.0364246843483467</v>
      </c>
      <c r="AI44" s="17">
        <f>'TUSD BE'!$AI$44*'TUSD BE'!$AI$58</f>
        <v>0</v>
      </c>
      <c r="AJ44" s="17">
        <f ca="1">'TUSD BE'!$AJ$44*'TUSD BE'!$AJ$58</f>
        <v>0</v>
      </c>
      <c r="AK44" s="17">
        <f ca="1">'TUSD BE'!$AK$44*'TUSD BE'!$AK$58</f>
        <v>0</v>
      </c>
      <c r="AL44" s="17">
        <f ca="1">SUM($AH$44:$AK$44)</f>
        <v>1.0364246843483467</v>
      </c>
      <c r="AM44" s="17">
        <f ca="1">SUMIF($L$4:$AL$4,"SUBTOTAL",$L$44:$AL$44)</f>
        <v>-167.5788002646978</v>
      </c>
      <c r="AO44" s="29">
        <f ca="1">+'TUSD BE'!$T$44+'TUSD BE'!$AB$44+'TUSD BE'!$AD$44+'TUSD BE'!$AL$44</f>
        <v>583.25330280533854</v>
      </c>
      <c r="AP44" s="29">
        <f ca="1">+'TUSD BE'!$T$44+'TUSD BE'!$AB$44+'TUSD BE'!$AD$44+'TUSD BE'!$AL$44</f>
        <v>583.25330280533854</v>
      </c>
    </row>
    <row r="45" spans="1:42" ht="11.25" customHeight="1" x14ac:dyDescent="0.25">
      <c r="A45" s="94" t="s">
        <v>33</v>
      </c>
      <c r="B45" s="94" t="s">
        <v>85</v>
      </c>
      <c r="C45" s="94" t="s">
        <v>25</v>
      </c>
      <c r="D45" s="94" t="s">
        <v>25</v>
      </c>
      <c r="E45" s="94" t="s">
        <v>25</v>
      </c>
      <c r="F45" s="94" t="s">
        <v>25</v>
      </c>
      <c r="G45" s="27" t="s">
        <v>73</v>
      </c>
      <c r="H45" s="27" t="s">
        <v>72</v>
      </c>
      <c r="I45" s="27">
        <f>'MERCADO TUSD'!$U$42</f>
        <v>0</v>
      </c>
      <c r="J45" s="15"/>
      <c r="L45" s="17">
        <f>'TUSD BE'!$L$45*'TUSD BE'!$L$58</f>
        <v>0</v>
      </c>
      <c r="M45" s="17">
        <f>'TUSD BE'!$M$45*'TUSD BE'!$M$58</f>
        <v>5.5196781036103142E-2</v>
      </c>
      <c r="N45" s="17">
        <f ca="1">'TUSD BE'!$N$45*'TUSD BE'!$N$58</f>
        <v>0</v>
      </c>
      <c r="O45" s="17">
        <f>'TUSD BE'!$O$45*'TUSD BE'!$O$58</f>
        <v>0</v>
      </c>
      <c r="P45" s="17">
        <f>'TUSD BE'!$P$45*'TUSD BE'!$P$58</f>
        <v>0</v>
      </c>
      <c r="Q45" s="17">
        <f>'TUSD BE'!$Q$45*'TUSD BE'!$Q$58</f>
        <v>2.1094627039328584</v>
      </c>
      <c r="R45" s="17">
        <f>'TUSD BE'!$R$45*'TUSD BE'!$R$58</f>
        <v>0.30316417787960626</v>
      </c>
      <c r="S45" s="17">
        <f>'TUSD BE'!$R$45*'TUSD BE'!$S$58</f>
        <v>0</v>
      </c>
      <c r="T45" s="17">
        <f ca="1">SUM($L$45:$S$45)</f>
        <v>2.4678236628485677</v>
      </c>
      <c r="U45" s="17">
        <f>'TUSD BE'!$U$45*'TUSD BE'!$U$58</f>
        <v>0</v>
      </c>
      <c r="V45" s="17">
        <f>'TUSD BE'!$V$45*'TUSD BE'!$V$58</f>
        <v>0</v>
      </c>
      <c r="W45" s="17">
        <f>'TUSD BE'!$W$45*'TUSD BE'!$W$58</f>
        <v>0</v>
      </c>
      <c r="X45" s="17">
        <f>'TUSD BE'!$X$45*'TUSD BE'!$X$58</f>
        <v>0</v>
      </c>
      <c r="Y45" s="17">
        <f>'TUSD BE'!$Y$45*'TUSD BE'!$Y$58</f>
        <v>-57.987945358522772</v>
      </c>
      <c r="Z45" s="17">
        <f>'TUSD BE'!$Z$45*'TUSD BE'!$Z$58</f>
        <v>0</v>
      </c>
      <c r="AA45" s="17">
        <f>'TUSD BE'!$AA$45*'TUSD BE'!$AA$58</f>
        <v>0</v>
      </c>
      <c r="AB45" s="17">
        <f>SUM($U$45:$AA$45)</f>
        <v>-57.987945358522772</v>
      </c>
      <c r="AC45" s="17">
        <f>'TUSD BE'!$AC$45*'TUSD BE'!$AC$58</f>
        <v>-532.2629455363126</v>
      </c>
      <c r="AD45" s="17">
        <f>SUM($AC$45:$AC$45)</f>
        <v>-532.2629455363126</v>
      </c>
      <c r="AE45" s="17">
        <f ca="1">$AO$45*$AO$55</f>
        <v>0</v>
      </c>
      <c r="AF45" s="17">
        <f ca="1">$AP$45*$AP$55</f>
        <v>0</v>
      </c>
      <c r="AG45" s="17">
        <f ca="1">SUM($AE$45:$AF$45)</f>
        <v>0</v>
      </c>
      <c r="AH45" s="17">
        <f>'TUSD BE'!$AH$45*'TUSD BE'!$AH$58</f>
        <v>1.0364246843483467</v>
      </c>
      <c r="AI45" s="17">
        <f>'TUSD BE'!$AI$45*'TUSD BE'!$AI$58</f>
        <v>0</v>
      </c>
      <c r="AJ45" s="17">
        <f ca="1">'TUSD BE'!$AJ$45*'TUSD BE'!$AJ$58</f>
        <v>0</v>
      </c>
      <c r="AK45" s="17">
        <f ca="1">'TUSD BE'!$AK$45*'TUSD BE'!$AK$58</f>
        <v>0</v>
      </c>
      <c r="AL45" s="17">
        <f ca="1">SUM($AH$45:$AK$45)</f>
        <v>1.0364246843483467</v>
      </c>
      <c r="AM45" s="17">
        <f ca="1">SUMIF($L$4:$AL$4,"SUBTOTAL",$L$45:$AL$45)</f>
        <v>-586.74664254763843</v>
      </c>
      <c r="AO45" s="29">
        <f ca="1">+'TUSD BE'!$T$45+'TUSD BE'!$AB$45+'TUSD BE'!$AD$45+'TUSD BE'!$AL$45</f>
        <v>1709.866357471931</v>
      </c>
      <c r="AP45" s="29">
        <f ca="1">+'TUSD BE'!$T$45+'TUSD BE'!$AB$45+'TUSD BE'!$AD$45+'TUSD BE'!$AL$45</f>
        <v>1709.866357471931</v>
      </c>
    </row>
    <row r="46" spans="1:42" ht="11.25" customHeight="1" x14ac:dyDescent="0.25">
      <c r="A46" s="94"/>
      <c r="B46" s="94"/>
      <c r="C46" s="94"/>
      <c r="D46" s="94"/>
      <c r="E46" s="94"/>
      <c r="F46" s="94"/>
      <c r="G46" s="27" t="s">
        <v>83</v>
      </c>
      <c r="H46" s="27" t="s">
        <v>72</v>
      </c>
      <c r="I46" s="27">
        <f>'MERCADO TUSD'!$U$43</f>
        <v>0</v>
      </c>
      <c r="J46" s="15"/>
      <c r="L46" s="17">
        <f>'TUSD BE'!$L$46*'TUSD BE'!$L$58</f>
        <v>0</v>
      </c>
      <c r="M46" s="17">
        <f>'TUSD BE'!$M$46*'TUSD BE'!$M$58</f>
        <v>5.5196781036103142E-2</v>
      </c>
      <c r="N46" s="17">
        <f ca="1">'TUSD BE'!$N$46*'TUSD BE'!$N$58</f>
        <v>0</v>
      </c>
      <c r="O46" s="17">
        <f>'TUSD BE'!$O$46*'TUSD BE'!$O$58</f>
        <v>0</v>
      </c>
      <c r="P46" s="17">
        <f>'TUSD BE'!$P$46*'TUSD BE'!$P$58</f>
        <v>0</v>
      </c>
      <c r="Q46" s="17">
        <f>'TUSD BE'!$Q$46*'TUSD BE'!$Q$58</f>
        <v>2.1094627039328584</v>
      </c>
      <c r="R46" s="17">
        <f>'TUSD BE'!$R$46*'TUSD BE'!$R$58</f>
        <v>0.30316417787960626</v>
      </c>
      <c r="S46" s="17">
        <f>'TUSD BE'!$R$46*'TUSD BE'!$S$58</f>
        <v>0</v>
      </c>
      <c r="T46" s="17">
        <f ca="1">SUM($L$46:$S$46)</f>
        <v>2.4678236628485677</v>
      </c>
      <c r="U46" s="17">
        <f>'TUSD BE'!$U$46*'TUSD BE'!$U$58</f>
        <v>0</v>
      </c>
      <c r="V46" s="17">
        <f>'TUSD BE'!$V$46*'TUSD BE'!$V$58</f>
        <v>0</v>
      </c>
      <c r="W46" s="17">
        <f>'TUSD BE'!$W$46*'TUSD BE'!$W$58</f>
        <v>0</v>
      </c>
      <c r="X46" s="17">
        <f>'TUSD BE'!$X$46*'TUSD BE'!$X$58</f>
        <v>0</v>
      </c>
      <c r="Y46" s="17">
        <f>'TUSD BE'!$Y$46*'TUSD BE'!$Y$58</f>
        <v>-34.786124017331602</v>
      </c>
      <c r="Z46" s="17">
        <f>'TUSD BE'!$Z$46*'TUSD BE'!$Z$58</f>
        <v>0</v>
      </c>
      <c r="AA46" s="17">
        <f>'TUSD BE'!$AA$46*'TUSD BE'!$AA$58</f>
        <v>0</v>
      </c>
      <c r="AB46" s="17">
        <f>SUM($U$46:$AA$46)</f>
        <v>-34.786124017331602</v>
      </c>
      <c r="AC46" s="17">
        <f>'TUSD BE'!$AC$46*'TUSD BE'!$AC$58</f>
        <v>-319.35774833070781</v>
      </c>
      <c r="AD46" s="17">
        <f>SUM($AC$46:$AC$46)</f>
        <v>-319.35774833070781</v>
      </c>
      <c r="AE46" s="17">
        <f ca="1">$AO$46*$AO$55</f>
        <v>0</v>
      </c>
      <c r="AF46" s="17">
        <f ca="1">$AP$46*$AP$55</f>
        <v>0</v>
      </c>
      <c r="AG46" s="17">
        <f ca="1">SUM($AE$46:$AF$46)</f>
        <v>0</v>
      </c>
      <c r="AH46" s="17">
        <f>'TUSD BE'!$AH$46*'TUSD BE'!$AH$58</f>
        <v>1.0364246843483467</v>
      </c>
      <c r="AI46" s="17">
        <f>'TUSD BE'!$AI$46*'TUSD BE'!$AI$58</f>
        <v>0</v>
      </c>
      <c r="AJ46" s="17">
        <f ca="1">'TUSD BE'!$AJ$46*'TUSD BE'!$AJ$58</f>
        <v>0</v>
      </c>
      <c r="AK46" s="17">
        <f ca="1">'TUSD BE'!$AK$46*'TUSD BE'!$AK$58</f>
        <v>0</v>
      </c>
      <c r="AL46" s="17">
        <f ca="1">SUM($AH$46:$AK$46)</f>
        <v>1.0364246843483467</v>
      </c>
      <c r="AM46" s="17">
        <f ca="1">SUMIF($L$4:$AL$4,"SUBTOTAL",$L$46:$AL$46)</f>
        <v>-350.6396240008425</v>
      </c>
      <c r="AO46" s="29">
        <f ca="1">+'TUSD BE'!$T$46+'TUSD BE'!$AB$46+'TUSD BE'!$AD$46+'TUSD BE'!$AL$46</f>
        <v>1075.2539827637142</v>
      </c>
      <c r="AP46" s="29">
        <f ca="1">+'TUSD BE'!$T$46+'TUSD BE'!$AB$46+'TUSD BE'!$AD$46+'TUSD BE'!$AL$46</f>
        <v>1075.2539827637142</v>
      </c>
    </row>
    <row r="47" spans="1:42" ht="11.25" customHeight="1" x14ac:dyDescent="0.25">
      <c r="A47" s="94"/>
      <c r="B47" s="94"/>
      <c r="C47" s="94"/>
      <c r="D47" s="94"/>
      <c r="E47" s="94"/>
      <c r="F47" s="94"/>
      <c r="G47" s="27" t="s">
        <v>74</v>
      </c>
      <c r="H47" s="27" t="s">
        <v>72</v>
      </c>
      <c r="I47" s="27">
        <f>'MERCADO TUSD'!$U$44</f>
        <v>0</v>
      </c>
      <c r="J47" s="15"/>
      <c r="L47" s="17">
        <f>'TUSD BE'!$L$47*'TUSD BE'!$L$58</f>
        <v>0</v>
      </c>
      <c r="M47" s="17">
        <f>'TUSD BE'!$M$47*'TUSD BE'!$M$58</f>
        <v>5.5196781036103142E-2</v>
      </c>
      <c r="N47" s="17">
        <f ca="1">'TUSD BE'!$N$47*'TUSD BE'!$N$58</f>
        <v>0</v>
      </c>
      <c r="O47" s="17">
        <f>'TUSD BE'!$O$47*'TUSD BE'!$O$58</f>
        <v>0</v>
      </c>
      <c r="P47" s="17">
        <f>'TUSD BE'!$P$47*'TUSD BE'!$P$58</f>
        <v>0</v>
      </c>
      <c r="Q47" s="17">
        <f>'TUSD BE'!$Q$47*'TUSD BE'!$Q$58</f>
        <v>2.1094627039328584</v>
      </c>
      <c r="R47" s="17">
        <f>'TUSD BE'!$R$47*'TUSD BE'!$R$58</f>
        <v>0.30316417787960626</v>
      </c>
      <c r="S47" s="17">
        <f>'TUSD BE'!$R$47*'TUSD BE'!$S$58</f>
        <v>0</v>
      </c>
      <c r="T47" s="17">
        <f ca="1">SUM($L$47:$S$47)</f>
        <v>2.4678236628485677</v>
      </c>
      <c r="U47" s="17">
        <f>'TUSD BE'!$U$47*'TUSD BE'!$U$58</f>
        <v>0</v>
      </c>
      <c r="V47" s="17">
        <f>'TUSD BE'!$V$47*'TUSD BE'!$V$58</f>
        <v>0</v>
      </c>
      <c r="W47" s="17">
        <f>'TUSD BE'!$W$47*'TUSD BE'!$W$58</f>
        <v>0</v>
      </c>
      <c r="X47" s="17">
        <f>'TUSD BE'!$X$47*'TUSD BE'!$X$58</f>
        <v>0</v>
      </c>
      <c r="Y47" s="17">
        <f>'TUSD BE'!$Y$47*'TUSD BE'!$Y$58</f>
        <v>-11.592614485218645</v>
      </c>
      <c r="Z47" s="17">
        <f>'TUSD BE'!$Z$47*'TUSD BE'!$Z$58</f>
        <v>0</v>
      </c>
      <c r="AA47" s="17">
        <f>'TUSD BE'!$AA$47*'TUSD BE'!$AA$58</f>
        <v>0</v>
      </c>
      <c r="AB47" s="17">
        <f>SUM($U$47:$AA$47)</f>
        <v>-11.592614485218645</v>
      </c>
      <c r="AC47" s="17">
        <f>'TUSD BE'!$AC$47*'TUSD BE'!$AC$58</f>
        <v>-106.4526935582013</v>
      </c>
      <c r="AD47" s="17">
        <f>SUM($AC$47:$AC$47)</f>
        <v>-106.4526935582013</v>
      </c>
      <c r="AE47" s="17">
        <f ca="1">$AO$47*$AO$55</f>
        <v>0</v>
      </c>
      <c r="AF47" s="17">
        <f ca="1">$AP$47*$AP$55</f>
        <v>0</v>
      </c>
      <c r="AG47" s="17">
        <f ca="1">SUM($AE$47:$AF$47)</f>
        <v>0</v>
      </c>
      <c r="AH47" s="17">
        <f>'TUSD BE'!$AH$47*'TUSD BE'!$AH$58</f>
        <v>1.0364246843483467</v>
      </c>
      <c r="AI47" s="17">
        <f>'TUSD BE'!$AI$47*'TUSD BE'!$AI$58</f>
        <v>0</v>
      </c>
      <c r="AJ47" s="17">
        <f ca="1">'TUSD BE'!$AJ$47*'TUSD BE'!$AJ$58</f>
        <v>0</v>
      </c>
      <c r="AK47" s="17">
        <f ca="1">'TUSD BE'!$AK$47*'TUSD BE'!$AK$58</f>
        <v>0</v>
      </c>
      <c r="AL47" s="17">
        <f ca="1">SUM($AH$47:$AK$47)</f>
        <v>1.0364246843483467</v>
      </c>
      <c r="AM47" s="17">
        <f ca="1">SUMIF($L$4:$AL$4,"SUBTOTAL",$L$47:$AL$47)</f>
        <v>-114.54105969622303</v>
      </c>
      <c r="AO47" s="29">
        <f ca="1">+'TUSD BE'!$T$47+'TUSD BE'!$AB$47+'TUSD BE'!$AD$47+'TUSD BE'!$AL$47</f>
        <v>440.70077410539386</v>
      </c>
      <c r="AP47" s="29">
        <f ca="1">+'TUSD BE'!$T$47+'TUSD BE'!$AB$47+'TUSD BE'!$AD$47+'TUSD BE'!$AL$47</f>
        <v>440.70077410539386</v>
      </c>
    </row>
    <row r="48" spans="1:42" ht="11.25" customHeight="1" x14ac:dyDescent="0.25">
      <c r="A48" s="94"/>
      <c r="B48" s="26" t="s">
        <v>23</v>
      </c>
      <c r="C48" s="26" t="s">
        <v>25</v>
      </c>
      <c r="D48" s="26" t="s">
        <v>25</v>
      </c>
      <c r="E48" s="26" t="s">
        <v>25</v>
      </c>
      <c r="F48" s="26" t="s">
        <v>25</v>
      </c>
      <c r="G48" s="27" t="s">
        <v>78</v>
      </c>
      <c r="H48" s="27" t="s">
        <v>72</v>
      </c>
      <c r="I48" s="27">
        <f>'MERCADO TUSD'!$U$45</f>
        <v>6621.2499999999991</v>
      </c>
      <c r="J48" s="15"/>
      <c r="L48" s="17">
        <f>'TUSD BE'!$L$48*'TUSD BE'!$L$58</f>
        <v>0</v>
      </c>
      <c r="M48" s="17">
        <f>'TUSD BE'!$M$48*'TUSD BE'!$M$58</f>
        <v>5.5196781036103142E-2</v>
      </c>
      <c r="N48" s="17">
        <f ca="1">'TUSD BE'!$N$48*'TUSD BE'!$N$58</f>
        <v>0</v>
      </c>
      <c r="O48" s="17">
        <f>'TUSD BE'!$O$48*'TUSD BE'!$O$58</f>
        <v>0</v>
      </c>
      <c r="P48" s="17">
        <f>'TUSD BE'!$P$48*'TUSD BE'!$P$58</f>
        <v>0</v>
      </c>
      <c r="Q48" s="17">
        <f>'TUSD BE'!$Q$48*'TUSD BE'!$Q$58</f>
        <v>2.1094627039328584</v>
      </c>
      <c r="R48" s="17">
        <f>'TUSD BE'!$R$48*'TUSD BE'!$R$58</f>
        <v>0.30316417787960626</v>
      </c>
      <c r="S48" s="17">
        <f>'TUSD BE'!$R$48*'TUSD BE'!$S$58</f>
        <v>0</v>
      </c>
      <c r="T48" s="17">
        <f ca="1">SUM($L$48:$S$48)</f>
        <v>2.4678236628485677</v>
      </c>
      <c r="U48" s="17">
        <f>'TUSD BE'!$U$48*'TUSD BE'!$U$58</f>
        <v>0</v>
      </c>
      <c r="V48" s="17">
        <f>'TUSD BE'!$V$48*'TUSD BE'!$V$58</f>
        <v>0</v>
      </c>
      <c r="W48" s="17">
        <f>'TUSD BE'!$W$48*'TUSD BE'!$W$58</f>
        <v>0</v>
      </c>
      <c r="X48" s="17">
        <f>'TUSD BE'!$X$48*'TUSD BE'!$X$58</f>
        <v>0</v>
      </c>
      <c r="Y48" s="17">
        <f>'TUSD BE'!$Y$48*'TUSD BE'!$Y$58</f>
        <v>-16.803884421740875</v>
      </c>
      <c r="Z48" s="17">
        <f>'TUSD BE'!$Z$48*'TUSD BE'!$Z$58</f>
        <v>0</v>
      </c>
      <c r="AA48" s="17">
        <f>'TUSD BE'!$AA$48*'TUSD BE'!$AA$58</f>
        <v>0</v>
      </c>
      <c r="AB48" s="17">
        <f>SUM($U$48:$AA$48)</f>
        <v>-16.803884421740875</v>
      </c>
      <c r="AC48" s="17">
        <f>'TUSD BE'!$AC$48*'TUSD BE'!$AC$58</f>
        <v>-154.27916419015384</v>
      </c>
      <c r="AD48" s="17">
        <f>SUM($AC$48:$AC$48)</f>
        <v>-154.27916419015384</v>
      </c>
      <c r="AE48" s="17">
        <f ca="1">$AO$48*$AO$55</f>
        <v>0</v>
      </c>
      <c r="AF48" s="17">
        <f ca="1">$AP$48*$AP$55</f>
        <v>0</v>
      </c>
      <c r="AG48" s="17">
        <f ca="1">SUM($AE$48:$AF$48)</f>
        <v>0</v>
      </c>
      <c r="AH48" s="17">
        <f>'TUSD BE'!$AH$48*'TUSD BE'!$AH$58</f>
        <v>1.0364246843483467</v>
      </c>
      <c r="AI48" s="17">
        <f>'TUSD BE'!$AI$48*'TUSD BE'!$AI$58</f>
        <v>0</v>
      </c>
      <c r="AJ48" s="17">
        <f ca="1">'TUSD BE'!$AJ$48*'TUSD BE'!$AJ$58</f>
        <v>0</v>
      </c>
      <c r="AK48" s="17">
        <f ca="1">'TUSD BE'!$AK$48*'TUSD BE'!$AK$58</f>
        <v>0</v>
      </c>
      <c r="AL48" s="17">
        <f ca="1">SUM($AH$48:$AK$48)</f>
        <v>1.0364246843483467</v>
      </c>
      <c r="AM48" s="17">
        <f ca="1">SUMIF($L$4:$AL$4,"SUBTOTAL",$L$48:$AL$48)</f>
        <v>-167.5788002646978</v>
      </c>
      <c r="AO48" s="29">
        <f ca="1">+'TUSD BE'!$T$48+'TUSD BE'!$AB$48+'TUSD BE'!$AD$48+'TUSD BE'!$AL$48</f>
        <v>583.25330280533854</v>
      </c>
      <c r="AP48" s="29">
        <f ca="1">+'TUSD BE'!$T$48+'TUSD BE'!$AB$48+'TUSD BE'!$AD$48+'TUSD BE'!$AL$48</f>
        <v>583.25330280533854</v>
      </c>
    </row>
    <row r="49" spans="1:42" ht="11.25" customHeight="1" x14ac:dyDescent="0.25">
      <c r="A49" s="94"/>
      <c r="B49" s="26" t="s">
        <v>87</v>
      </c>
      <c r="C49" s="26" t="s">
        <v>25</v>
      </c>
      <c r="D49" s="26" t="s">
        <v>25</v>
      </c>
      <c r="E49" s="26" t="s">
        <v>25</v>
      </c>
      <c r="F49" s="26" t="s">
        <v>25</v>
      </c>
      <c r="G49" s="27" t="s">
        <v>78</v>
      </c>
      <c r="H49" s="27" t="s">
        <v>72</v>
      </c>
      <c r="I49" s="27">
        <f>'MERCADO TUSD'!$U$46</f>
        <v>0</v>
      </c>
      <c r="J49" s="15"/>
      <c r="L49" s="17">
        <f>'TUSD BE'!$L$49*'TUSD BE'!$L$58</f>
        <v>0</v>
      </c>
      <c r="M49" s="17">
        <f>'TUSD BE'!$M$49*'TUSD BE'!$M$58</f>
        <v>5.5196781036103142E-2</v>
      </c>
      <c r="N49" s="17">
        <f ca="1">'TUSD BE'!$N$49*'TUSD BE'!$N$58</f>
        <v>0</v>
      </c>
      <c r="O49" s="17">
        <f>'TUSD BE'!$O$49*'TUSD BE'!$O$58</f>
        <v>0</v>
      </c>
      <c r="P49" s="17">
        <f>'TUSD BE'!$P$49*'TUSD BE'!$P$58</f>
        <v>0</v>
      </c>
      <c r="Q49" s="17">
        <f>'TUSD BE'!$Q$49*'TUSD BE'!$Q$58</f>
        <v>2.1094627039328584</v>
      </c>
      <c r="R49" s="17">
        <f>'TUSD BE'!$R$49*'TUSD BE'!$R$58</f>
        <v>0.30316417787960626</v>
      </c>
      <c r="S49" s="17">
        <f>'TUSD BE'!$R$49*'TUSD BE'!$S$58</f>
        <v>0</v>
      </c>
      <c r="T49" s="17">
        <f ca="1">SUM($L$49:$S$49)</f>
        <v>2.4678236628485677</v>
      </c>
      <c r="U49" s="17">
        <f>'TUSD BE'!$U$49*'TUSD BE'!$U$58</f>
        <v>0</v>
      </c>
      <c r="V49" s="17">
        <f>'TUSD BE'!$V$49*'TUSD BE'!$V$58</f>
        <v>0</v>
      </c>
      <c r="W49" s="17">
        <f>'TUSD BE'!$W$49*'TUSD BE'!$W$58</f>
        <v>0</v>
      </c>
      <c r="X49" s="17">
        <f>'TUSD BE'!$X$49*'TUSD BE'!$X$58</f>
        <v>0</v>
      </c>
      <c r="Y49" s="17">
        <f>'TUSD BE'!$Y$49*'TUSD BE'!$Y$58</f>
        <v>-16.803884421740875</v>
      </c>
      <c r="Z49" s="17">
        <f>'TUSD BE'!$Z$49*'TUSD BE'!$Z$58</f>
        <v>0</v>
      </c>
      <c r="AA49" s="17">
        <f>'TUSD BE'!$AA$49*'TUSD BE'!$AA$58</f>
        <v>0</v>
      </c>
      <c r="AB49" s="17">
        <f>SUM($U$49:$AA$49)</f>
        <v>-16.803884421740875</v>
      </c>
      <c r="AC49" s="17">
        <f>'TUSD BE'!$AC$49*'TUSD BE'!$AC$58</f>
        <v>-154.27916419015384</v>
      </c>
      <c r="AD49" s="17">
        <f>SUM($AC$49:$AC$49)</f>
        <v>-154.27916419015384</v>
      </c>
      <c r="AE49" s="17">
        <f ca="1">$AO$49*$AO$55</f>
        <v>0</v>
      </c>
      <c r="AF49" s="17">
        <f ca="1">$AP$49*$AP$55</f>
        <v>0</v>
      </c>
      <c r="AG49" s="17">
        <f ca="1">SUM($AE$49:$AF$49)</f>
        <v>0</v>
      </c>
      <c r="AH49" s="17">
        <f>'TUSD BE'!$AH$49*'TUSD BE'!$AH$58</f>
        <v>1.0364246843483467</v>
      </c>
      <c r="AI49" s="17">
        <f>'TUSD BE'!$AI$49*'TUSD BE'!$AI$58</f>
        <v>0</v>
      </c>
      <c r="AJ49" s="17">
        <f ca="1">'TUSD BE'!$AJ$49*'TUSD BE'!$AJ$58</f>
        <v>0</v>
      </c>
      <c r="AK49" s="17">
        <f ca="1">'TUSD BE'!$AK$49*'TUSD BE'!$AK$58</f>
        <v>0</v>
      </c>
      <c r="AL49" s="17">
        <f ca="1">SUM($AH$49:$AK$49)</f>
        <v>1.0364246843483467</v>
      </c>
      <c r="AM49" s="17">
        <f ca="1">SUMIF($L$4:$AL$4,"SUBTOTAL",$L$49:$AL$49)</f>
        <v>-167.5788002646978</v>
      </c>
      <c r="AO49" s="29">
        <f ca="1">+'TUSD BE'!$T$49+'TUSD BE'!$AB$49+'TUSD BE'!$AD$49+'TUSD BE'!$AL$49</f>
        <v>583.25330280533854</v>
      </c>
      <c r="AP49" s="29">
        <f ca="1">+'TUSD BE'!$T$49+'TUSD BE'!$AB$49+'TUSD BE'!$AD$49+'TUSD BE'!$AL$49</f>
        <v>583.25330280533854</v>
      </c>
    </row>
    <row r="50" spans="1:42" ht="11.25" customHeight="1" x14ac:dyDescent="0.25">
      <c r="A50" s="94" t="s">
        <v>43</v>
      </c>
      <c r="B50" s="94" t="s">
        <v>23</v>
      </c>
      <c r="C50" s="94" t="s">
        <v>44</v>
      </c>
      <c r="D50" s="26" t="s">
        <v>45</v>
      </c>
      <c r="E50" s="26" t="s">
        <v>25</v>
      </c>
      <c r="F50" s="26" t="s">
        <v>25</v>
      </c>
      <c r="G50" s="27" t="s">
        <v>78</v>
      </c>
      <c r="H50" s="27" t="s">
        <v>72</v>
      </c>
      <c r="I50" s="27">
        <f>'MERCADO TUSD'!$U$47</f>
        <v>930.54300000000012</v>
      </c>
      <c r="J50" s="15"/>
      <c r="L50" s="17">
        <f>'TUSD BE'!$L$50*'TUSD BE'!$L$58</f>
        <v>0</v>
      </c>
      <c r="M50" s="17">
        <f>'TUSD BE'!$M$50*'TUSD BE'!$M$58</f>
        <v>3.0358229569856735E-2</v>
      </c>
      <c r="N50" s="17">
        <f ca="1">'TUSD BE'!$N$50*'TUSD BE'!$N$58</f>
        <v>0</v>
      </c>
      <c r="O50" s="17">
        <f>'TUSD BE'!$O$50*'TUSD BE'!$O$58</f>
        <v>0</v>
      </c>
      <c r="P50" s="17">
        <f>'TUSD BE'!$P$50*'TUSD BE'!$P$58</f>
        <v>0</v>
      </c>
      <c r="Q50" s="17">
        <f>'TUSD BE'!$Q$50*'TUSD BE'!$Q$58</f>
        <v>1.1602044871630721</v>
      </c>
      <c r="R50" s="17">
        <f>'TUSD BE'!$R$50*'TUSD BE'!$R$58</f>
        <v>0.16674029783378344</v>
      </c>
      <c r="S50" s="17">
        <f>'TUSD BE'!$R$50*'TUSD BE'!$S$58</f>
        <v>0</v>
      </c>
      <c r="T50" s="17">
        <f ca="1">SUM($L$50:$S$50)</f>
        <v>1.3573030145667124</v>
      </c>
      <c r="U50" s="17">
        <f>'TUSD BE'!$U$50*'TUSD BE'!$U$58</f>
        <v>0</v>
      </c>
      <c r="V50" s="17">
        <f>'TUSD BE'!$V$50*'TUSD BE'!$V$58</f>
        <v>0</v>
      </c>
      <c r="W50" s="17">
        <f>'TUSD BE'!$W$50*'TUSD BE'!$W$58</f>
        <v>0</v>
      </c>
      <c r="X50" s="17">
        <f>'TUSD BE'!$X$50*'TUSD BE'!$X$58</f>
        <v>0</v>
      </c>
      <c r="Y50" s="17">
        <f>'TUSD BE'!$Y$50*'TUSD BE'!$Y$58</f>
        <v>-9.2421364319574835</v>
      </c>
      <c r="Z50" s="17">
        <f>'TUSD BE'!$Z$50*'TUSD BE'!$Z$58</f>
        <v>0</v>
      </c>
      <c r="AA50" s="17">
        <f>'TUSD BE'!$AA$50*'TUSD BE'!$AA$58</f>
        <v>0</v>
      </c>
      <c r="AB50" s="17">
        <f>SUM($U$50:$AA$50)</f>
        <v>-9.2421364319574835</v>
      </c>
      <c r="AC50" s="17">
        <f>'TUSD BE'!$AC$50*'TUSD BE'!$AC$58</f>
        <v>-84.853540304584612</v>
      </c>
      <c r="AD50" s="17">
        <f>SUM($AC$50:$AC$50)</f>
        <v>-84.853540304584612</v>
      </c>
      <c r="AE50" s="17">
        <f ca="1">$AO$50*$AO$55</f>
        <v>0</v>
      </c>
      <c r="AF50" s="17">
        <f ca="1">$AP$50*$AP$55</f>
        <v>0</v>
      </c>
      <c r="AG50" s="17">
        <f ca="1">SUM($AE$50:$AF$50)</f>
        <v>0</v>
      </c>
      <c r="AH50" s="17">
        <f>'TUSD BE'!$AH$50*'TUSD BE'!$AH$58</f>
        <v>0.57003357639159069</v>
      </c>
      <c r="AI50" s="17">
        <f>'TUSD BE'!$AI$50*'TUSD BE'!$AI$58</f>
        <v>0</v>
      </c>
      <c r="AJ50" s="17">
        <f ca="1">'TUSD BE'!$AJ$50*'TUSD BE'!$AJ$58</f>
        <v>0</v>
      </c>
      <c r="AK50" s="17">
        <f ca="1">'TUSD BE'!$AK$50*'TUSD BE'!$AK$58</f>
        <v>0</v>
      </c>
      <c r="AL50" s="17">
        <f ca="1">SUM($AH$50:$AK$50)</f>
        <v>0.57003357639159069</v>
      </c>
      <c r="AM50" s="17">
        <f ca="1">SUMIF($L$4:$AL$4,"SUBTOTAL",$L$50:$AL$50)</f>
        <v>-92.168340145583784</v>
      </c>
      <c r="AO50" s="29">
        <f ca="1">+'TUSD BE'!$T$50+'TUSD BE'!$AB$50+'TUSD BE'!$AD$50+'TUSD BE'!$AL$50</f>
        <v>320.78931654293621</v>
      </c>
      <c r="AP50" s="29">
        <f ca="1">+'TUSD BE'!$T$50+'TUSD BE'!$AB$50+'TUSD BE'!$AD$50+'TUSD BE'!$AL$50</f>
        <v>320.78931654293621</v>
      </c>
    </row>
    <row r="51" spans="1:42" ht="11.25" customHeight="1" x14ac:dyDescent="0.25">
      <c r="A51" s="94"/>
      <c r="B51" s="94"/>
      <c r="C51" s="94"/>
      <c r="D51" s="27" t="s">
        <v>90</v>
      </c>
      <c r="E51" s="27" t="s">
        <v>25</v>
      </c>
      <c r="F51" s="27" t="s">
        <v>25</v>
      </c>
      <c r="G51" s="27" t="s">
        <v>78</v>
      </c>
      <c r="H51" s="27" t="s">
        <v>72</v>
      </c>
      <c r="I51" s="27">
        <f>'MERCADO TUSD'!$U$48</f>
        <v>0</v>
      </c>
      <c r="J51" s="15"/>
      <c r="L51" s="17">
        <f>'TUSD BE'!$L$51*'TUSD BE'!$L$58</f>
        <v>0</v>
      </c>
      <c r="M51" s="17">
        <f>'TUSD BE'!$M$51*'TUSD BE'!$M$58</f>
        <v>3.3118068621661889E-2</v>
      </c>
      <c r="N51" s="17">
        <f ca="1">'TUSD BE'!$N$51*'TUSD BE'!$N$58</f>
        <v>0</v>
      </c>
      <c r="O51" s="17">
        <f>'TUSD BE'!$O$51*'TUSD BE'!$O$58</f>
        <v>0</v>
      </c>
      <c r="P51" s="17">
        <f>'TUSD BE'!$P$51*'TUSD BE'!$P$58</f>
        <v>0</v>
      </c>
      <c r="Q51" s="17">
        <f>'TUSD BE'!$Q$51*'TUSD BE'!$Q$58</f>
        <v>1.265677622359715</v>
      </c>
      <c r="R51" s="17">
        <f>'TUSD BE'!$R$51*'TUSD BE'!$R$58</f>
        <v>0.18189850672776375</v>
      </c>
      <c r="S51" s="17">
        <f>'TUSD BE'!$R$51*'TUSD BE'!$S$58</f>
        <v>0</v>
      </c>
      <c r="T51" s="17">
        <f ca="1">SUM($L$51:$S$51)</f>
        <v>1.4806941977091408</v>
      </c>
      <c r="U51" s="17">
        <f>'TUSD BE'!$U$51*'TUSD BE'!$U$58</f>
        <v>0</v>
      </c>
      <c r="V51" s="17">
        <f>'TUSD BE'!$V$51*'TUSD BE'!$V$58</f>
        <v>0</v>
      </c>
      <c r="W51" s="17">
        <f>'TUSD BE'!$W$51*'TUSD BE'!$W$58</f>
        <v>0</v>
      </c>
      <c r="X51" s="17">
        <f>'TUSD BE'!$X$51*'TUSD BE'!$X$58</f>
        <v>0</v>
      </c>
      <c r="Y51" s="17">
        <f>'TUSD BE'!$Y$51*'TUSD BE'!$Y$58</f>
        <v>-10.082330653044526</v>
      </c>
      <c r="Z51" s="17">
        <f>'TUSD BE'!$Z$51*'TUSD BE'!$Z$58</f>
        <v>0</v>
      </c>
      <c r="AA51" s="17">
        <f>'TUSD BE'!$AA$51*'TUSD BE'!$AA$58</f>
        <v>0</v>
      </c>
      <c r="AB51" s="17">
        <f>SUM($U$51:$AA$51)</f>
        <v>-10.082330653044526</v>
      </c>
      <c r="AC51" s="17">
        <f>'TUSD BE'!$AC$51*'TUSD BE'!$AC$58</f>
        <v>-92.567498514092279</v>
      </c>
      <c r="AD51" s="17">
        <f>SUM($AC$51:$AC$51)</f>
        <v>-92.567498514092279</v>
      </c>
      <c r="AE51" s="17">
        <f ca="1">$AO$51*$AO$55</f>
        <v>0</v>
      </c>
      <c r="AF51" s="17">
        <f ca="1">$AP$51*$AP$55</f>
        <v>0</v>
      </c>
      <c r="AG51" s="17">
        <f ca="1">SUM($AE$51:$AF$51)</f>
        <v>0</v>
      </c>
      <c r="AH51" s="17">
        <f>'TUSD BE'!$AH$51*'TUSD BE'!$AH$58</f>
        <v>0.62185481060900794</v>
      </c>
      <c r="AI51" s="17">
        <f>'TUSD BE'!$AI$51*'TUSD BE'!$AI$58</f>
        <v>0</v>
      </c>
      <c r="AJ51" s="17">
        <f ca="1">'TUSD BE'!$AJ$51*'TUSD BE'!$AJ$58</f>
        <v>0</v>
      </c>
      <c r="AK51" s="17">
        <f ca="1">'TUSD BE'!$AK$51*'TUSD BE'!$AK$58</f>
        <v>0</v>
      </c>
      <c r="AL51" s="17">
        <f ca="1">SUM($AH$51:$AK$51)</f>
        <v>0.62185481060900794</v>
      </c>
      <c r="AM51" s="17">
        <f ca="1">SUMIF($L$4:$AL$4,"SUBTOTAL",$L$51:$AL$51)</f>
        <v>-100.54728015881865</v>
      </c>
      <c r="AO51" s="29">
        <f ca="1">+'TUSD BE'!$T$51+'TUSD BE'!$AB$51+'TUSD BE'!$AD$51+'TUSD BE'!$AL$51</f>
        <v>349.95198168320314</v>
      </c>
      <c r="AP51" s="29">
        <f ca="1">+'TUSD BE'!$T$51+'TUSD BE'!$AB$51+'TUSD BE'!$AD$51+'TUSD BE'!$AL$51</f>
        <v>349.95198168320314</v>
      </c>
    </row>
    <row r="53" spans="1:42" ht="11.25" customHeight="1" x14ac:dyDescent="0.25">
      <c r="K53" s="18" t="s">
        <v>496</v>
      </c>
      <c r="L53" s="17">
        <f>SUMPRODUCT($I$5:$I51,$L$5:$L51)</f>
        <v>0</v>
      </c>
      <c r="M53" s="17">
        <f>SUMPRODUCT($I$5:$I51,$M$5:$M51)</f>
        <v>4204.1088071347203</v>
      </c>
      <c r="N53" s="17">
        <f ca="1">SUMPRODUCT($I$5:$I51,$N$5:$N51)</f>
        <v>0</v>
      </c>
      <c r="O53" s="17">
        <f>SUMPRODUCT($I$5:$I51,$O$5:$O51)</f>
        <v>0</v>
      </c>
      <c r="P53" s="17">
        <f>SUMPRODUCT($I$5:$I51,$P$5:$P51)</f>
        <v>0</v>
      </c>
      <c r="Q53" s="17">
        <f>SUMPRODUCT($I$5:$I51,$Q$5:$Q51)</f>
        <v>181053.96083317613</v>
      </c>
      <c r="R53" s="17">
        <f>SUMPRODUCT($I$5:$I51,$R$5:$R51)</f>
        <v>27576.297970177777</v>
      </c>
      <c r="S53" s="17">
        <f>SUMPRODUCT($I$5:$I51,$S$5:$S51)</f>
        <v>0</v>
      </c>
      <c r="T53" s="17">
        <f ca="1">SUMPRODUCT($I$5:$I51,$T$5:$T51)</f>
        <v>212834.36761048858</v>
      </c>
      <c r="U53" s="17">
        <f>SUMPRODUCT($I$5:$I51,$U$5:$U51)</f>
        <v>0</v>
      </c>
      <c r="V53" s="17">
        <f>SUMPRODUCT($I$5:$I51,$V$5:$V51)</f>
        <v>0</v>
      </c>
      <c r="W53" s="17">
        <f>SUMPRODUCT($I$5:$I51,$W$5:$W51)</f>
        <v>0</v>
      </c>
      <c r="X53" s="17">
        <f>SUMPRODUCT($I$5:$I51,$X$5:$X51)</f>
        <v>0</v>
      </c>
      <c r="Y53" s="17">
        <f>SUMPRODUCT($I$5:$I51,$Y$5:$Y51)</f>
        <v>-1451207.6955431981</v>
      </c>
      <c r="Z53" s="17">
        <f>SUMPRODUCT($I$5:$I51,$Z$5:$Z51)</f>
        <v>0</v>
      </c>
      <c r="AA53" s="17">
        <f>SUMPRODUCT($I$5:$I51,$AA$5:$AA51)</f>
        <v>0</v>
      </c>
      <c r="AB53" s="17">
        <f>SUMPRODUCT($I$5:$I51,$AB$5:$AB51)</f>
        <v>-1451207.6955431981</v>
      </c>
      <c r="AC53" s="17">
        <f>SUMPRODUCT($I$5:$I51,$AC$5:$AC51)</f>
        <v>-11769398.069312807</v>
      </c>
      <c r="AD53" s="17">
        <f>SUMPRODUCT($I$5:$I51,$AD$5:$AD51)</f>
        <v>-11769398.069312807</v>
      </c>
      <c r="AE53" s="17">
        <f ca="1">SUMPRODUCT($I$5:$I51,$AE$5:$AE51)</f>
        <v>0</v>
      </c>
      <c r="AF53" s="17">
        <f ca="1">SUMPRODUCT($I$5:$I51,$AF$5:$AF51)</f>
        <v>0</v>
      </c>
      <c r="AG53" s="17">
        <f ca="1">SUMPRODUCT($I$5:$I51,$AG$5:$AG51)</f>
        <v>0</v>
      </c>
      <c r="AH53" s="17">
        <f>SUMPRODUCT($I$5:$I51,$AH$5:$AH51)</f>
        <v>74044.85200701881</v>
      </c>
      <c r="AI53" s="17">
        <f>SUMPRODUCT($I$5:$I51,$AI$5:$AI51)</f>
        <v>0</v>
      </c>
      <c r="AJ53" s="17">
        <f ca="1">SUMPRODUCT($I$5:$I51,$AJ$5:$AJ51)</f>
        <v>0</v>
      </c>
      <c r="AK53" s="17">
        <f ca="1">SUMPRODUCT($I$5:$I51,$AK$5:$AK51)</f>
        <v>0</v>
      </c>
      <c r="AL53" s="17">
        <f ca="1">SUMPRODUCT($I$5:$I51,$AL$5:$AL51)</f>
        <v>74044.85200701881</v>
      </c>
      <c r="AM53" s="17">
        <f ca="1">SUMPRODUCT($I$5:$I51,$AM$5:$AM51)</f>
        <v>-12933726.545238499</v>
      </c>
      <c r="AO53" s="27">
        <f ca="1">SUMPRODUCT($I$5:$I51,$AO$5:$AO51)</f>
        <v>46670673.964825176</v>
      </c>
      <c r="AP53" s="27">
        <f ca="1">SUMPRODUCT($I$5:$I51,$AP$5:$AP51)</f>
        <v>46670673.964825176</v>
      </c>
    </row>
    <row r="54" spans="1:42" ht="11.25" customHeight="1" x14ac:dyDescent="0.25">
      <c r="K54" s="18" t="s">
        <v>428</v>
      </c>
      <c r="L54" s="17">
        <f>'TR TUSD'!$L$56</f>
        <v>0</v>
      </c>
      <c r="M54" s="17">
        <f>'TR TUSD'!$M$56</f>
        <v>109835.60937026615</v>
      </c>
      <c r="N54" s="17">
        <f>'TR TUSD'!$N$56</f>
        <v>0</v>
      </c>
      <c r="O54" s="17">
        <f>'TR TUSD'!$O$56</f>
        <v>0</v>
      </c>
      <c r="P54" s="17">
        <f>'TR TUSD'!$P$56</f>
        <v>0</v>
      </c>
      <c r="Q54" s="17">
        <f>'TR TUSD'!$Q$56</f>
        <v>7706465.960090002</v>
      </c>
      <c r="R54" s="17">
        <f>'TR TUSD'!$R$56</f>
        <v>1291204.2324600006</v>
      </c>
      <c r="S54" s="17">
        <f>'TR TUSD'!$S$56</f>
        <v>0</v>
      </c>
      <c r="T54" s="17">
        <f>'TR TUSD'!$T$56</f>
        <v>9107505.8019202687</v>
      </c>
      <c r="U54" s="17">
        <f>'TR TUSD'!$U$56</f>
        <v>0</v>
      </c>
      <c r="V54" s="17">
        <f>'TR TUSD'!$V$56</f>
        <v>0</v>
      </c>
      <c r="W54" s="17">
        <f>'TR TUSD'!$W$56</f>
        <v>0</v>
      </c>
      <c r="X54" s="17">
        <f>'TR TUSD'!$X$56</f>
        <v>0</v>
      </c>
      <c r="Y54" s="17">
        <f>'TR TUSD'!$Y$56</f>
        <v>10275212.197579999</v>
      </c>
      <c r="Z54" s="17">
        <f>'TR TUSD'!$Z$56</f>
        <v>0</v>
      </c>
      <c r="AA54" s="17">
        <f>'TR TUSD'!$AA$56</f>
        <v>0</v>
      </c>
      <c r="AB54" s="17">
        <f>'TR TUSD'!$AB$56</f>
        <v>10275212.197579999</v>
      </c>
      <c r="AC54" s="17">
        <f>'TR TUSD'!$AC$56</f>
        <v>26000000</v>
      </c>
      <c r="AD54" s="17">
        <f>'TR TUSD'!$AD$56</f>
        <v>26000000</v>
      </c>
      <c r="AE54" s="17">
        <f>'TR TUSD'!$AE$56</f>
        <v>0</v>
      </c>
      <c r="AF54" s="17">
        <f>'TR TUSD'!$AF$56</f>
        <v>0</v>
      </c>
      <c r="AG54" s="17">
        <f>'TR TUSD'!$AG$56</f>
        <v>0</v>
      </c>
      <c r="AH54" s="17">
        <f>'TR TUSD'!$AH$56</f>
        <v>1287955.9653249066</v>
      </c>
      <c r="AI54" s="17">
        <f>'TR TUSD'!$AI$56</f>
        <v>0</v>
      </c>
      <c r="AJ54" s="17">
        <f>'TR TUSD'!$AJ$56</f>
        <v>0</v>
      </c>
      <c r="AK54" s="17">
        <f>'TR TUSD'!$AK$56</f>
        <v>0</v>
      </c>
      <c r="AL54" s="17">
        <f>'TR TUSD'!$AL$56</f>
        <v>1287955.9653249066</v>
      </c>
      <c r="AM54" s="17">
        <f>'TUSD BE'!$AM$54</f>
        <v>46670673.964825176</v>
      </c>
      <c r="AO54" s="27">
        <f>$AE$55</f>
        <v>0</v>
      </c>
      <c r="AP54" s="27">
        <f>$AF$55</f>
        <v>0</v>
      </c>
    </row>
    <row r="55" spans="1:42" ht="11.25" customHeight="1" x14ac:dyDescent="0.25">
      <c r="K55" s="18" t="s">
        <v>429</v>
      </c>
      <c r="L55" s="17">
        <f>CUSTOS!$E$2</f>
        <v>0</v>
      </c>
      <c r="M55" s="17">
        <f>CUSTOS!$E$3</f>
        <v>4204.1088071347203</v>
      </c>
      <c r="N55" s="17">
        <f>CUSTOS!$E$4</f>
        <v>0</v>
      </c>
      <c r="O55" s="17">
        <f>CUSTOS!$E$5</f>
        <v>0</v>
      </c>
      <c r="P55" s="17">
        <f>CUSTOS!$E$6</f>
        <v>0</v>
      </c>
      <c r="Q55" s="17">
        <f>CUSTOS!$E$7</f>
        <v>181053.9608331761</v>
      </c>
      <c r="R55" s="17">
        <f>CUSTOS!$E$8</f>
        <v>27576.297970177777</v>
      </c>
      <c r="S55" s="17">
        <f>CUSTOS!$E$9</f>
        <v>0</v>
      </c>
      <c r="T55" s="17">
        <f>CUSTOS!$E$10</f>
        <v>212834.36761048861</v>
      </c>
      <c r="U55" s="17">
        <f>CUSTOS!$E$11</f>
        <v>0</v>
      </c>
      <c r="V55" s="17">
        <f>CUSTOS!$E$12</f>
        <v>0</v>
      </c>
      <c r="W55" s="17">
        <f>CUSTOS!$E$13</f>
        <v>0</v>
      </c>
      <c r="X55" s="17">
        <f>CUSTOS!$E$14</f>
        <v>0</v>
      </c>
      <c r="Y55" s="17">
        <f>CUSTOS!$E$15</f>
        <v>-1451207.6955431984</v>
      </c>
      <c r="Z55" s="17">
        <f>CUSTOS!$E$16</f>
        <v>0</v>
      </c>
      <c r="AA55" s="17">
        <f>CUSTOS!$E$17</f>
        <v>0</v>
      </c>
      <c r="AB55" s="17">
        <f>CUSTOS!$E$18</f>
        <v>-1451207.6955431984</v>
      </c>
      <c r="AC55" s="17">
        <f>CUSTOS!$E$19</f>
        <v>-11769398.069312805</v>
      </c>
      <c r="AD55" s="17">
        <f>CUSTOS!$E$20</f>
        <v>-11769398.069312805</v>
      </c>
      <c r="AE55" s="17">
        <f>CUSTOS!$E$21</f>
        <v>0</v>
      </c>
      <c r="AF55" s="17">
        <f>CUSTOS!$E$22</f>
        <v>0</v>
      </c>
      <c r="AG55" s="17">
        <f>CUSTOS!$E$23</f>
        <v>0</v>
      </c>
      <c r="AH55" s="17">
        <f>CUSTOS!$E$24</f>
        <v>74044.85200701881</v>
      </c>
      <c r="AI55" s="17">
        <f>CUSTOS!$E$25</f>
        <v>0</v>
      </c>
      <c r="AJ55" s="17">
        <f>CUSTOS!$E$26</f>
        <v>0</v>
      </c>
      <c r="AK55" s="17">
        <f>CUSTOS!$E$27</f>
        <v>0</v>
      </c>
      <c r="AL55" s="17">
        <f>CUSTOS!$E$28</f>
        <v>74044.85200701881</v>
      </c>
      <c r="AM55" s="17">
        <f>CUSTOS!$E$29</f>
        <v>-12933726.545238497</v>
      </c>
      <c r="AO55" s="27">
        <f ca="1">IF(AO53&lt;&gt;0,AO54/AO53,0)</f>
        <v>0</v>
      </c>
      <c r="AP55" s="27">
        <f ca="1">IF(AP53&lt;&gt;0,AP54/AP53,0)</f>
        <v>0</v>
      </c>
    </row>
    <row r="56" spans="1:42" ht="11.25" customHeight="1" x14ac:dyDescent="0.25">
      <c r="K56" s="18" t="s">
        <v>430</v>
      </c>
      <c r="L56" s="17">
        <f>CUSTOS!$F$2</f>
        <v>0</v>
      </c>
      <c r="M56" s="17">
        <f>CUSTOS!$F$3</f>
        <v>0</v>
      </c>
      <c r="N56" s="17">
        <f>CUSTOS!$F$4</f>
        <v>0</v>
      </c>
      <c r="O56" s="17">
        <f>CUSTOS!$F$5</f>
        <v>0</v>
      </c>
      <c r="P56" s="17">
        <f>CUSTOS!$F$6</f>
        <v>0</v>
      </c>
      <c r="Q56" s="17">
        <f>CUSTOS!$F$7</f>
        <v>0</v>
      </c>
      <c r="R56" s="17">
        <f>CUSTOS!$F$8</f>
        <v>0</v>
      </c>
      <c r="S56" s="17">
        <f>CUSTOS!$F$9</f>
        <v>0</v>
      </c>
      <c r="T56" s="17">
        <f>CUSTOS!$F$10</f>
        <v>0</v>
      </c>
      <c r="U56" s="17">
        <f>CUSTOS!$F$11</f>
        <v>0</v>
      </c>
      <c r="V56" s="17">
        <f>CUSTOS!$F$12</f>
        <v>0</v>
      </c>
      <c r="W56" s="17">
        <f>CUSTOS!$F$13</f>
        <v>0</v>
      </c>
      <c r="X56" s="17">
        <f>CUSTOS!$F$14</f>
        <v>0</v>
      </c>
      <c r="Y56" s="17">
        <f>CUSTOS!$F$15</f>
        <v>0</v>
      </c>
      <c r="Z56" s="17">
        <f>CUSTOS!$F$16</f>
        <v>0</v>
      </c>
      <c r="AA56" s="17">
        <f>CUSTOS!$F$17</f>
        <v>0</v>
      </c>
      <c r="AB56" s="17">
        <f>CUSTOS!$F$18</f>
        <v>0</v>
      </c>
      <c r="AC56" s="17">
        <f>CUSTOS!$F$19</f>
        <v>0</v>
      </c>
      <c r="AD56" s="17">
        <f>CUSTOS!$F$20</f>
        <v>0</v>
      </c>
      <c r="AE56" s="17">
        <f>CUSTOS!$F$21</f>
        <v>0</v>
      </c>
      <c r="AF56" s="17">
        <f>CUSTOS!$F$22</f>
        <v>0</v>
      </c>
      <c r="AG56" s="17">
        <f>CUSTOS!$F$23</f>
        <v>0</v>
      </c>
      <c r="AH56" s="17">
        <f>CUSTOS!$F$24</f>
        <v>0</v>
      </c>
      <c r="AI56" s="17">
        <f>CUSTOS!$F$25</f>
        <v>0</v>
      </c>
      <c r="AJ56" s="17">
        <f>CUSTOS!$F$26</f>
        <v>0</v>
      </c>
      <c r="AK56" s="17">
        <f>CUSTOS!$F$27</f>
        <v>0</v>
      </c>
      <c r="AL56" s="17">
        <f>CUSTOS!$F$28</f>
        <v>0</v>
      </c>
      <c r="AM56" s="17">
        <f>CUSTOS!$F$29</f>
        <v>0</v>
      </c>
    </row>
    <row r="57" spans="1:42" ht="11.25" customHeight="1" x14ac:dyDescent="0.25">
      <c r="K57" s="18" t="s">
        <v>493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f>SUM($L$57:$S$57)</f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f>SUM($U$57:$AA$57)</f>
        <v>0</v>
      </c>
      <c r="AC57" s="17">
        <v>0</v>
      </c>
      <c r="AD57" s="17">
        <f>SUM($AC$57:$AC$57)</f>
        <v>0</v>
      </c>
      <c r="AE57" s="17">
        <v>0</v>
      </c>
      <c r="AF57" s="17">
        <v>0</v>
      </c>
      <c r="AG57" s="17">
        <f>SUM($AE$57:$AF$57)</f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f>SUM($AH$57:$AK$57)</f>
        <v>0</v>
      </c>
      <c r="AM57" s="17"/>
    </row>
    <row r="58" spans="1:42" ht="11.25" customHeight="1" x14ac:dyDescent="0.25">
      <c r="K58" s="18" t="s">
        <v>499</v>
      </c>
      <c r="L58" s="17">
        <f t="shared" ref="L58:R58" si="0">IF((L54-(0))&lt;&gt;0,(L56)/(L54-(0)),0)</f>
        <v>0</v>
      </c>
      <c r="M58" s="17">
        <f t="shared" si="0"/>
        <v>0</v>
      </c>
      <c r="N58" s="17">
        <f t="shared" si="0"/>
        <v>0</v>
      </c>
      <c r="O58" s="17">
        <f t="shared" si="0"/>
        <v>0</v>
      </c>
      <c r="P58" s="17">
        <f t="shared" si="0"/>
        <v>0</v>
      </c>
      <c r="Q58" s="17">
        <f t="shared" si="0"/>
        <v>0</v>
      </c>
      <c r="R58" s="17">
        <f t="shared" si="0"/>
        <v>0</v>
      </c>
      <c r="S58" s="17">
        <f>IF((R53-(0)&lt;&gt;0),(S55)/(R53-(0)),0)</f>
        <v>0</v>
      </c>
      <c r="T58" s="17"/>
      <c r="U58" s="17">
        <f t="shared" ref="U58:AA58" si="1">IF((U54-(0))&lt;&gt;0,(U56)/(U54-(0)),0)</f>
        <v>0</v>
      </c>
      <c r="V58" s="17">
        <f t="shared" si="1"/>
        <v>0</v>
      </c>
      <c r="W58" s="17">
        <f t="shared" si="1"/>
        <v>0</v>
      </c>
      <c r="X58" s="17">
        <f t="shared" si="1"/>
        <v>0</v>
      </c>
      <c r="Y58" s="17">
        <f t="shared" si="1"/>
        <v>0</v>
      </c>
      <c r="Z58" s="17">
        <f t="shared" si="1"/>
        <v>0</v>
      </c>
      <c r="AA58" s="17">
        <f t="shared" si="1"/>
        <v>0</v>
      </c>
      <c r="AB58" s="17"/>
      <c r="AC58" s="17">
        <f>IF((AC54-(0))&lt;&gt;0,(AC56)/(AC54-(0)),0)</f>
        <v>0</v>
      </c>
      <c r="AD58" s="17"/>
      <c r="AE58" s="17">
        <f ca="1">IF(($AM53-(0))&lt;&gt;0,(AE55)/($AM53-(0)),0)</f>
        <v>0</v>
      </c>
      <c r="AF58" s="17">
        <f ca="1">IF(($AM53-(0))&lt;&gt;0,(AF55)/($AM53-(0)),0)</f>
        <v>0</v>
      </c>
      <c r="AG58" s="17"/>
      <c r="AH58" s="17">
        <f>IF((AH54-(0))&lt;&gt;0,(AH56)/(AH54-(0)),0)</f>
        <v>0</v>
      </c>
      <c r="AI58" s="17">
        <f>IF((AI54-(0))&lt;&gt;0,(AI56)/(AI54-(0)),0)</f>
        <v>0</v>
      </c>
      <c r="AJ58" s="17">
        <f>IF((AJ54-(0))&lt;&gt;0,(AJ56)/(AJ54-(0)),0)</f>
        <v>0</v>
      </c>
      <c r="AK58" s="17">
        <f>IF((AK54-(0))&lt;&gt;0,(AK56)/(AK54-(0)),0)</f>
        <v>0</v>
      </c>
      <c r="AL58" s="17"/>
      <c r="AM58" s="17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740" priority="55" operator="notEqual">
      <formula>$L$55</formula>
    </cfRule>
    <cfRule type="cellIs" dxfId="739" priority="56" operator="equal">
      <formula>$L$55</formula>
    </cfRule>
  </conditionalFormatting>
  <conditionalFormatting sqref="M53">
    <cfRule type="cellIs" dxfId="738" priority="53" operator="notEqual">
      <formula>$M$55</formula>
    </cfRule>
    <cfRule type="cellIs" dxfId="737" priority="54" operator="equal">
      <formula>$M$55</formula>
    </cfRule>
  </conditionalFormatting>
  <conditionalFormatting sqref="N53">
    <cfRule type="cellIs" dxfId="736" priority="51" operator="notEqual">
      <formula>$N$55</formula>
    </cfRule>
    <cfRule type="cellIs" dxfId="735" priority="52" operator="equal">
      <formula>$N$55</formula>
    </cfRule>
  </conditionalFormatting>
  <conditionalFormatting sqref="O53">
    <cfRule type="cellIs" dxfId="734" priority="49" operator="notEqual">
      <formula>$O$55</formula>
    </cfRule>
    <cfRule type="cellIs" dxfId="733" priority="50" operator="equal">
      <formula>$O$55</formula>
    </cfRule>
  </conditionalFormatting>
  <conditionalFormatting sqref="P53">
    <cfRule type="cellIs" dxfId="732" priority="47" operator="notEqual">
      <formula>$P$55</formula>
    </cfRule>
    <cfRule type="cellIs" dxfId="731" priority="48" operator="equal">
      <formula>$P$55</formula>
    </cfRule>
  </conditionalFormatting>
  <conditionalFormatting sqref="Q53">
    <cfRule type="cellIs" dxfId="730" priority="45" operator="notEqual">
      <formula>$Q$55</formula>
    </cfRule>
    <cfRule type="cellIs" dxfId="729" priority="46" operator="equal">
      <formula>$Q$55</formula>
    </cfRule>
  </conditionalFormatting>
  <conditionalFormatting sqref="R53">
    <cfRule type="cellIs" dxfId="728" priority="43" operator="notEqual">
      <formula>$R$55</formula>
    </cfRule>
    <cfRule type="cellIs" dxfId="727" priority="44" operator="equal">
      <formula>$R$55</formula>
    </cfRule>
  </conditionalFormatting>
  <conditionalFormatting sqref="S53">
    <cfRule type="cellIs" dxfId="726" priority="41" operator="notEqual">
      <formula>$S$55</formula>
    </cfRule>
    <cfRule type="cellIs" dxfId="725" priority="42" operator="equal">
      <formula>$S$55</formula>
    </cfRule>
  </conditionalFormatting>
  <conditionalFormatting sqref="T53">
    <cfRule type="cellIs" dxfId="724" priority="39" operator="notEqual">
      <formula>$T$55</formula>
    </cfRule>
    <cfRule type="cellIs" dxfId="723" priority="40" operator="equal">
      <formula>$T$55</formula>
    </cfRule>
  </conditionalFormatting>
  <conditionalFormatting sqref="U53">
    <cfRule type="cellIs" dxfId="722" priority="37" operator="notEqual">
      <formula>$U$55</formula>
    </cfRule>
    <cfRule type="cellIs" dxfId="721" priority="38" operator="equal">
      <formula>$U$55</formula>
    </cfRule>
  </conditionalFormatting>
  <conditionalFormatting sqref="V53">
    <cfRule type="cellIs" dxfId="720" priority="35" operator="notEqual">
      <formula>$V$55</formula>
    </cfRule>
    <cfRule type="cellIs" dxfId="719" priority="36" operator="equal">
      <formula>$V$55</formula>
    </cfRule>
  </conditionalFormatting>
  <conditionalFormatting sqref="W53">
    <cfRule type="cellIs" dxfId="718" priority="33" operator="notEqual">
      <formula>$W$55</formula>
    </cfRule>
    <cfRule type="cellIs" dxfId="717" priority="34" operator="equal">
      <formula>$W$55</formula>
    </cfRule>
  </conditionalFormatting>
  <conditionalFormatting sqref="X53">
    <cfRule type="cellIs" dxfId="716" priority="31" operator="notEqual">
      <formula>$X$55</formula>
    </cfRule>
    <cfRule type="cellIs" dxfId="715" priority="32" operator="equal">
      <formula>$X$55</formula>
    </cfRule>
  </conditionalFormatting>
  <conditionalFormatting sqref="Y53">
    <cfRule type="cellIs" dxfId="714" priority="29" operator="notEqual">
      <formula>$Y$55</formula>
    </cfRule>
    <cfRule type="cellIs" dxfId="713" priority="30" operator="equal">
      <formula>$Y$55</formula>
    </cfRule>
  </conditionalFormatting>
  <conditionalFormatting sqref="Z53">
    <cfRule type="cellIs" dxfId="712" priority="27" operator="notEqual">
      <formula>$Z$55</formula>
    </cfRule>
    <cfRule type="cellIs" dxfId="711" priority="28" operator="equal">
      <formula>$Z$55</formula>
    </cfRule>
  </conditionalFormatting>
  <conditionalFormatting sqref="AA53">
    <cfRule type="cellIs" dxfId="710" priority="25" operator="notEqual">
      <formula>$AA$55</formula>
    </cfRule>
    <cfRule type="cellIs" dxfId="709" priority="26" operator="equal">
      <formula>$AA$55</formula>
    </cfRule>
  </conditionalFormatting>
  <conditionalFormatting sqref="AB53">
    <cfRule type="cellIs" dxfId="708" priority="23" operator="notEqual">
      <formula>$AB$55</formula>
    </cfRule>
    <cfRule type="cellIs" dxfId="707" priority="24" operator="equal">
      <formula>$AB$55</formula>
    </cfRule>
  </conditionalFormatting>
  <conditionalFormatting sqref="AC53">
    <cfRule type="cellIs" dxfId="706" priority="21" operator="notEqual">
      <formula>$AC$55</formula>
    </cfRule>
    <cfRule type="cellIs" dxfId="705" priority="22" operator="equal">
      <formula>$AC$55</formula>
    </cfRule>
  </conditionalFormatting>
  <conditionalFormatting sqref="AD53">
    <cfRule type="cellIs" dxfId="704" priority="19" operator="notEqual">
      <formula>$AD$55</formula>
    </cfRule>
    <cfRule type="cellIs" dxfId="703" priority="20" operator="equal">
      <formula>$AD$55</formula>
    </cfRule>
  </conditionalFormatting>
  <conditionalFormatting sqref="AE53">
    <cfRule type="cellIs" dxfId="702" priority="17" operator="notEqual">
      <formula>$AE$55</formula>
    </cfRule>
    <cfRule type="cellIs" dxfId="701" priority="18" operator="equal">
      <formula>$AE$55</formula>
    </cfRule>
  </conditionalFormatting>
  <conditionalFormatting sqref="AF53">
    <cfRule type="cellIs" dxfId="700" priority="16" operator="equal">
      <formula>$AF$55</formula>
    </cfRule>
  </conditionalFormatting>
  <conditionalFormatting sqref="AF53">
    <cfRule type="cellIs" dxfId="699" priority="15" operator="notEqual">
      <formula>$AF$55</formula>
    </cfRule>
  </conditionalFormatting>
  <conditionalFormatting sqref="AG53">
    <cfRule type="cellIs" dxfId="698" priority="14" operator="equal">
      <formula>$AG$55</formula>
    </cfRule>
  </conditionalFormatting>
  <conditionalFormatting sqref="AG53">
    <cfRule type="cellIs" dxfId="697" priority="13" operator="notEqual">
      <formula>$AG$55</formula>
    </cfRule>
  </conditionalFormatting>
  <conditionalFormatting sqref="AH53">
    <cfRule type="cellIs" dxfId="696" priority="12" operator="equal">
      <formula>$AH$55</formula>
    </cfRule>
  </conditionalFormatting>
  <conditionalFormatting sqref="AH53">
    <cfRule type="cellIs" dxfId="695" priority="11" operator="notEqual">
      <formula>$AH$55</formula>
    </cfRule>
  </conditionalFormatting>
  <conditionalFormatting sqref="AI53">
    <cfRule type="cellIs" dxfId="694" priority="10" operator="equal">
      <formula>$AI$55</formula>
    </cfRule>
  </conditionalFormatting>
  <conditionalFormatting sqref="AI53">
    <cfRule type="cellIs" dxfId="693" priority="9" operator="notEqual">
      <formula>$AI$55</formula>
    </cfRule>
  </conditionalFormatting>
  <conditionalFormatting sqref="AJ53">
    <cfRule type="cellIs" dxfId="692" priority="8" operator="equal">
      <formula>$AJ$55</formula>
    </cfRule>
  </conditionalFormatting>
  <conditionalFormatting sqref="AJ53">
    <cfRule type="cellIs" dxfId="691" priority="7" operator="notEqual">
      <formula>$AJ$55</formula>
    </cfRule>
  </conditionalFormatting>
  <conditionalFormatting sqref="AK53">
    <cfRule type="cellIs" dxfId="690" priority="6" operator="equal">
      <formula>$AK$55</formula>
    </cfRule>
  </conditionalFormatting>
  <conditionalFormatting sqref="AK53">
    <cfRule type="cellIs" dxfId="689" priority="5" operator="notEqual">
      <formula>$AK$55</formula>
    </cfRule>
  </conditionalFormatting>
  <conditionalFormatting sqref="AL53">
    <cfRule type="cellIs" dxfId="688" priority="4" operator="equal">
      <formula>$AL$55</formula>
    </cfRule>
  </conditionalFormatting>
  <conditionalFormatting sqref="AL53">
    <cfRule type="cellIs" dxfId="687" priority="3" operator="notEqual">
      <formula>$AL$55</formula>
    </cfRule>
  </conditionalFormatting>
  <conditionalFormatting sqref="AM53">
    <cfRule type="cellIs" dxfId="686" priority="2" operator="equal">
      <formula>$AM$55</formula>
    </cfRule>
  </conditionalFormatting>
  <conditionalFormatting sqref="AM53">
    <cfRule type="cellIs" dxfId="685" priority="1" operator="notEqual">
      <formula>$AM$55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78C90-A019-4B18-A74F-0D2EC1F24415}">
  <sheetPr codeName="Planilha11"/>
  <dimension ref="A1:AP57"/>
  <sheetViews>
    <sheetView showGridLines="0" topLeftCell="E1" workbookViewId="0">
      <selection activeCell="AM7" sqref="H6:AM7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8.7109375" style="9" bestFit="1" customWidth="1"/>
    <col min="14" max="14" width="4.140625" style="9" bestFit="1" customWidth="1"/>
    <col min="15" max="16" width="4.85546875" style="9" bestFit="1" customWidth="1"/>
    <col min="17" max="18" width="10" style="9" bestFit="1" customWidth="1"/>
    <col min="19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.570312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1.4257812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95" t="s">
        <v>62</v>
      </c>
      <c r="B1" s="95" t="s">
        <v>63</v>
      </c>
      <c r="C1" s="95" t="s">
        <v>64</v>
      </c>
      <c r="D1" s="95" t="s">
        <v>65</v>
      </c>
      <c r="E1" s="95" t="s">
        <v>66</v>
      </c>
      <c r="F1" s="95" t="s">
        <v>15</v>
      </c>
      <c r="G1" s="95" t="s">
        <v>68</v>
      </c>
      <c r="H1" s="95" t="s">
        <v>69</v>
      </c>
      <c r="I1" s="95" t="s">
        <v>487</v>
      </c>
      <c r="J1" s="90"/>
      <c r="L1" s="96" t="s">
        <v>501</v>
      </c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O1" s="29"/>
      <c r="AP1" s="99" t="s">
        <v>489</v>
      </c>
    </row>
    <row r="2" spans="1:42" ht="11.25" customHeight="1" x14ac:dyDescent="0.25">
      <c r="A2" s="95"/>
      <c r="B2" s="95"/>
      <c r="C2" s="95"/>
      <c r="D2" s="95"/>
      <c r="E2" s="95"/>
      <c r="F2" s="95"/>
      <c r="G2" s="95"/>
      <c r="H2" s="95"/>
      <c r="I2" s="95"/>
      <c r="J2" s="90"/>
      <c r="L2" s="96" t="s">
        <v>386</v>
      </c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O2" s="29"/>
      <c r="AP2" s="100"/>
    </row>
    <row r="3" spans="1:42" ht="11.25" customHeight="1" x14ac:dyDescent="0.25">
      <c r="A3" s="95"/>
      <c r="B3" s="95"/>
      <c r="C3" s="95"/>
      <c r="D3" s="95"/>
      <c r="E3" s="95"/>
      <c r="F3" s="95"/>
      <c r="G3" s="95"/>
      <c r="H3" s="95"/>
      <c r="I3" s="95"/>
      <c r="J3" s="90"/>
      <c r="L3" s="96" t="s">
        <v>387</v>
      </c>
      <c r="M3" s="96"/>
      <c r="N3" s="96"/>
      <c r="O3" s="96"/>
      <c r="P3" s="96"/>
      <c r="Q3" s="96"/>
      <c r="R3" s="96"/>
      <c r="S3" s="96"/>
      <c r="T3" s="96"/>
      <c r="U3" s="96" t="s">
        <v>396</v>
      </c>
      <c r="V3" s="96"/>
      <c r="W3" s="96"/>
      <c r="X3" s="96"/>
      <c r="Y3" s="96"/>
      <c r="Z3" s="96"/>
      <c r="AA3" s="96"/>
      <c r="AB3" s="96"/>
      <c r="AC3" s="96" t="s">
        <v>404</v>
      </c>
      <c r="AD3" s="96"/>
      <c r="AE3" s="96" t="s">
        <v>406</v>
      </c>
      <c r="AF3" s="96"/>
      <c r="AG3" s="96"/>
      <c r="AH3" s="96" t="s">
        <v>409</v>
      </c>
      <c r="AI3" s="96"/>
      <c r="AJ3" s="96"/>
      <c r="AK3" s="96"/>
      <c r="AL3" s="96"/>
      <c r="AM3" s="96" t="s">
        <v>395</v>
      </c>
      <c r="AO3" s="29"/>
      <c r="AP3" s="100"/>
    </row>
    <row r="4" spans="1:42" ht="11.25" customHeight="1" x14ac:dyDescent="0.25">
      <c r="A4" s="95"/>
      <c r="B4" s="95"/>
      <c r="C4" s="95"/>
      <c r="D4" s="95"/>
      <c r="E4" s="95"/>
      <c r="F4" s="95"/>
      <c r="G4" s="95"/>
      <c r="H4" s="95"/>
      <c r="I4" s="95"/>
      <c r="J4" s="90"/>
      <c r="L4" s="25" t="s">
        <v>472</v>
      </c>
      <c r="M4" s="25" t="s">
        <v>388</v>
      </c>
      <c r="N4" s="25" t="s">
        <v>389</v>
      </c>
      <c r="O4" s="25" t="s">
        <v>390</v>
      </c>
      <c r="P4" s="25" t="s">
        <v>391</v>
      </c>
      <c r="Q4" s="25" t="s">
        <v>392</v>
      </c>
      <c r="R4" s="25" t="s">
        <v>393</v>
      </c>
      <c r="S4" s="25" t="s">
        <v>394</v>
      </c>
      <c r="T4" s="25" t="s">
        <v>395</v>
      </c>
      <c r="U4" s="25" t="s">
        <v>397</v>
      </c>
      <c r="V4" s="25" t="s">
        <v>398</v>
      </c>
      <c r="W4" s="25" t="s">
        <v>399</v>
      </c>
      <c r="X4" s="25" t="s">
        <v>400</v>
      </c>
      <c r="Y4" s="25" t="s">
        <v>401</v>
      </c>
      <c r="Z4" s="25" t="s">
        <v>402</v>
      </c>
      <c r="AA4" s="25" t="s">
        <v>403</v>
      </c>
      <c r="AB4" s="25" t="s">
        <v>395</v>
      </c>
      <c r="AC4" s="25" t="s">
        <v>405</v>
      </c>
      <c r="AD4" s="25" t="s">
        <v>395</v>
      </c>
      <c r="AE4" s="25" t="s">
        <v>407</v>
      </c>
      <c r="AF4" s="25" t="s">
        <v>408</v>
      </c>
      <c r="AG4" s="25" t="s">
        <v>395</v>
      </c>
      <c r="AH4" s="25" t="s">
        <v>410</v>
      </c>
      <c r="AI4" s="25" t="s">
        <v>411</v>
      </c>
      <c r="AJ4" s="25" t="s">
        <v>412</v>
      </c>
      <c r="AK4" s="25" t="s">
        <v>413</v>
      </c>
      <c r="AL4" s="25" t="s">
        <v>395</v>
      </c>
      <c r="AM4" s="98"/>
      <c r="AO4" s="30" t="s">
        <v>500</v>
      </c>
      <c r="AP4" s="101"/>
    </row>
    <row r="5" spans="1:42" ht="11.25" customHeight="1" x14ac:dyDescent="0.25">
      <c r="A5" s="94" t="s">
        <v>35</v>
      </c>
      <c r="B5" s="94" t="s">
        <v>48</v>
      </c>
      <c r="C5" s="94" t="s">
        <v>25</v>
      </c>
      <c r="D5" s="94" t="s">
        <v>25</v>
      </c>
      <c r="E5" s="94" t="s">
        <v>25</v>
      </c>
      <c r="F5" s="94" t="s">
        <v>25</v>
      </c>
      <c r="G5" s="27" t="s">
        <v>76</v>
      </c>
      <c r="H5" s="27" t="s">
        <v>75</v>
      </c>
      <c r="I5" s="27">
        <f>'MERCADO TUSD'!$U$2</f>
        <v>5811</v>
      </c>
      <c r="J5" s="15"/>
      <c r="L5" s="17">
        <f>'TUSD BE'!$L$5*'TUSD BF'!$L$58</f>
        <v>0</v>
      </c>
      <c r="M5" s="17">
        <f>'TUSD BE'!$M$5*'TUSD BF'!$M$58</f>
        <v>0</v>
      </c>
      <c r="N5" s="17">
        <f ca="1">'TUSD BE'!$N$5*'TUSD BF'!$N$58</f>
        <v>0</v>
      </c>
      <c r="O5" s="17">
        <f>'TUSD BE'!$O$5*'TUSD BF'!$O$58</f>
        <v>0</v>
      </c>
      <c r="P5" s="17">
        <f>'TUSD BE'!$P$5*'TUSD BF'!$P$58</f>
        <v>0</v>
      </c>
      <c r="Q5" s="17">
        <f>'TUSD BE'!$Q$5*'TUSD BF'!$Q$58</f>
        <v>0</v>
      </c>
      <c r="R5" s="17">
        <f>'TUSD BE'!$R$5*'TUSD BF'!$R$58</f>
        <v>0</v>
      </c>
      <c r="S5" s="17">
        <f>'TUSD BE'!$R$5*'TUSD BF'!$S$58</f>
        <v>0</v>
      </c>
      <c r="T5" s="17">
        <f ca="1">SUM($L$5:$S$5)</f>
        <v>0</v>
      </c>
      <c r="U5" s="17">
        <f>'TUSD BE'!$U$5*'TUSD BF'!$U$58</f>
        <v>0</v>
      </c>
      <c r="V5" s="17">
        <f>'TUSD BE'!$V$5*'TUSD BF'!$V$58</f>
        <v>0</v>
      </c>
      <c r="W5" s="17">
        <f>'TUSD BE'!$W$5*'TUSD BF'!$W$58</f>
        <v>0</v>
      </c>
      <c r="X5" s="17">
        <f>'TUSD BE'!$X$5*'TUSD BF'!$X$58</f>
        <v>0</v>
      </c>
      <c r="Y5" s="17">
        <f>'TUSD BE'!$Y$5*'TUSD BF'!$Y$58</f>
        <v>0</v>
      </c>
      <c r="Z5" s="17">
        <f>'TUSD BE'!$Z$5*'TUSD BF'!$Z$58</f>
        <v>0</v>
      </c>
      <c r="AA5" s="17">
        <f>'TUSD BE'!$AA$5*'TUSD BF'!$AA$58</f>
        <v>0</v>
      </c>
      <c r="AB5" s="17">
        <f>SUM($U$5:$AA$5)</f>
        <v>0</v>
      </c>
      <c r="AC5" s="17">
        <f>'TUSD BE'!$AC$5*'TUSD BF'!$AC$58</f>
        <v>0</v>
      </c>
      <c r="AD5" s="17">
        <f>SUM($AC$5:$AC$5)</f>
        <v>0</v>
      </c>
      <c r="AE5" s="17">
        <f ca="1">$AO$5*$AO$55</f>
        <v>0</v>
      </c>
      <c r="AF5" s="17">
        <f ca="1">$AP$5*$AP$55</f>
        <v>0</v>
      </c>
      <c r="AG5" s="17">
        <f ca="1">SUM($AE$5:$AF$5)</f>
        <v>0</v>
      </c>
      <c r="AH5" s="17">
        <f>'TUSD BE'!$AH$5*'TUSD BF'!$AH$58</f>
        <v>0</v>
      </c>
      <c r="AI5" s="17">
        <f>'TUSD BE'!$AI$5*'TUSD BF'!$AI$58</f>
        <v>0</v>
      </c>
      <c r="AJ5" s="17">
        <f ca="1">'TUSD BE'!$AJ$5*'TUSD BF'!$AJ$58</f>
        <v>0</v>
      </c>
      <c r="AK5" s="17">
        <f ca="1">'TUSD BE'!$AK$5*'TUSD BF'!$AK$58</f>
        <v>0</v>
      </c>
      <c r="AL5" s="17">
        <f ca="1">SUM($AH$5:$AK$5)</f>
        <v>0</v>
      </c>
      <c r="AM5" s="17">
        <f ca="1">SUMIF($L$4:$AL$4,"SUBTOTAL",$L$5:$AL$5)</f>
        <v>0</v>
      </c>
      <c r="AO5" s="29">
        <f ca="1">+'TUSD BE'!$T$5+'TUSD BE'!$AB$5+'TUSD BE'!$AD$5+'TUSD BE'!$AL$5</f>
        <v>118.37958462592212</v>
      </c>
      <c r="AP5" s="29">
        <f ca="1">+'TUSD BE'!$T$5+'TUSD BE'!$AB$5+'TUSD BE'!$AD$5+'TUSD BE'!$AL$5</f>
        <v>118.37958462592212</v>
      </c>
    </row>
    <row r="6" spans="1:42" ht="11.25" customHeight="1" x14ac:dyDescent="0.25">
      <c r="A6" s="94"/>
      <c r="B6" s="94"/>
      <c r="C6" s="94"/>
      <c r="D6" s="94"/>
      <c r="E6" s="94"/>
      <c r="F6" s="94"/>
      <c r="G6" s="27" t="s">
        <v>77</v>
      </c>
      <c r="H6" s="27" t="s">
        <v>75</v>
      </c>
      <c r="I6" s="27">
        <f>'MERCADO TUSD'!$U$3</f>
        <v>5810</v>
      </c>
      <c r="J6" s="15"/>
      <c r="L6" s="17">
        <f>'TUSD BE'!$L$6*'TUSD BF'!$L$58</f>
        <v>0</v>
      </c>
      <c r="M6" s="17">
        <f>'TUSD BE'!$M$6*'TUSD BF'!$M$58</f>
        <v>0</v>
      </c>
      <c r="N6" s="17">
        <f ca="1">'TUSD BE'!$N$6*'TUSD BF'!$N$58</f>
        <v>0</v>
      </c>
      <c r="O6" s="17">
        <f>'TUSD BE'!$O$6*'TUSD BF'!$O$58</f>
        <v>0</v>
      </c>
      <c r="P6" s="17">
        <f>'TUSD BE'!$P$6*'TUSD BF'!$P$58</f>
        <v>0</v>
      </c>
      <c r="Q6" s="17">
        <f>'TUSD BE'!$Q$6*'TUSD BF'!$Q$58</f>
        <v>0</v>
      </c>
      <c r="R6" s="17">
        <f>'TUSD BE'!$R$6*'TUSD BF'!$R$58</f>
        <v>0</v>
      </c>
      <c r="S6" s="17">
        <f>'TUSD BE'!$R$6*'TUSD BF'!$S$58</f>
        <v>0</v>
      </c>
      <c r="T6" s="17">
        <f ca="1">SUM($L$6:$S$6)</f>
        <v>0</v>
      </c>
      <c r="U6" s="17">
        <f>'TUSD BE'!$U$6*'TUSD BF'!$U$58</f>
        <v>0</v>
      </c>
      <c r="V6" s="17">
        <f>'TUSD BE'!$V$6*'TUSD BF'!$V$58</f>
        <v>0</v>
      </c>
      <c r="W6" s="17">
        <f>'TUSD BE'!$W$6*'TUSD BF'!$W$58</f>
        <v>0</v>
      </c>
      <c r="X6" s="17">
        <f>'TUSD BE'!$X$6*'TUSD BF'!$X$58</f>
        <v>0</v>
      </c>
      <c r="Y6" s="17">
        <f>'TUSD BE'!$Y$6*'TUSD BF'!$Y$58</f>
        <v>0</v>
      </c>
      <c r="Z6" s="17">
        <f>'TUSD BE'!$Z$6*'TUSD BF'!$Z$58</f>
        <v>0</v>
      </c>
      <c r="AA6" s="17">
        <f>'TUSD BE'!$AA$6*'TUSD BF'!$AA$58</f>
        <v>0</v>
      </c>
      <c r="AB6" s="17">
        <f>SUM($U$6:$AA$6)</f>
        <v>0</v>
      </c>
      <c r="AC6" s="17">
        <f>'TUSD BE'!$AC$6*'TUSD BF'!$AC$58</f>
        <v>0</v>
      </c>
      <c r="AD6" s="17">
        <f>SUM($AC$6:$AC$6)</f>
        <v>0</v>
      </c>
      <c r="AE6" s="17">
        <f ca="1">$AO$6*$AO$55</f>
        <v>0</v>
      </c>
      <c r="AF6" s="17">
        <f ca="1">$AP$6*$AP$55</f>
        <v>0</v>
      </c>
      <c r="AG6" s="17">
        <f ca="1">SUM($AE$6:$AF$6)</f>
        <v>0</v>
      </c>
      <c r="AH6" s="17">
        <f>'TUSD BE'!$AH$6*'TUSD BF'!$AH$58</f>
        <v>0</v>
      </c>
      <c r="AI6" s="17">
        <f>'TUSD BE'!$AI$6*'TUSD BF'!$AI$58</f>
        <v>0</v>
      </c>
      <c r="AJ6" s="17">
        <f ca="1">'TUSD BE'!$AJ$6*'TUSD BF'!$AJ$58</f>
        <v>0</v>
      </c>
      <c r="AK6" s="17">
        <f ca="1">'TUSD BE'!$AK$6*'TUSD BF'!$AK$58</f>
        <v>0</v>
      </c>
      <c r="AL6" s="17">
        <f ca="1">SUM($AH$6:$AK$6)</f>
        <v>0</v>
      </c>
      <c r="AM6" s="17">
        <f ca="1">SUMIF($L$4:$AL$4,"SUBTOTAL",$L$6:$AL$6)</f>
        <v>0</v>
      </c>
      <c r="AO6" s="29">
        <f ca="1">+'TUSD BE'!$T$6+'TUSD BE'!$AB$6+'TUSD BE'!$AD$6+'TUSD BE'!$AL$6</f>
        <v>37.631151043907884</v>
      </c>
      <c r="AP6" s="29">
        <f ca="1">+'TUSD BE'!$T$6+'TUSD BE'!$AB$6+'TUSD BE'!$AD$6+'TUSD BE'!$AL$6</f>
        <v>37.631151043907884</v>
      </c>
    </row>
    <row r="7" spans="1:42" ht="11.25" customHeight="1" x14ac:dyDescent="0.25">
      <c r="A7" s="94"/>
      <c r="B7" s="94"/>
      <c r="C7" s="94"/>
      <c r="D7" s="94"/>
      <c r="E7" s="94"/>
      <c r="F7" s="94"/>
      <c r="G7" s="27" t="s">
        <v>78</v>
      </c>
      <c r="H7" s="27" t="s">
        <v>72</v>
      </c>
      <c r="I7" s="27">
        <f>'MERCADO TUSD'!$U$4</f>
        <v>2834.2459999999996</v>
      </c>
      <c r="J7" s="15"/>
      <c r="L7" s="17">
        <f>'TUSD BE'!$L$7*'TUSD BF'!$L$58</f>
        <v>0</v>
      </c>
      <c r="M7" s="17">
        <f>'TUSD BE'!$M$7*'TUSD BF'!$M$58</f>
        <v>0</v>
      </c>
      <c r="N7" s="17">
        <f ca="1">'TUSD BE'!$N$7*'TUSD BF'!$N$58</f>
        <v>0</v>
      </c>
      <c r="O7" s="17">
        <f>'TUSD BE'!$O$7*'TUSD BF'!$O$58</f>
        <v>0</v>
      </c>
      <c r="P7" s="17">
        <f>'TUSD BE'!$P$7*'TUSD BF'!$P$58</f>
        <v>0</v>
      </c>
      <c r="Q7" s="17">
        <f>'TUSD BE'!$Q$7*'TUSD BF'!$Q$58</f>
        <v>0</v>
      </c>
      <c r="R7" s="17">
        <f>'TUSD BE'!$R$7*'TUSD BF'!$R$58</f>
        <v>0</v>
      </c>
      <c r="S7" s="17">
        <f>'TUSD BE'!$R$7*'TUSD BF'!$S$58</f>
        <v>0</v>
      </c>
      <c r="T7" s="17">
        <f ca="1">SUM($L$7:$S$7)</f>
        <v>0</v>
      </c>
      <c r="U7" s="17">
        <f>'TUSD BE'!$U$7*'TUSD BF'!$U$58</f>
        <v>0</v>
      </c>
      <c r="V7" s="17">
        <f>'TUSD BE'!$V$7*'TUSD BF'!$V$58</f>
        <v>0</v>
      </c>
      <c r="W7" s="17">
        <f>'TUSD BE'!$W$7*'TUSD BF'!$W$58</f>
        <v>0</v>
      </c>
      <c r="X7" s="17">
        <f>'TUSD BE'!$X$7*'TUSD BF'!$X$58</f>
        <v>0</v>
      </c>
      <c r="Y7" s="17">
        <f>'TUSD BE'!$Y$7*'TUSD BF'!$Y$58</f>
        <v>0</v>
      </c>
      <c r="Z7" s="17">
        <f>'TUSD BE'!$Z$7*'TUSD BF'!$Z$58</f>
        <v>0</v>
      </c>
      <c r="AA7" s="17">
        <f>'TUSD BE'!$AA$7*'TUSD BF'!$AA$58</f>
        <v>0</v>
      </c>
      <c r="AB7" s="17">
        <f>SUM($U$7:$AA$7)</f>
        <v>0</v>
      </c>
      <c r="AC7" s="17">
        <f>'TUSD BE'!$AC$7*'TUSD BF'!$AC$58</f>
        <v>0</v>
      </c>
      <c r="AD7" s="17">
        <f>SUM($AC$7:$AC$7)</f>
        <v>0</v>
      </c>
      <c r="AE7" s="17">
        <f ca="1">$AO$7*$AO$55</f>
        <v>0</v>
      </c>
      <c r="AF7" s="17">
        <f ca="1">$AP$7*$AP$55</f>
        <v>0</v>
      </c>
      <c r="AG7" s="17">
        <f ca="1">SUM($AE$7:$AF$7)</f>
        <v>0</v>
      </c>
      <c r="AH7" s="17">
        <f>'TUSD BE'!$AH$7*'TUSD BF'!$AH$58</f>
        <v>0</v>
      </c>
      <c r="AI7" s="17">
        <f>'TUSD BE'!$AI$7*'TUSD BF'!$AI$58</f>
        <v>0</v>
      </c>
      <c r="AJ7" s="17">
        <f ca="1">'TUSD BE'!$AJ$7*'TUSD BF'!$AJ$58</f>
        <v>0</v>
      </c>
      <c r="AK7" s="17">
        <f ca="1">'TUSD BE'!$AK$7*'TUSD BF'!$AK$58</f>
        <v>0</v>
      </c>
      <c r="AL7" s="17">
        <f ca="1">SUM($AH$7:$AK$7)</f>
        <v>0</v>
      </c>
      <c r="AM7" s="17">
        <f ca="1">SUMIF($L$4:$AL$4,"SUBTOTAL",$L$7:$AL$7)</f>
        <v>0</v>
      </c>
      <c r="AO7" s="29">
        <f ca="1">+'TUSD BE'!$T$7+'TUSD BE'!$AB$7+'TUSD BE'!$AD$7+'TUSD BE'!$AL$7</f>
        <v>97.343173671127971</v>
      </c>
      <c r="AP7" s="29">
        <f ca="1">+'TUSD BE'!$T$7+'TUSD BE'!$AB$7+'TUSD BE'!$AD$7+'TUSD BE'!$AL$7</f>
        <v>97.343173671127971</v>
      </c>
    </row>
    <row r="8" spans="1:42" ht="11.25" customHeight="1" x14ac:dyDescent="0.25">
      <c r="A8" s="94"/>
      <c r="B8" s="94"/>
      <c r="C8" s="94"/>
      <c r="D8" s="94"/>
      <c r="E8" s="26" t="s">
        <v>79</v>
      </c>
      <c r="F8" s="26" t="s">
        <v>25</v>
      </c>
      <c r="G8" s="27" t="s">
        <v>78</v>
      </c>
      <c r="H8" s="27" t="s">
        <v>72</v>
      </c>
      <c r="I8" s="27">
        <f>'MERCADO TUSD'!$U$5</f>
        <v>0</v>
      </c>
      <c r="J8" s="15"/>
      <c r="L8" s="17">
        <f>'TUSD BE'!$L$8*'TUSD BF'!$L$58</f>
        <v>0</v>
      </c>
      <c r="M8" s="17">
        <f>'TUSD BE'!$M$8*'TUSD BF'!$M$58</f>
        <v>0</v>
      </c>
      <c r="N8" s="17">
        <f ca="1">'TUSD BE'!$N$8*'TUSD BF'!$N$58</f>
        <v>0</v>
      </c>
      <c r="O8" s="17">
        <f>'TUSD BE'!$O$8*'TUSD BF'!$O$58</f>
        <v>0</v>
      </c>
      <c r="P8" s="17">
        <f>'TUSD BE'!$P$8*'TUSD BF'!$P$58</f>
        <v>0</v>
      </c>
      <c r="Q8" s="17">
        <f>'TUSD BE'!$Q$8*'TUSD BF'!$Q$58</f>
        <v>0</v>
      </c>
      <c r="R8" s="17">
        <f>'TUSD BE'!$R$8*'TUSD BF'!$R$58</f>
        <v>0</v>
      </c>
      <c r="S8" s="17">
        <f>'TUSD BE'!$R$8*'TUSD BF'!$S$58</f>
        <v>0</v>
      </c>
      <c r="T8" s="17">
        <f ca="1">SUM($L$8:$S$8)</f>
        <v>0</v>
      </c>
      <c r="U8" s="17">
        <f>'TUSD BE'!$U$8*'TUSD BF'!$U$58</f>
        <v>0</v>
      </c>
      <c r="V8" s="17">
        <f>'TUSD BE'!$V$8*'TUSD BF'!$V$58</f>
        <v>0</v>
      </c>
      <c r="W8" s="17">
        <f>'TUSD BE'!$W$8*'TUSD BF'!$W$58</f>
        <v>0</v>
      </c>
      <c r="X8" s="17">
        <f>'TUSD BE'!$X$8*'TUSD BF'!$X$58</f>
        <v>0</v>
      </c>
      <c r="Y8" s="17">
        <f>'TUSD BE'!$Y$8*'TUSD BF'!$Y$58</f>
        <v>0</v>
      </c>
      <c r="Z8" s="17">
        <f>'TUSD BE'!$Z$8*'TUSD BF'!$Z$58</f>
        <v>0</v>
      </c>
      <c r="AA8" s="17">
        <f>'TUSD BE'!$AA$8*'TUSD BF'!$AA$58</f>
        <v>0</v>
      </c>
      <c r="AB8" s="17">
        <f>SUM($U$8:$AA$8)</f>
        <v>0</v>
      </c>
      <c r="AC8" s="17">
        <f>'TUSD BE'!$AC$8*'TUSD BF'!$AC$58</f>
        <v>0</v>
      </c>
      <c r="AD8" s="17">
        <f>SUM($AC$8:$AC$8)</f>
        <v>0</v>
      </c>
      <c r="AE8" s="17">
        <f ca="1">$AO$8*$AO$55</f>
        <v>0</v>
      </c>
      <c r="AF8" s="17">
        <f ca="1">$AP$8*$AP$55</f>
        <v>0</v>
      </c>
      <c r="AG8" s="17">
        <f ca="1">SUM($AE$8:$AF$8)</f>
        <v>0</v>
      </c>
      <c r="AH8" s="17">
        <f>'TUSD BE'!$AH$8*'TUSD BF'!$AH$58</f>
        <v>0</v>
      </c>
      <c r="AI8" s="17">
        <f>'TUSD BE'!$AI$8*'TUSD BF'!$AI$58</f>
        <v>0</v>
      </c>
      <c r="AJ8" s="17">
        <f ca="1">'TUSD BE'!$AJ$8*'TUSD BF'!$AJ$58</f>
        <v>0</v>
      </c>
      <c r="AK8" s="17">
        <f ca="1">'TUSD BE'!$AK$8*'TUSD BF'!$AK$58</f>
        <v>0</v>
      </c>
      <c r="AL8" s="17">
        <f ca="1">SUM($AH$8:$AK$8)</f>
        <v>0</v>
      </c>
      <c r="AM8" s="17">
        <f ca="1">SUMIF($L$4:$AL$4,"SUBTOTAL",$L$8:$AL$8)</f>
        <v>0</v>
      </c>
      <c r="AO8" s="29">
        <f ca="1">+'TUSD BE'!$T$8+'TUSD BE'!$AB$8+'TUSD BE'!$AD$8+'TUSD BE'!$AL$8</f>
        <v>7.7260690034412436</v>
      </c>
      <c r="AP8" s="29">
        <f ca="1">+'TUSD BE'!$T$8+'TUSD BE'!$AB$8+'TUSD BE'!$AD$8+'TUSD BE'!$AL$8</f>
        <v>7.7260690034412436</v>
      </c>
    </row>
    <row r="9" spans="1:42" ht="11.25" customHeight="1" x14ac:dyDescent="0.25">
      <c r="A9" s="94"/>
      <c r="B9" s="26" t="s">
        <v>53</v>
      </c>
      <c r="C9" s="26" t="s">
        <v>25</v>
      </c>
      <c r="D9" s="26" t="s">
        <v>25</v>
      </c>
      <c r="E9" s="26" t="s">
        <v>25</v>
      </c>
      <c r="F9" s="26" t="s">
        <v>25</v>
      </c>
      <c r="G9" s="27" t="s">
        <v>9</v>
      </c>
      <c r="H9" s="27" t="s">
        <v>75</v>
      </c>
      <c r="I9" s="27">
        <f>'MERCADO TUSD'!$U$6</f>
        <v>10908</v>
      </c>
      <c r="J9" s="15"/>
      <c r="L9" s="17">
        <f>'TUSD BE'!$L$9*'TUSD BF'!$L$58</f>
        <v>0</v>
      </c>
      <c r="M9" s="17">
        <f>'TUSD BE'!$M$9*'TUSD BF'!$M$58</f>
        <v>0</v>
      </c>
      <c r="N9" s="17">
        <f ca="1">'TUSD BE'!$N$9*'TUSD BF'!$N$58</f>
        <v>0</v>
      </c>
      <c r="O9" s="17">
        <f>'TUSD BE'!$O$9*'TUSD BF'!$O$58</f>
        <v>0</v>
      </c>
      <c r="P9" s="17">
        <f>'TUSD BE'!$P$9*'TUSD BF'!$P$58</f>
        <v>0</v>
      </c>
      <c r="Q9" s="17">
        <f>'TUSD BE'!$Q$9*'TUSD BF'!$Q$58</f>
        <v>0</v>
      </c>
      <c r="R9" s="17">
        <f>'TUSD BE'!$R$9*'TUSD BF'!$R$58</f>
        <v>0</v>
      </c>
      <c r="S9" s="17">
        <f>'TUSD BE'!$R$9*'TUSD BF'!$S$58</f>
        <v>0</v>
      </c>
      <c r="T9" s="17">
        <f ca="1">SUM($L$9:$S$9)</f>
        <v>0</v>
      </c>
      <c r="U9" s="17">
        <f>'TUSD BE'!$U$9*'TUSD BF'!$U$58</f>
        <v>0</v>
      </c>
      <c r="V9" s="17">
        <f>'TUSD BE'!$V$9*'TUSD BF'!$V$58</f>
        <v>0</v>
      </c>
      <c r="W9" s="17">
        <f>'TUSD BE'!$W$9*'TUSD BF'!$W$58</f>
        <v>0</v>
      </c>
      <c r="X9" s="17">
        <f>'TUSD BE'!$X$9*'TUSD BF'!$X$58</f>
        <v>0</v>
      </c>
      <c r="Y9" s="17">
        <f>'TUSD BE'!$Y$9*'TUSD BF'!$Y$58</f>
        <v>0</v>
      </c>
      <c r="Z9" s="17">
        <f>'TUSD BE'!$Z$9*'TUSD BF'!$Z$58</f>
        <v>0</v>
      </c>
      <c r="AA9" s="17">
        <f>'TUSD BE'!$AA$9*'TUSD BF'!$AA$58</f>
        <v>0</v>
      </c>
      <c r="AB9" s="17">
        <f>SUM($U$9:$AA$9)</f>
        <v>0</v>
      </c>
      <c r="AC9" s="17">
        <f>'TUSD BE'!$AC$9*'TUSD BF'!$AC$58</f>
        <v>0</v>
      </c>
      <c r="AD9" s="17">
        <f>SUM($AC$9:$AC$9)</f>
        <v>0</v>
      </c>
      <c r="AE9" s="17">
        <f ca="1">$AO$9*$AO$55</f>
        <v>0</v>
      </c>
      <c r="AF9" s="17">
        <f ca="1">$AP$9*$AP$55</f>
        <v>0</v>
      </c>
      <c r="AG9" s="17">
        <f ca="1">SUM($AE$9:$AF$9)</f>
        <v>0</v>
      </c>
      <c r="AH9" s="17">
        <f>'TUSD BE'!$AH$9*'TUSD BF'!$AH$58</f>
        <v>0</v>
      </c>
      <c r="AI9" s="17">
        <f>'TUSD BE'!$AI$9*'TUSD BF'!$AI$58</f>
        <v>0</v>
      </c>
      <c r="AJ9" s="17">
        <f ca="1">'TUSD BE'!$AJ$9*'TUSD BF'!$AJ$58</f>
        <v>0</v>
      </c>
      <c r="AK9" s="17">
        <f ca="1">'TUSD BE'!$AK$9*'TUSD BF'!$AK$58</f>
        <v>0</v>
      </c>
      <c r="AL9" s="17">
        <f ca="1">SUM($AH$9:$AK$9)</f>
        <v>0</v>
      </c>
      <c r="AM9" s="17">
        <f ca="1">SUMIF($L$4:$AL$4,"SUBTOTAL",$L$9:$AL$9)</f>
        <v>0</v>
      </c>
      <c r="AO9" s="29">
        <f ca="1">+'TUSD BE'!$T$9+'TUSD BE'!$AB$9+'TUSD BE'!$AD$9+'TUSD BE'!$AL$9</f>
        <v>6.2218843259319954</v>
      </c>
      <c r="AP9" s="29">
        <f ca="1">+'TUSD BE'!$T$9+'TUSD BE'!$AB$9+'TUSD BE'!$AD$9+'TUSD BE'!$AL$9</f>
        <v>6.2218843259319954</v>
      </c>
    </row>
    <row r="10" spans="1:42" ht="11.25" customHeight="1" x14ac:dyDescent="0.25">
      <c r="A10" s="94"/>
      <c r="B10" s="94" t="s">
        <v>36</v>
      </c>
      <c r="C10" s="94" t="s">
        <v>25</v>
      </c>
      <c r="D10" s="94" t="s">
        <v>25</v>
      </c>
      <c r="E10" s="94" t="s">
        <v>25</v>
      </c>
      <c r="F10" s="94" t="s">
        <v>25</v>
      </c>
      <c r="G10" s="27" t="s">
        <v>9</v>
      </c>
      <c r="H10" s="27" t="s">
        <v>75</v>
      </c>
      <c r="I10" s="27">
        <f>'MERCADO TUSD'!$U$7</f>
        <v>139673</v>
      </c>
      <c r="J10" s="15"/>
      <c r="L10" s="17">
        <f>'TUSD BE'!$L$10*'TUSD BF'!$L$58</f>
        <v>0</v>
      </c>
      <c r="M10" s="17">
        <f>'TUSD BE'!$M$10*'TUSD BF'!$M$58</f>
        <v>0</v>
      </c>
      <c r="N10" s="17">
        <f ca="1">'TUSD BE'!$N$10*'TUSD BF'!$N$58</f>
        <v>0</v>
      </c>
      <c r="O10" s="17">
        <f>'TUSD BE'!$O$10*'TUSD BF'!$O$58</f>
        <v>0</v>
      </c>
      <c r="P10" s="17">
        <f>'TUSD BE'!$P$10*'TUSD BF'!$P$58</f>
        <v>0</v>
      </c>
      <c r="Q10" s="17">
        <f>'TUSD BE'!$Q$10*'TUSD BF'!$Q$58</f>
        <v>0</v>
      </c>
      <c r="R10" s="17">
        <f>'TUSD BE'!$R$10*'TUSD BF'!$R$58</f>
        <v>0</v>
      </c>
      <c r="S10" s="17">
        <f>'TUSD BE'!$R$10*'TUSD BF'!$S$58</f>
        <v>0</v>
      </c>
      <c r="T10" s="17">
        <f ca="1">SUM($L$10:$S$10)</f>
        <v>0</v>
      </c>
      <c r="U10" s="17">
        <f>'TUSD BE'!$U$10*'TUSD BF'!$U$58</f>
        <v>0</v>
      </c>
      <c r="V10" s="17">
        <f>'TUSD BE'!$V$10*'TUSD BF'!$V$58</f>
        <v>0</v>
      </c>
      <c r="W10" s="17">
        <f>'TUSD BE'!$W$10*'TUSD BF'!$W$58</f>
        <v>0</v>
      </c>
      <c r="X10" s="17">
        <f>'TUSD BE'!$X$10*'TUSD BF'!$X$58</f>
        <v>0</v>
      </c>
      <c r="Y10" s="17">
        <f>'TUSD BE'!$Y$10*'TUSD BF'!$Y$58</f>
        <v>0</v>
      </c>
      <c r="Z10" s="17">
        <f>'TUSD BE'!$Z$10*'TUSD BF'!$Z$58</f>
        <v>0</v>
      </c>
      <c r="AA10" s="17">
        <f>'TUSD BE'!$AA$10*'TUSD BF'!$AA$58</f>
        <v>0</v>
      </c>
      <c r="AB10" s="17">
        <f>SUM($U$10:$AA$10)</f>
        <v>0</v>
      </c>
      <c r="AC10" s="17">
        <f>'TUSD BE'!$AC$10*'TUSD BF'!$AC$58</f>
        <v>0</v>
      </c>
      <c r="AD10" s="17">
        <f>SUM($AC$10:$AC$10)</f>
        <v>0</v>
      </c>
      <c r="AE10" s="17">
        <f ca="1">$AO$10*$AO$55</f>
        <v>0</v>
      </c>
      <c r="AF10" s="17">
        <f ca="1">$AP$10*$AP$55</f>
        <v>0</v>
      </c>
      <c r="AG10" s="17">
        <f ca="1">SUM($AE$10:$AF$10)</f>
        <v>0</v>
      </c>
      <c r="AH10" s="17">
        <f>'TUSD BE'!$AH$10*'TUSD BF'!$AH$58</f>
        <v>0</v>
      </c>
      <c r="AI10" s="17">
        <f>'TUSD BE'!$AI$10*'TUSD BF'!$AI$58</f>
        <v>0</v>
      </c>
      <c r="AJ10" s="17">
        <f ca="1">'TUSD BE'!$AJ$10*'TUSD BF'!$AJ$58</f>
        <v>0</v>
      </c>
      <c r="AK10" s="17">
        <f ca="1">'TUSD BE'!$AK$10*'TUSD BF'!$AK$58</f>
        <v>0</v>
      </c>
      <c r="AL10" s="17">
        <f ca="1">SUM($AH$10:$AK$10)</f>
        <v>0</v>
      </c>
      <c r="AM10" s="17">
        <f ca="1">SUMIF($L$4:$AL$4,"SUBTOTAL",$L$10:$AL$10)</f>
        <v>0</v>
      </c>
      <c r="AO10" s="29">
        <f ca="1">+'TUSD BE'!$T$10+'TUSD BE'!$AB$10+'TUSD BE'!$AD$10+'TUSD BE'!$AL$10</f>
        <v>37.631151043907884</v>
      </c>
      <c r="AP10" s="29">
        <f ca="1">+'TUSD BE'!$T$10+'TUSD BE'!$AB$10+'TUSD BE'!$AD$10+'TUSD BE'!$AL$10</f>
        <v>37.631151043907884</v>
      </c>
    </row>
    <row r="11" spans="1:42" ht="11.25" customHeight="1" x14ac:dyDescent="0.25">
      <c r="A11" s="94"/>
      <c r="B11" s="94"/>
      <c r="C11" s="94"/>
      <c r="D11" s="94"/>
      <c r="E11" s="94"/>
      <c r="F11" s="94"/>
      <c r="G11" s="27" t="s">
        <v>73</v>
      </c>
      <c r="H11" s="27" t="s">
        <v>72</v>
      </c>
      <c r="I11" s="27">
        <f>'MERCADO TUSD'!$U$8</f>
        <v>1014.939</v>
      </c>
      <c r="J11" s="15"/>
      <c r="L11" s="17">
        <f>'TUSD BE'!$L$11*'TUSD BF'!$L$58</f>
        <v>0</v>
      </c>
      <c r="M11" s="17">
        <f>'TUSD BE'!$M$11*'TUSD BF'!$M$58</f>
        <v>0</v>
      </c>
      <c r="N11" s="17">
        <f ca="1">'TUSD BE'!$N$11*'TUSD BF'!$N$58</f>
        <v>0</v>
      </c>
      <c r="O11" s="17">
        <f>'TUSD BE'!$O$11*'TUSD BF'!$O$58</f>
        <v>0</v>
      </c>
      <c r="P11" s="17">
        <f>'TUSD BE'!$P$11*'TUSD BF'!$P$58</f>
        <v>0</v>
      </c>
      <c r="Q11" s="17">
        <f>'TUSD BE'!$Q$11*'TUSD BF'!$Q$58</f>
        <v>0</v>
      </c>
      <c r="R11" s="17">
        <f>'TUSD BE'!$R$11*'TUSD BF'!$R$58</f>
        <v>0</v>
      </c>
      <c r="S11" s="17">
        <f>'TUSD BE'!$R$11*'TUSD BF'!$S$58</f>
        <v>0</v>
      </c>
      <c r="T11" s="17">
        <f ca="1">SUM($L$11:$S$11)</f>
        <v>0</v>
      </c>
      <c r="U11" s="17">
        <f>'TUSD BE'!$U$11*'TUSD BF'!$U$58</f>
        <v>0</v>
      </c>
      <c r="V11" s="17">
        <f>'TUSD BE'!$V$11*'TUSD BF'!$V$58</f>
        <v>0</v>
      </c>
      <c r="W11" s="17">
        <f>'TUSD BE'!$W$11*'TUSD BF'!$W$58</f>
        <v>0</v>
      </c>
      <c r="X11" s="17">
        <f>'TUSD BE'!$X$11*'TUSD BF'!$X$58</f>
        <v>0</v>
      </c>
      <c r="Y11" s="17">
        <f>'TUSD BE'!$Y$11*'TUSD BF'!$Y$58</f>
        <v>0</v>
      </c>
      <c r="Z11" s="17">
        <f>'TUSD BE'!$Z$11*'TUSD BF'!$Z$58</f>
        <v>0</v>
      </c>
      <c r="AA11" s="17">
        <f>'TUSD BE'!$AA$11*'TUSD BF'!$AA$58</f>
        <v>0</v>
      </c>
      <c r="AB11" s="17">
        <f>SUM($U$11:$AA$11)</f>
        <v>0</v>
      </c>
      <c r="AC11" s="17">
        <f>'TUSD BE'!$AC$11*'TUSD BF'!$AC$58</f>
        <v>0</v>
      </c>
      <c r="AD11" s="17">
        <f>SUM($AC$11:$AC$11)</f>
        <v>0</v>
      </c>
      <c r="AE11" s="17">
        <f ca="1">$AO$11*$AO$55</f>
        <v>0</v>
      </c>
      <c r="AF11" s="17">
        <f ca="1">$AP$11*$AP$55</f>
        <v>0</v>
      </c>
      <c r="AG11" s="17">
        <f ca="1">SUM($AE$11:$AF$11)</f>
        <v>0</v>
      </c>
      <c r="AH11" s="17">
        <f>'TUSD BE'!$AH$11*'TUSD BF'!$AH$58</f>
        <v>0</v>
      </c>
      <c r="AI11" s="17">
        <f>'TUSD BE'!$AI$11*'TUSD BF'!$AI$58</f>
        <v>0</v>
      </c>
      <c r="AJ11" s="17">
        <f ca="1">'TUSD BE'!$AJ$11*'TUSD BF'!$AJ$58</f>
        <v>0</v>
      </c>
      <c r="AK11" s="17">
        <f ca="1">'TUSD BE'!$AK$11*'TUSD BF'!$AK$58</f>
        <v>0</v>
      </c>
      <c r="AL11" s="17">
        <f ca="1">SUM($AH$11:$AK$11)</f>
        <v>0</v>
      </c>
      <c r="AM11" s="17">
        <f ca="1">SUMIF($L$4:$AL$4,"SUBTOTAL",$L$11:$AL$11)</f>
        <v>0</v>
      </c>
      <c r="AO11" s="29">
        <f ca="1">+'TUSD BE'!$T$11+'TUSD BE'!$AB$11+'TUSD BE'!$AD$11+'TUSD BE'!$AL$11</f>
        <v>2944.722853482438</v>
      </c>
      <c r="AP11" s="29">
        <f ca="1">+'TUSD BE'!$T$11+'TUSD BE'!$AB$11+'TUSD BE'!$AD$11+'TUSD BE'!$AL$11</f>
        <v>2944.722853482438</v>
      </c>
    </row>
    <row r="12" spans="1:42" ht="11.25" customHeight="1" x14ac:dyDescent="0.25">
      <c r="A12" s="94"/>
      <c r="B12" s="94"/>
      <c r="C12" s="94"/>
      <c r="D12" s="94"/>
      <c r="E12" s="94"/>
      <c r="F12" s="94"/>
      <c r="G12" s="27" t="s">
        <v>74</v>
      </c>
      <c r="H12" s="27" t="s">
        <v>72</v>
      </c>
      <c r="I12" s="27">
        <f>'MERCADO TUSD'!$U$9</f>
        <v>28226.924000000003</v>
      </c>
      <c r="J12" s="15"/>
      <c r="L12" s="17">
        <f>'TUSD BE'!$L$12*'TUSD BF'!$L$58</f>
        <v>0</v>
      </c>
      <c r="M12" s="17">
        <f>'TUSD BE'!$M$12*'TUSD BF'!$M$58</f>
        <v>0</v>
      </c>
      <c r="N12" s="17">
        <f ca="1">'TUSD BE'!$N$12*'TUSD BF'!$N$58</f>
        <v>0</v>
      </c>
      <c r="O12" s="17">
        <f>'TUSD BE'!$O$12*'TUSD BF'!$O$58</f>
        <v>0</v>
      </c>
      <c r="P12" s="17">
        <f>'TUSD BE'!$P$12*'TUSD BF'!$P$58</f>
        <v>0</v>
      </c>
      <c r="Q12" s="17">
        <f>'TUSD BE'!$Q$12*'TUSD BF'!$Q$58</f>
        <v>0</v>
      </c>
      <c r="R12" s="17">
        <f>'TUSD BE'!$R$12*'TUSD BF'!$R$58</f>
        <v>0</v>
      </c>
      <c r="S12" s="17">
        <f>'TUSD BE'!$R$12*'TUSD BF'!$S$58</f>
        <v>0</v>
      </c>
      <c r="T12" s="17">
        <f ca="1">SUM($L$12:$S$12)</f>
        <v>0</v>
      </c>
      <c r="U12" s="17">
        <f>'TUSD BE'!$U$12*'TUSD BF'!$U$58</f>
        <v>0</v>
      </c>
      <c r="V12" s="17">
        <f>'TUSD BE'!$V$12*'TUSD BF'!$V$58</f>
        <v>0</v>
      </c>
      <c r="W12" s="17">
        <f>'TUSD BE'!$W$12*'TUSD BF'!$W$58</f>
        <v>0</v>
      </c>
      <c r="X12" s="17">
        <f>'TUSD BE'!$X$12*'TUSD BF'!$X$58</f>
        <v>0</v>
      </c>
      <c r="Y12" s="17">
        <f>'TUSD BE'!$Y$12*'TUSD BF'!$Y$58</f>
        <v>0</v>
      </c>
      <c r="Z12" s="17">
        <f>'TUSD BE'!$Z$12*'TUSD BF'!$Z$58</f>
        <v>0</v>
      </c>
      <c r="AA12" s="17">
        <f>'TUSD BE'!$AA$12*'TUSD BF'!$AA$58</f>
        <v>0</v>
      </c>
      <c r="AB12" s="17">
        <f>SUM($U$12:$AA$12)</f>
        <v>0</v>
      </c>
      <c r="AC12" s="17">
        <f>'TUSD BE'!$AC$12*'TUSD BF'!$AC$58</f>
        <v>0</v>
      </c>
      <c r="AD12" s="17">
        <f>SUM($AC$12:$AC$12)</f>
        <v>0</v>
      </c>
      <c r="AE12" s="17">
        <f ca="1">$AO$12*$AO$55</f>
        <v>0</v>
      </c>
      <c r="AF12" s="17">
        <f ca="1">$AP$12*$AP$55</f>
        <v>0</v>
      </c>
      <c r="AG12" s="17">
        <f ca="1">SUM($AE$12:$AF$12)</f>
        <v>0</v>
      </c>
      <c r="AH12" s="17">
        <f>'TUSD BE'!$AH$12*'TUSD BF'!$AH$58</f>
        <v>0</v>
      </c>
      <c r="AI12" s="17">
        <f>'TUSD BE'!$AI$12*'TUSD BF'!$AI$58</f>
        <v>0</v>
      </c>
      <c r="AJ12" s="17">
        <f ca="1">'TUSD BE'!$AJ$12*'TUSD BF'!$AJ$58</f>
        <v>0</v>
      </c>
      <c r="AK12" s="17">
        <f ca="1">'TUSD BE'!$AK$12*'TUSD BF'!$AK$58</f>
        <v>0</v>
      </c>
      <c r="AL12" s="17">
        <f ca="1">SUM($AH$12:$AK$12)</f>
        <v>0</v>
      </c>
      <c r="AM12" s="17">
        <f ca="1">SUMIF($L$4:$AL$4,"SUBTOTAL",$L$12:$AL$12)</f>
        <v>0</v>
      </c>
      <c r="AO12" s="29">
        <f ca="1">+'TUSD BE'!$T$12+'TUSD BE'!$AB$12+'TUSD BE'!$AD$12+'TUSD BE'!$AL$12</f>
        <v>97.343173671127971</v>
      </c>
      <c r="AP12" s="29">
        <f ca="1">+'TUSD BE'!$T$12+'TUSD BE'!$AB$12+'TUSD BE'!$AD$12+'TUSD BE'!$AL$12</f>
        <v>97.343173671127971</v>
      </c>
    </row>
    <row r="13" spans="1:42" ht="11.25" customHeight="1" x14ac:dyDescent="0.25">
      <c r="A13" s="94"/>
      <c r="B13" s="94"/>
      <c r="C13" s="94"/>
      <c r="D13" s="94"/>
      <c r="E13" s="94" t="s">
        <v>79</v>
      </c>
      <c r="F13" s="94" t="s">
        <v>25</v>
      </c>
      <c r="G13" s="27" t="s">
        <v>73</v>
      </c>
      <c r="H13" s="27" t="s">
        <v>72</v>
      </c>
      <c r="I13" s="27">
        <f>'MERCADO TUSD'!$U$10</f>
        <v>0</v>
      </c>
      <c r="J13" s="15"/>
      <c r="L13" s="17">
        <f>'TUSD BE'!$L$13*'TUSD BF'!$L$58</f>
        <v>0</v>
      </c>
      <c r="M13" s="17">
        <f>'TUSD BE'!$M$13*'TUSD BF'!$M$58</f>
        <v>0</v>
      </c>
      <c r="N13" s="17">
        <f ca="1">'TUSD BE'!$N$13*'TUSD BF'!$N$58</f>
        <v>0</v>
      </c>
      <c r="O13" s="17">
        <f>'TUSD BE'!$O$13*'TUSD BF'!$O$58</f>
        <v>0</v>
      </c>
      <c r="P13" s="17">
        <f>'TUSD BE'!$P$13*'TUSD BF'!$P$58</f>
        <v>0</v>
      </c>
      <c r="Q13" s="17">
        <f>'TUSD BE'!$Q$13*'TUSD BF'!$Q$58</f>
        <v>0</v>
      </c>
      <c r="R13" s="17">
        <f>'TUSD BE'!$R$13*'TUSD BF'!$R$58</f>
        <v>0</v>
      </c>
      <c r="S13" s="17">
        <f>'TUSD BE'!$R$13*'TUSD BF'!$S$58</f>
        <v>0</v>
      </c>
      <c r="T13" s="17">
        <f ca="1">SUM($L$13:$S$13)</f>
        <v>0</v>
      </c>
      <c r="U13" s="17">
        <f>'TUSD BE'!$U$13*'TUSD BF'!$U$58</f>
        <v>0</v>
      </c>
      <c r="V13" s="17">
        <f>'TUSD BE'!$V$13*'TUSD BF'!$V$58</f>
        <v>0</v>
      </c>
      <c r="W13" s="17">
        <f>'TUSD BE'!$W$13*'TUSD BF'!$W$58</f>
        <v>0</v>
      </c>
      <c r="X13" s="17">
        <f>'TUSD BE'!$X$13*'TUSD BF'!$X$58</f>
        <v>0</v>
      </c>
      <c r="Y13" s="17">
        <f>'TUSD BE'!$Y$13*'TUSD BF'!$Y$58</f>
        <v>0</v>
      </c>
      <c r="Z13" s="17">
        <f>'TUSD BE'!$Z$13*'TUSD BF'!$Z$58</f>
        <v>0</v>
      </c>
      <c r="AA13" s="17">
        <f>'TUSD BE'!$AA$13*'TUSD BF'!$AA$58</f>
        <v>0</v>
      </c>
      <c r="AB13" s="17">
        <f>SUM($U$13:$AA$13)</f>
        <v>0</v>
      </c>
      <c r="AC13" s="17">
        <f>'TUSD BE'!$AC$13*'TUSD BF'!$AC$58</f>
        <v>0</v>
      </c>
      <c r="AD13" s="17">
        <f>SUM($AC$13:$AC$13)</f>
        <v>0</v>
      </c>
      <c r="AE13" s="17">
        <f ca="1">$AO$13*$AO$55</f>
        <v>0</v>
      </c>
      <c r="AF13" s="17">
        <f ca="1">$AP$13*$AP$55</f>
        <v>0</v>
      </c>
      <c r="AG13" s="17">
        <f ca="1">SUM($AE$13:$AF$13)</f>
        <v>0</v>
      </c>
      <c r="AH13" s="17">
        <f>'TUSD BE'!$AH$13*'TUSD BF'!$AH$58</f>
        <v>0</v>
      </c>
      <c r="AI13" s="17">
        <f>'TUSD BE'!$AI$13*'TUSD BF'!$AI$58</f>
        <v>0</v>
      </c>
      <c r="AJ13" s="17">
        <f ca="1">'TUSD BE'!$AJ$13*'TUSD BF'!$AJ$58</f>
        <v>0</v>
      </c>
      <c r="AK13" s="17">
        <f ca="1">'TUSD BE'!$AK$13*'TUSD BF'!$AK$58</f>
        <v>0</v>
      </c>
      <c r="AL13" s="17">
        <f ca="1">SUM($AH$13:$AK$13)</f>
        <v>0</v>
      </c>
      <c r="AM13" s="17">
        <f ca="1">SUMIF($L$4:$AL$4,"SUBTOTAL",$L$13:$AL$13)</f>
        <v>0</v>
      </c>
      <c r="AO13" s="29">
        <f ca="1">+'TUSD BE'!$T$13+'TUSD BE'!$AB$13+'TUSD BE'!$AD$13+'TUSD BE'!$AL$13</f>
        <v>2855.1057488147517</v>
      </c>
      <c r="AP13" s="29">
        <f ca="1">+'TUSD BE'!$T$13+'TUSD BE'!$AB$13+'TUSD BE'!$AD$13+'TUSD BE'!$AL$13</f>
        <v>2855.1057488147517</v>
      </c>
    </row>
    <row r="14" spans="1:42" ht="11.25" customHeight="1" x14ac:dyDescent="0.25">
      <c r="A14" s="94"/>
      <c r="B14" s="94"/>
      <c r="C14" s="94"/>
      <c r="D14" s="94"/>
      <c r="E14" s="94"/>
      <c r="F14" s="94"/>
      <c r="G14" s="27" t="s">
        <v>74</v>
      </c>
      <c r="H14" s="27" t="s">
        <v>72</v>
      </c>
      <c r="I14" s="27">
        <f>'MERCADO TUSD'!$U$11</f>
        <v>0</v>
      </c>
      <c r="J14" s="15"/>
      <c r="L14" s="17">
        <f>'TUSD BE'!$L$14*'TUSD BF'!$L$58</f>
        <v>0</v>
      </c>
      <c r="M14" s="17">
        <f>'TUSD BE'!$M$14*'TUSD BF'!$M$58</f>
        <v>0</v>
      </c>
      <c r="N14" s="17">
        <f ca="1">'TUSD BE'!$N$14*'TUSD BF'!$N$58</f>
        <v>0</v>
      </c>
      <c r="O14" s="17">
        <f>'TUSD BE'!$O$14*'TUSD BF'!$O$58</f>
        <v>0</v>
      </c>
      <c r="P14" s="17">
        <f>'TUSD BE'!$P$14*'TUSD BF'!$P$58</f>
        <v>0</v>
      </c>
      <c r="Q14" s="17">
        <f>'TUSD BE'!$Q$14*'TUSD BF'!$Q$58</f>
        <v>0</v>
      </c>
      <c r="R14" s="17">
        <f>'TUSD BE'!$R$14*'TUSD BF'!$R$58</f>
        <v>0</v>
      </c>
      <c r="S14" s="17">
        <f>'TUSD BE'!$R$14*'TUSD BF'!$S$58</f>
        <v>0</v>
      </c>
      <c r="T14" s="17">
        <f ca="1">SUM($L$14:$S$14)</f>
        <v>0</v>
      </c>
      <c r="U14" s="17">
        <f>'TUSD BE'!$U$14*'TUSD BF'!$U$58</f>
        <v>0</v>
      </c>
      <c r="V14" s="17">
        <f>'TUSD BE'!$V$14*'TUSD BF'!$V$58</f>
        <v>0</v>
      </c>
      <c r="W14" s="17">
        <f>'TUSD BE'!$W$14*'TUSD BF'!$W$58</f>
        <v>0</v>
      </c>
      <c r="X14" s="17">
        <f>'TUSD BE'!$X$14*'TUSD BF'!$X$58</f>
        <v>0</v>
      </c>
      <c r="Y14" s="17">
        <f>'TUSD BE'!$Y$14*'TUSD BF'!$Y$58</f>
        <v>0</v>
      </c>
      <c r="Z14" s="17">
        <f>'TUSD BE'!$Z$14*'TUSD BF'!$Z$58</f>
        <v>0</v>
      </c>
      <c r="AA14" s="17">
        <f>'TUSD BE'!$AA$14*'TUSD BF'!$AA$58</f>
        <v>0</v>
      </c>
      <c r="AB14" s="17">
        <f>SUM($U$14:$AA$14)</f>
        <v>0</v>
      </c>
      <c r="AC14" s="17">
        <f>'TUSD BE'!$AC$14*'TUSD BF'!$AC$58</f>
        <v>0</v>
      </c>
      <c r="AD14" s="17">
        <f>SUM($AC$14:$AC$14)</f>
        <v>0</v>
      </c>
      <c r="AE14" s="17">
        <f ca="1">$AO$14*$AO$55</f>
        <v>0</v>
      </c>
      <c r="AF14" s="17">
        <f ca="1">$AP$14*$AP$55</f>
        <v>0</v>
      </c>
      <c r="AG14" s="17">
        <f ca="1">SUM($AE$14:$AF$14)</f>
        <v>0</v>
      </c>
      <c r="AH14" s="17">
        <f>'TUSD BE'!$AH$14*'TUSD BF'!$AH$58</f>
        <v>0</v>
      </c>
      <c r="AI14" s="17">
        <f>'TUSD BE'!$AI$14*'TUSD BF'!$AI$58</f>
        <v>0</v>
      </c>
      <c r="AJ14" s="17">
        <f ca="1">'TUSD BE'!$AJ$14*'TUSD BF'!$AJ$58</f>
        <v>0</v>
      </c>
      <c r="AK14" s="17">
        <f ca="1">'TUSD BE'!$AK$14*'TUSD BF'!$AK$58</f>
        <v>0</v>
      </c>
      <c r="AL14" s="17">
        <f ca="1">SUM($AH$14:$AK$14)</f>
        <v>0</v>
      </c>
      <c r="AM14" s="17">
        <f ca="1">SUMIF($L$4:$AL$4,"SUBTOTAL",$L$14:$AL$14)</f>
        <v>0</v>
      </c>
      <c r="AO14" s="29">
        <f ca="1">+'TUSD BE'!$T$14+'TUSD BE'!$AB$14+'TUSD BE'!$AD$14+'TUSD BE'!$AL$14</f>
        <v>7.7260690034412436</v>
      </c>
      <c r="AP14" s="29">
        <f ca="1">+'TUSD BE'!$T$14+'TUSD BE'!$AB$14+'TUSD BE'!$AD$14+'TUSD BE'!$AL$14</f>
        <v>7.7260690034412436</v>
      </c>
    </row>
    <row r="15" spans="1:42" ht="11.25" customHeight="1" x14ac:dyDescent="0.25">
      <c r="A15" s="94" t="s">
        <v>80</v>
      </c>
      <c r="B15" s="94" t="s">
        <v>53</v>
      </c>
      <c r="C15" s="94" t="s">
        <v>25</v>
      </c>
      <c r="D15" s="94" t="s">
        <v>25</v>
      </c>
      <c r="E15" s="26" t="s">
        <v>81</v>
      </c>
      <c r="F15" s="26" t="s">
        <v>25</v>
      </c>
      <c r="G15" s="27" t="s">
        <v>9</v>
      </c>
      <c r="H15" s="27" t="s">
        <v>75</v>
      </c>
      <c r="I15" s="27">
        <f>'MERCADO TUSD'!$U$12+0.00000001</f>
        <v>1E-8</v>
      </c>
      <c r="J15" s="15"/>
      <c r="L15" s="17">
        <f>'TUSD BE'!$L$15*'TUSD BF'!$L$58</f>
        <v>0</v>
      </c>
      <c r="M15" s="17">
        <f>'TUSD BE'!$M$15*'TUSD BF'!$M$58</f>
        <v>0</v>
      </c>
      <c r="N15" s="17">
        <f ca="1">'TUSD BE'!$N$15*'TUSD BF'!$N$58</f>
        <v>0</v>
      </c>
      <c r="O15" s="17">
        <f>'TUSD BE'!$O$15*'TUSD BF'!$O$58</f>
        <v>0</v>
      </c>
      <c r="P15" s="17">
        <f>'TUSD BE'!$P$15*'TUSD BF'!$P$58</f>
        <v>0</v>
      </c>
      <c r="Q15" s="17">
        <f>'TUSD BE'!$Q$15*'TUSD BF'!$Q$58</f>
        <v>0</v>
      </c>
      <c r="R15" s="17">
        <f>'TUSD BE'!$R$15*'TUSD BF'!$R$58</f>
        <v>0</v>
      </c>
      <c r="S15" s="17">
        <f>'TUSD BE'!$R$15*'TUSD BF'!$S$58</f>
        <v>0</v>
      </c>
      <c r="T15" s="17">
        <f ca="1">SUM($L$15:$S$15)</f>
        <v>0</v>
      </c>
      <c r="U15" s="17">
        <f>'TUSD BE'!$U$15*'TUSD BF'!$U$58</f>
        <v>0</v>
      </c>
      <c r="V15" s="17">
        <f>'TUSD BE'!$V$15*'TUSD BF'!$V$58</f>
        <v>0</v>
      </c>
      <c r="W15" s="17">
        <f>'TUSD BE'!$W$15*'TUSD BF'!$W$58</f>
        <v>0</v>
      </c>
      <c r="X15" s="17">
        <f>'TUSD BE'!$X$15*'TUSD BF'!$X$58</f>
        <v>0</v>
      </c>
      <c r="Y15" s="17">
        <f>'TUSD BE'!$Y$15*'TUSD BF'!$Y$58</f>
        <v>0</v>
      </c>
      <c r="Z15" s="17">
        <f>'TUSD BE'!$Z$15*'TUSD BF'!$Z$58</f>
        <v>0</v>
      </c>
      <c r="AA15" s="17">
        <f>'TUSD BE'!$AA$15*'TUSD BF'!$AA$58</f>
        <v>0</v>
      </c>
      <c r="AB15" s="17">
        <f>SUM($U$15:$AA$15)</f>
        <v>0</v>
      </c>
      <c r="AC15" s="17">
        <f>'TUSD BE'!$AC$15*'TUSD BF'!$AC$58</f>
        <v>0</v>
      </c>
      <c r="AD15" s="17">
        <f>SUM($AC$15:$AC$15)</f>
        <v>0</v>
      </c>
      <c r="AE15" s="17">
        <f ca="1">$AO$15*$AO$55</f>
        <v>0</v>
      </c>
      <c r="AF15" s="17">
        <f ca="1">$AP$15*$AP$55</f>
        <v>0</v>
      </c>
      <c r="AG15" s="17">
        <f ca="1">SUM($AE$15:$AF$15)</f>
        <v>0</v>
      </c>
      <c r="AH15" s="17">
        <f>'TUSD BE'!$AH$15*'TUSD BF'!$AH$58</f>
        <v>0</v>
      </c>
      <c r="AI15" s="17">
        <f>'TUSD BE'!$AI$15*'TUSD BF'!$AI$58</f>
        <v>0</v>
      </c>
      <c r="AJ15" s="17">
        <f ca="1">'TUSD BE'!$AJ$15*'TUSD BF'!$AJ$58</f>
        <v>0</v>
      </c>
      <c r="AK15" s="17">
        <f ca="1">'TUSD BE'!$AK$15*'TUSD BF'!$AK$58</f>
        <v>0</v>
      </c>
      <c r="AL15" s="17">
        <f ca="1">SUM($AH$15:$AK$15)</f>
        <v>0</v>
      </c>
      <c r="AM15" s="17">
        <f ca="1">SUMIF($L$4:$AL$4,"SUBTOTAL",$L$15:$AL$15)</f>
        <v>0</v>
      </c>
      <c r="AO15" s="29">
        <f ca="1">+'TUSD BE'!$T$15+'TUSD BE'!$AB$15+'TUSD BE'!$AD$15+'TUSD BE'!$AL$15</f>
        <v>10.689190300678844</v>
      </c>
      <c r="AP15" s="29">
        <f ca="1">+'TUSD BE'!$T$15+'TUSD BE'!$AB$15+'TUSD BE'!$AD$15+'TUSD BE'!$AL$15</f>
        <v>10.689190300678844</v>
      </c>
    </row>
    <row r="16" spans="1:42" ht="11.25" customHeight="1" x14ac:dyDescent="0.25">
      <c r="A16" s="94"/>
      <c r="B16" s="94"/>
      <c r="C16" s="94"/>
      <c r="D16" s="94"/>
      <c r="E16" s="26" t="s">
        <v>82</v>
      </c>
      <c r="F16" s="26" t="s">
        <v>25</v>
      </c>
      <c r="G16" s="27" t="s">
        <v>9</v>
      </c>
      <c r="H16" s="27" t="s">
        <v>75</v>
      </c>
      <c r="I16" s="27">
        <f>'MERCADO TUSD'!$U$13+0.00000001</f>
        <v>1E-8</v>
      </c>
      <c r="J16" s="15"/>
      <c r="L16" s="17">
        <f>'TUSD BE'!$L$16*'TUSD BF'!$L$58</f>
        <v>0</v>
      </c>
      <c r="M16" s="17">
        <f>'TUSD BE'!$M$16*'TUSD BF'!$M$58</f>
        <v>0</v>
      </c>
      <c r="N16" s="17">
        <f ca="1">'TUSD BE'!$N$16*'TUSD BF'!$N$58</f>
        <v>0</v>
      </c>
      <c r="O16" s="17">
        <f>'TUSD BE'!$O$16*'TUSD BF'!$O$58</f>
        <v>0</v>
      </c>
      <c r="P16" s="17">
        <f>'TUSD BE'!$P$16*'TUSD BF'!$P$58</f>
        <v>0</v>
      </c>
      <c r="Q16" s="17">
        <f>'TUSD BE'!$Q$16*'TUSD BF'!$Q$58</f>
        <v>0</v>
      </c>
      <c r="R16" s="17">
        <f>'TUSD BE'!$R$16*'TUSD BF'!$R$58</f>
        <v>0</v>
      </c>
      <c r="S16" s="17">
        <f>'TUSD BE'!$R$16*'TUSD BF'!$S$58</f>
        <v>0</v>
      </c>
      <c r="T16" s="17">
        <f ca="1">SUM($L$16:$S$16)</f>
        <v>0</v>
      </c>
      <c r="U16" s="17">
        <f>'TUSD BE'!$U$16*'TUSD BF'!$U$58</f>
        <v>0</v>
      </c>
      <c r="V16" s="17">
        <f>'TUSD BE'!$V$16*'TUSD BF'!$V$58</f>
        <v>0</v>
      </c>
      <c r="W16" s="17">
        <f>'TUSD BE'!$W$16*'TUSD BF'!$W$58</f>
        <v>0</v>
      </c>
      <c r="X16" s="17">
        <f>'TUSD BE'!$X$16*'TUSD BF'!$X$58</f>
        <v>0</v>
      </c>
      <c r="Y16" s="17">
        <f>'TUSD BE'!$Y$16*'TUSD BF'!$Y$58</f>
        <v>0</v>
      </c>
      <c r="Z16" s="17">
        <f>'TUSD BE'!$Z$16*'TUSD BF'!$Z$58</f>
        <v>0</v>
      </c>
      <c r="AA16" s="17">
        <f>'TUSD BE'!$AA$16*'TUSD BF'!$AA$58</f>
        <v>0</v>
      </c>
      <c r="AB16" s="17">
        <f>SUM($U$16:$AA$16)</f>
        <v>0</v>
      </c>
      <c r="AC16" s="17">
        <f>'TUSD BE'!$AC$16*'TUSD BF'!$AC$58</f>
        <v>0</v>
      </c>
      <c r="AD16" s="17">
        <f>SUM($AC$16:$AC$16)</f>
        <v>0</v>
      </c>
      <c r="AE16" s="17">
        <f ca="1">$AO$16*$AO$55</f>
        <v>0</v>
      </c>
      <c r="AF16" s="17">
        <f ca="1">$AP$16*$AP$55</f>
        <v>0</v>
      </c>
      <c r="AG16" s="17">
        <f ca="1">SUM($AE$16:$AF$16)</f>
        <v>0</v>
      </c>
      <c r="AH16" s="17">
        <f>'TUSD BE'!$AH$16*'TUSD BF'!$AH$58</f>
        <v>0</v>
      </c>
      <c r="AI16" s="17">
        <f>'TUSD BE'!$AI$16*'TUSD BF'!$AI$58</f>
        <v>0</v>
      </c>
      <c r="AJ16" s="17">
        <f ca="1">'TUSD BE'!$AJ$16*'TUSD BF'!$AJ$58</f>
        <v>0</v>
      </c>
      <c r="AK16" s="17">
        <f ca="1">'TUSD BE'!$AK$16*'TUSD BF'!$AK$58</f>
        <v>0</v>
      </c>
      <c r="AL16" s="17">
        <f ca="1">SUM($AH$16:$AK$16)</f>
        <v>0</v>
      </c>
      <c r="AM16" s="17">
        <f ca="1">SUMIF($L$4:$AL$4,"SUBTOTAL",$L$16:$AL$16)</f>
        <v>0</v>
      </c>
      <c r="AO16" s="29">
        <f ca="1">+'TUSD BE'!$T$16+'TUSD BE'!$AB$16+'TUSD BE'!$AD$16+'TUSD BE'!$AL$16</f>
        <v>21.736609837253887</v>
      </c>
      <c r="AP16" s="29">
        <f ca="1">+'TUSD BE'!$T$16+'TUSD BE'!$AB$16+'TUSD BE'!$AD$16+'TUSD BE'!$AL$16</f>
        <v>21.736609837253887</v>
      </c>
    </row>
    <row r="17" spans="1:42" ht="11.25" customHeight="1" x14ac:dyDescent="0.25">
      <c r="A17" s="94" t="s">
        <v>22</v>
      </c>
      <c r="B17" s="94" t="s">
        <v>85</v>
      </c>
      <c r="C17" s="94" t="s">
        <v>24</v>
      </c>
      <c r="D17" s="94" t="s">
        <v>24</v>
      </c>
      <c r="E17" s="94" t="s">
        <v>25</v>
      </c>
      <c r="F17" s="94" t="s">
        <v>25</v>
      </c>
      <c r="G17" s="27" t="s">
        <v>73</v>
      </c>
      <c r="H17" s="27" t="s">
        <v>72</v>
      </c>
      <c r="I17" s="27">
        <f>'MERCADO TUSD'!$U$14</f>
        <v>0</v>
      </c>
      <c r="J17" s="15"/>
      <c r="L17" s="17">
        <f>'TUSD BE'!$L$17*'TUSD BF'!$L$58</f>
        <v>0</v>
      </c>
      <c r="M17" s="17">
        <f>'TUSD BE'!$M$17*'TUSD BF'!$M$58</f>
        <v>0</v>
      </c>
      <c r="N17" s="17">
        <f ca="1">'TUSD BE'!$N$17*'TUSD BF'!$N$58</f>
        <v>0</v>
      </c>
      <c r="O17" s="17">
        <f>'TUSD BE'!$O$17*'TUSD BF'!$O$58</f>
        <v>0</v>
      </c>
      <c r="P17" s="17">
        <f>'TUSD BE'!$P$17*'TUSD BF'!$P$58</f>
        <v>0</v>
      </c>
      <c r="Q17" s="17">
        <f>'TUSD BE'!$Q$17*'TUSD BF'!$Q$58</f>
        <v>0</v>
      </c>
      <c r="R17" s="17">
        <f>'TUSD BE'!$R$17*'TUSD BF'!$R$58</f>
        <v>0</v>
      </c>
      <c r="S17" s="17">
        <f>'TUSD BE'!$R$17*'TUSD BF'!$S$58</f>
        <v>0</v>
      </c>
      <c r="T17" s="17">
        <f ca="1">SUM($L$17:$S$17)</f>
        <v>0</v>
      </c>
      <c r="U17" s="17">
        <f>'TUSD BE'!$U$17*'TUSD BF'!$U$58</f>
        <v>0</v>
      </c>
      <c r="V17" s="17">
        <f>'TUSD BE'!$V$17*'TUSD BF'!$V$58</f>
        <v>0</v>
      </c>
      <c r="W17" s="17">
        <f>'TUSD BE'!$W$17*'TUSD BF'!$W$58</f>
        <v>0</v>
      </c>
      <c r="X17" s="17">
        <f>'TUSD BE'!$X$17*'TUSD BF'!$X$58</f>
        <v>0</v>
      </c>
      <c r="Y17" s="17">
        <f>'TUSD BE'!$Y$17*'TUSD BF'!$Y$58</f>
        <v>0</v>
      </c>
      <c r="Z17" s="17">
        <f>'TUSD BE'!$Z$17*'TUSD BF'!$Z$58</f>
        <v>0</v>
      </c>
      <c r="AA17" s="17">
        <f>'TUSD BE'!$AA$17*'TUSD BF'!$AA$58</f>
        <v>0</v>
      </c>
      <c r="AB17" s="17">
        <f>SUM($U$17:$AA$17)</f>
        <v>0</v>
      </c>
      <c r="AC17" s="17">
        <f>'TUSD BE'!$AC$17*'TUSD BF'!$AC$58</f>
        <v>0</v>
      </c>
      <c r="AD17" s="17">
        <f>SUM($AC$17:$AC$17)</f>
        <v>0</v>
      </c>
      <c r="AE17" s="17">
        <f ca="1">$AO$17*$AO$55</f>
        <v>0</v>
      </c>
      <c r="AF17" s="17">
        <f ca="1">$AP$17*$AP$55</f>
        <v>0</v>
      </c>
      <c r="AG17" s="17">
        <f ca="1">SUM($AE$17:$AF$17)</f>
        <v>0</v>
      </c>
      <c r="AH17" s="17">
        <f>'TUSD BE'!$AH$17*'TUSD BF'!$AH$58</f>
        <v>0</v>
      </c>
      <c r="AI17" s="17">
        <f>'TUSD BE'!$AI$17*'TUSD BF'!$AI$58</f>
        <v>0</v>
      </c>
      <c r="AJ17" s="17">
        <f ca="1">'TUSD BE'!$AJ$17*'TUSD BF'!$AJ$58</f>
        <v>0</v>
      </c>
      <c r="AK17" s="17">
        <f ca="1">'TUSD BE'!$AK$17*'TUSD BF'!$AK$58</f>
        <v>0</v>
      </c>
      <c r="AL17" s="17">
        <f ca="1">SUM($AH$17:$AK$17)</f>
        <v>0</v>
      </c>
      <c r="AM17" s="17">
        <f ca="1">SUMIF($L$4:$AL$4,"SUBTOTAL",$L$17:$AL$17)</f>
        <v>0</v>
      </c>
      <c r="AO17" s="29">
        <f ca="1">+'TUSD BE'!$T$17+'TUSD BE'!$AB$17+'TUSD BE'!$AD$17+'TUSD BE'!$AL$17</f>
        <v>1365.0604010691084</v>
      </c>
      <c r="AP17" s="29">
        <f ca="1">+'TUSD BE'!$T$17+'TUSD BE'!$AB$17+'TUSD BE'!$AD$17+'TUSD BE'!$AL$17</f>
        <v>1365.0604010691084</v>
      </c>
    </row>
    <row r="18" spans="1:42" ht="11.25" customHeight="1" x14ac:dyDescent="0.25">
      <c r="A18" s="94"/>
      <c r="B18" s="94"/>
      <c r="C18" s="94"/>
      <c r="D18" s="94"/>
      <c r="E18" s="94"/>
      <c r="F18" s="94"/>
      <c r="G18" s="27" t="s">
        <v>83</v>
      </c>
      <c r="H18" s="27" t="s">
        <v>72</v>
      </c>
      <c r="I18" s="27">
        <f>'MERCADO TUSD'!$U$15</f>
        <v>0</v>
      </c>
      <c r="J18" s="15"/>
      <c r="L18" s="17">
        <f>'TUSD BE'!$L$18*'TUSD BF'!$L$58</f>
        <v>0</v>
      </c>
      <c r="M18" s="17">
        <f>'TUSD BE'!$M$18*'TUSD BF'!$M$58</f>
        <v>0</v>
      </c>
      <c r="N18" s="17">
        <f ca="1">'TUSD BE'!$N$18*'TUSD BF'!$N$58</f>
        <v>0</v>
      </c>
      <c r="O18" s="17">
        <f>'TUSD BE'!$O$18*'TUSD BF'!$O$58</f>
        <v>0</v>
      </c>
      <c r="P18" s="17">
        <f>'TUSD BE'!$P$18*'TUSD BF'!$P$58</f>
        <v>0</v>
      </c>
      <c r="Q18" s="17">
        <f>'TUSD BE'!$Q$18*'TUSD BF'!$Q$58</f>
        <v>0</v>
      </c>
      <c r="R18" s="17">
        <f>'TUSD BE'!$R$18*'TUSD BF'!$R$58</f>
        <v>0</v>
      </c>
      <c r="S18" s="17">
        <f>'TUSD BE'!$R$18*'TUSD BF'!$S$58</f>
        <v>0</v>
      </c>
      <c r="T18" s="17">
        <f ca="1">SUM($L$18:$S$18)</f>
        <v>0</v>
      </c>
      <c r="U18" s="17">
        <f>'TUSD BE'!$U$18*'TUSD BF'!$U$58</f>
        <v>0</v>
      </c>
      <c r="V18" s="17">
        <f>'TUSD BE'!$V$18*'TUSD BF'!$V$58</f>
        <v>0</v>
      </c>
      <c r="W18" s="17">
        <f>'TUSD BE'!$W$18*'TUSD BF'!$W$58</f>
        <v>0</v>
      </c>
      <c r="X18" s="17">
        <f>'TUSD BE'!$X$18*'TUSD BF'!$X$58</f>
        <v>0</v>
      </c>
      <c r="Y18" s="17">
        <f>'TUSD BE'!$Y$18*'TUSD BF'!$Y$58</f>
        <v>0</v>
      </c>
      <c r="Z18" s="17">
        <f>'TUSD BE'!$Z$18*'TUSD BF'!$Z$58</f>
        <v>0</v>
      </c>
      <c r="AA18" s="17">
        <f>'TUSD BE'!$AA$18*'TUSD BF'!$AA$58</f>
        <v>0</v>
      </c>
      <c r="AB18" s="17">
        <f>SUM($U$18:$AA$18)</f>
        <v>0</v>
      </c>
      <c r="AC18" s="17">
        <f>'TUSD BE'!$AC$18*'TUSD BF'!$AC$58</f>
        <v>0</v>
      </c>
      <c r="AD18" s="17">
        <f>SUM($AC$18:$AC$18)</f>
        <v>0</v>
      </c>
      <c r="AE18" s="17">
        <f ca="1">$AO$18*$AO$55</f>
        <v>0</v>
      </c>
      <c r="AF18" s="17">
        <f ca="1">$AP$18*$AP$55</f>
        <v>0</v>
      </c>
      <c r="AG18" s="17">
        <f ca="1">SUM($AE$18:$AF$18)</f>
        <v>0</v>
      </c>
      <c r="AH18" s="17">
        <f>'TUSD BE'!$AH$18*'TUSD BF'!$AH$58</f>
        <v>0</v>
      </c>
      <c r="AI18" s="17">
        <f>'TUSD BE'!$AI$18*'TUSD BF'!$AI$58</f>
        <v>0</v>
      </c>
      <c r="AJ18" s="17">
        <f ca="1">'TUSD BE'!$AJ$18*'TUSD BF'!$AJ$58</f>
        <v>0</v>
      </c>
      <c r="AK18" s="17">
        <f ca="1">'TUSD BE'!$AK$18*'TUSD BF'!$AK$58</f>
        <v>0</v>
      </c>
      <c r="AL18" s="17">
        <f ca="1">SUM($AH$18:$AK$18)</f>
        <v>0</v>
      </c>
      <c r="AM18" s="17">
        <f ca="1">SUMIF($L$4:$AL$4,"SUBTOTAL",$L$18:$AL$18)</f>
        <v>0</v>
      </c>
      <c r="AO18" s="29">
        <f ca="1">+'TUSD BE'!$T$18+'TUSD BE'!$AB$18+'TUSD BE'!$AD$18+'TUSD BE'!$AL$18</f>
        <v>868.41774176193769</v>
      </c>
      <c r="AP18" s="29">
        <f ca="1">+'TUSD BE'!$T$18+'TUSD BE'!$AB$18+'TUSD BE'!$AD$18+'TUSD BE'!$AL$18</f>
        <v>868.41774176193769</v>
      </c>
    </row>
    <row r="19" spans="1:42" ht="11.25" customHeight="1" x14ac:dyDescent="0.25">
      <c r="A19" s="94"/>
      <c r="B19" s="94"/>
      <c r="C19" s="94"/>
      <c r="D19" s="94"/>
      <c r="E19" s="94"/>
      <c r="F19" s="94"/>
      <c r="G19" s="27" t="s">
        <v>74</v>
      </c>
      <c r="H19" s="27" t="s">
        <v>72</v>
      </c>
      <c r="I19" s="27">
        <f>'MERCADO TUSD'!$U$16</f>
        <v>0</v>
      </c>
      <c r="J19" s="15"/>
      <c r="L19" s="17">
        <f>'TUSD BE'!$L$19*'TUSD BF'!$L$58</f>
        <v>0</v>
      </c>
      <c r="M19" s="17">
        <f>'TUSD BE'!$M$19*'TUSD BF'!$M$58</f>
        <v>0</v>
      </c>
      <c r="N19" s="17">
        <f ca="1">'TUSD BE'!$N$19*'TUSD BF'!$N$58</f>
        <v>0</v>
      </c>
      <c r="O19" s="17">
        <f>'TUSD BE'!$O$19*'TUSD BF'!$O$58</f>
        <v>0</v>
      </c>
      <c r="P19" s="17">
        <f>'TUSD BE'!$P$19*'TUSD BF'!$P$58</f>
        <v>0</v>
      </c>
      <c r="Q19" s="17">
        <f>'TUSD BE'!$Q$19*'TUSD BF'!$Q$58</f>
        <v>0</v>
      </c>
      <c r="R19" s="17">
        <f>'TUSD BE'!$R$19*'TUSD BF'!$R$58</f>
        <v>0</v>
      </c>
      <c r="S19" s="17">
        <f>'TUSD BE'!$R$19*'TUSD BF'!$S$58</f>
        <v>0</v>
      </c>
      <c r="T19" s="17">
        <f ca="1">SUM($L$19:$S$19)</f>
        <v>0</v>
      </c>
      <c r="U19" s="17">
        <f>'TUSD BE'!$U$19*'TUSD BF'!$U$58</f>
        <v>0</v>
      </c>
      <c r="V19" s="17">
        <f>'TUSD BE'!$V$19*'TUSD BF'!$V$58</f>
        <v>0</v>
      </c>
      <c r="W19" s="17">
        <f>'TUSD BE'!$W$19*'TUSD BF'!$W$58</f>
        <v>0</v>
      </c>
      <c r="X19" s="17">
        <f>'TUSD BE'!$X$19*'TUSD BF'!$X$58</f>
        <v>0</v>
      </c>
      <c r="Y19" s="17">
        <f>'TUSD BE'!$Y$19*'TUSD BF'!$Y$58</f>
        <v>0</v>
      </c>
      <c r="Z19" s="17">
        <f>'TUSD BE'!$Z$19*'TUSD BF'!$Z$58</f>
        <v>0</v>
      </c>
      <c r="AA19" s="17">
        <f>'TUSD BE'!$AA$19*'TUSD BF'!$AA$58</f>
        <v>0</v>
      </c>
      <c r="AB19" s="17">
        <f>SUM($U$19:$AA$19)</f>
        <v>0</v>
      </c>
      <c r="AC19" s="17">
        <f>'TUSD BE'!$AC$19*'TUSD BF'!$AC$58</f>
        <v>0</v>
      </c>
      <c r="AD19" s="17">
        <f>SUM($AC$19:$AC$19)</f>
        <v>0</v>
      </c>
      <c r="AE19" s="17">
        <f ca="1">$AO$19*$AO$55</f>
        <v>0</v>
      </c>
      <c r="AF19" s="17">
        <f ca="1">$AP$19*$AP$55</f>
        <v>0</v>
      </c>
      <c r="AG19" s="17">
        <f ca="1">SUM($AE$19:$AF$19)</f>
        <v>0</v>
      </c>
      <c r="AH19" s="17">
        <f>'TUSD BE'!$AH$19*'TUSD BF'!$AH$58</f>
        <v>0</v>
      </c>
      <c r="AI19" s="17">
        <f>'TUSD BE'!$AI$19*'TUSD BF'!$AI$58</f>
        <v>0</v>
      </c>
      <c r="AJ19" s="17">
        <f ca="1">'TUSD BE'!$AJ$19*'TUSD BF'!$AJ$58</f>
        <v>0</v>
      </c>
      <c r="AK19" s="17">
        <f ca="1">'TUSD BE'!$AK$19*'TUSD BF'!$AK$58</f>
        <v>0</v>
      </c>
      <c r="AL19" s="17">
        <f ca="1">SUM($AH$19:$AK$19)</f>
        <v>0</v>
      </c>
      <c r="AM19" s="17">
        <f ca="1">SUMIF($L$4:$AL$4,"SUBTOTAL",$L$19:$AL$19)</f>
        <v>0</v>
      </c>
      <c r="AO19" s="29">
        <f ca="1">+'TUSD BE'!$T$19+'TUSD BE'!$AB$19+'TUSD BE'!$AD$19+'TUSD BE'!$AL$19</f>
        <v>371.83319392677561</v>
      </c>
      <c r="AP19" s="29">
        <f ca="1">+'TUSD BE'!$T$19+'TUSD BE'!$AB$19+'TUSD BE'!$AD$19+'TUSD BE'!$AL$19</f>
        <v>371.83319392677561</v>
      </c>
    </row>
    <row r="20" spans="1:42" ht="11.25" customHeight="1" x14ac:dyDescent="0.25">
      <c r="A20" s="94"/>
      <c r="B20" s="94" t="s">
        <v>23</v>
      </c>
      <c r="C20" s="94" t="s">
        <v>24</v>
      </c>
      <c r="D20" s="26" t="s">
        <v>24</v>
      </c>
      <c r="E20" s="26" t="s">
        <v>25</v>
      </c>
      <c r="F20" s="26" t="s">
        <v>25</v>
      </c>
      <c r="G20" s="27" t="s">
        <v>78</v>
      </c>
      <c r="H20" s="27" t="s">
        <v>72</v>
      </c>
      <c r="I20" s="27">
        <f>'MERCADO TUSD'!$U$17</f>
        <v>11694.771999999999</v>
      </c>
      <c r="J20" s="15"/>
      <c r="L20" s="17">
        <f>'TUSD BE'!$L$20*'TUSD BF'!$L$58</f>
        <v>0</v>
      </c>
      <c r="M20" s="17">
        <f>'TUSD BE'!$M$20*'TUSD BF'!$M$58</f>
        <v>0</v>
      </c>
      <c r="N20" s="17">
        <f ca="1">'TUSD BE'!$N$20*'TUSD BF'!$N$58</f>
        <v>0</v>
      </c>
      <c r="O20" s="17">
        <f>'TUSD BE'!$O$20*'TUSD BF'!$O$58</f>
        <v>0</v>
      </c>
      <c r="P20" s="17">
        <f>'TUSD BE'!$P$20*'TUSD BF'!$P$58</f>
        <v>0</v>
      </c>
      <c r="Q20" s="17">
        <f>'TUSD BE'!$Q$20*'TUSD BF'!$Q$58</f>
        <v>0</v>
      </c>
      <c r="R20" s="17">
        <f>'TUSD BE'!$R$20*'TUSD BF'!$R$58</f>
        <v>0</v>
      </c>
      <c r="S20" s="17">
        <f>'TUSD BE'!$R$20*'TUSD BF'!$S$58</f>
        <v>0</v>
      </c>
      <c r="T20" s="17">
        <f ca="1">SUM($L$20:$S$20)</f>
        <v>0</v>
      </c>
      <c r="U20" s="17">
        <f>'TUSD BE'!$U$20*'TUSD BF'!$U$58</f>
        <v>0</v>
      </c>
      <c r="V20" s="17">
        <f>'TUSD BE'!$V$20*'TUSD BF'!$V$58</f>
        <v>0</v>
      </c>
      <c r="W20" s="17">
        <f>'TUSD BE'!$W$20*'TUSD BF'!$W$58</f>
        <v>0</v>
      </c>
      <c r="X20" s="17">
        <f>'TUSD BE'!$X$20*'TUSD BF'!$X$58</f>
        <v>0</v>
      </c>
      <c r="Y20" s="17">
        <f>'TUSD BE'!$Y$20*'TUSD BF'!$Y$58</f>
        <v>0</v>
      </c>
      <c r="Z20" s="17">
        <f>'TUSD BE'!$Z$20*'TUSD BF'!$Z$58</f>
        <v>0</v>
      </c>
      <c r="AA20" s="17">
        <f>'TUSD BE'!$AA$20*'TUSD BF'!$AA$58</f>
        <v>0</v>
      </c>
      <c r="AB20" s="17">
        <f>SUM($U$20:$AA$20)</f>
        <v>0</v>
      </c>
      <c r="AC20" s="17">
        <f>'TUSD BE'!$AC$20*'TUSD BF'!$AC$58</f>
        <v>0</v>
      </c>
      <c r="AD20" s="17">
        <f>SUM($AC$20:$AC$20)</f>
        <v>0</v>
      </c>
      <c r="AE20" s="17">
        <f ca="1">$AO$20*$AO$55</f>
        <v>0</v>
      </c>
      <c r="AF20" s="17">
        <f ca="1">$AP$20*$AP$55</f>
        <v>0</v>
      </c>
      <c r="AG20" s="17">
        <f ca="1">SUM($AE$20:$AF$20)</f>
        <v>0</v>
      </c>
      <c r="AH20" s="17">
        <f>'TUSD BE'!$AH$20*'TUSD BF'!$AH$58</f>
        <v>0</v>
      </c>
      <c r="AI20" s="17">
        <f>'TUSD BE'!$AI$20*'TUSD BF'!$AI$58</f>
        <v>0</v>
      </c>
      <c r="AJ20" s="17">
        <f ca="1">'TUSD BE'!$AJ$20*'TUSD BF'!$AJ$58</f>
        <v>0</v>
      </c>
      <c r="AK20" s="17">
        <f ca="1">'TUSD BE'!$AK$20*'TUSD BF'!$AK$58</f>
        <v>0</v>
      </c>
      <c r="AL20" s="17">
        <f ca="1">SUM($AH$20:$AK$20)</f>
        <v>0</v>
      </c>
      <c r="AM20" s="17">
        <f ca="1">SUMIF($L$4:$AL$4,"SUBTOTAL",$L$20:$AL$20)</f>
        <v>0</v>
      </c>
      <c r="AO20" s="29">
        <f ca="1">+'TUSD BE'!$T$20+'TUSD BE'!$AB$20+'TUSD BE'!$AD$20+'TUSD BE'!$AL$20</f>
        <v>583.25330280533854</v>
      </c>
      <c r="AP20" s="29">
        <f ca="1">+'TUSD BE'!$T$20+'TUSD BE'!$AB$20+'TUSD BE'!$AD$20+'TUSD BE'!$AL$20</f>
        <v>583.25330280533854</v>
      </c>
    </row>
    <row r="21" spans="1:42" ht="11.25" customHeight="1" x14ac:dyDescent="0.25">
      <c r="A21" s="94"/>
      <c r="B21" s="94"/>
      <c r="C21" s="94"/>
      <c r="D21" s="26" t="s">
        <v>29</v>
      </c>
      <c r="E21" s="26" t="s">
        <v>25</v>
      </c>
      <c r="F21" s="26" t="s">
        <v>25</v>
      </c>
      <c r="G21" s="27" t="s">
        <v>78</v>
      </c>
      <c r="H21" s="27" t="s">
        <v>72</v>
      </c>
      <c r="I21" s="27">
        <f>'MERCADO TUSD'!$U$18</f>
        <v>30.416</v>
      </c>
      <c r="J21" s="15"/>
      <c r="L21" s="17">
        <f>'TUSD BE'!$L$21*'TUSD BF'!$L$58</f>
        <v>0</v>
      </c>
      <c r="M21" s="17">
        <f>'TUSD BE'!$M$21*'TUSD BF'!$M$58</f>
        <v>0</v>
      </c>
      <c r="N21" s="17">
        <f ca="1">'TUSD BE'!$N$21*'TUSD BF'!$N$58</f>
        <v>0</v>
      </c>
      <c r="O21" s="17">
        <f>'TUSD BE'!$O$21*'TUSD BF'!$O$58</f>
        <v>0</v>
      </c>
      <c r="P21" s="17">
        <f>'TUSD BE'!$P$21*'TUSD BF'!$P$58</f>
        <v>0</v>
      </c>
      <c r="Q21" s="17">
        <f>'TUSD BE'!$Q$21*'TUSD BF'!$Q$58</f>
        <v>0</v>
      </c>
      <c r="R21" s="17">
        <f>'TUSD BE'!$R$21*'TUSD BF'!$R$58</f>
        <v>0</v>
      </c>
      <c r="S21" s="17">
        <f>'TUSD BE'!$R$21*'TUSD BF'!$S$58</f>
        <v>0</v>
      </c>
      <c r="T21" s="17">
        <f ca="1">SUM($L$21:$S$21)</f>
        <v>0</v>
      </c>
      <c r="U21" s="17">
        <f>'TUSD BE'!$U$21*'TUSD BF'!$U$58</f>
        <v>0</v>
      </c>
      <c r="V21" s="17">
        <f>'TUSD BE'!$V$21*'TUSD BF'!$V$58</f>
        <v>0</v>
      </c>
      <c r="W21" s="17">
        <f>'TUSD BE'!$W$21*'TUSD BF'!$W$58</f>
        <v>0</v>
      </c>
      <c r="X21" s="17">
        <f>'TUSD BE'!$X$21*'TUSD BF'!$X$58</f>
        <v>0</v>
      </c>
      <c r="Y21" s="17">
        <f>'TUSD BE'!$Y$21*'TUSD BF'!$Y$58</f>
        <v>0</v>
      </c>
      <c r="Z21" s="17">
        <f>'TUSD BE'!$Z$21*'TUSD BF'!$Z$58</f>
        <v>0</v>
      </c>
      <c r="AA21" s="17">
        <f>'TUSD BE'!$AA$21*'TUSD BF'!$AA$58</f>
        <v>0</v>
      </c>
      <c r="AB21" s="17">
        <f>SUM($U$21:$AA$21)</f>
        <v>0</v>
      </c>
      <c r="AC21" s="17">
        <f>'TUSD BE'!$AC$21*'TUSD BF'!$AC$58</f>
        <v>0</v>
      </c>
      <c r="AD21" s="17">
        <f>SUM($AC$21:$AC$21)</f>
        <v>0</v>
      </c>
      <c r="AE21" s="17">
        <f ca="1">$AO$21*$AO$55</f>
        <v>0</v>
      </c>
      <c r="AF21" s="17">
        <f ca="1">$AP$21*$AP$55</f>
        <v>0</v>
      </c>
      <c r="AG21" s="17">
        <f ca="1">SUM($AE$21:$AF$21)</f>
        <v>0</v>
      </c>
      <c r="AH21" s="17">
        <f>'TUSD BE'!$AH$21*'TUSD BF'!$AH$58</f>
        <v>0</v>
      </c>
      <c r="AI21" s="17">
        <f>'TUSD BE'!$AI$21*'TUSD BF'!$AI$58</f>
        <v>0</v>
      </c>
      <c r="AJ21" s="17">
        <f ca="1">'TUSD BE'!$AJ$21*'TUSD BF'!$AJ$58</f>
        <v>0</v>
      </c>
      <c r="AK21" s="17">
        <f ca="1">'TUSD BE'!$AK$21*'TUSD BF'!$AK$58</f>
        <v>0</v>
      </c>
      <c r="AL21" s="17">
        <f ca="1">SUM($AH$21:$AK$21)</f>
        <v>0</v>
      </c>
      <c r="AM21" s="17">
        <f ca="1">SUMIF($L$4:$AL$4,"SUBTOTAL",$L$21:$AL$21)</f>
        <v>0</v>
      </c>
      <c r="AO21" s="29">
        <f ca="1">+'TUSD BE'!$T$21+'TUSD BE'!$AB$21+'TUSD BE'!$AD$21+'TUSD BE'!$AL$21</f>
        <v>479.27009207987442</v>
      </c>
      <c r="AP21" s="29">
        <f ca="1">+'TUSD BE'!$T$21+'TUSD BE'!$AB$21+'TUSD BE'!$AD$21+'TUSD BE'!$AL$21</f>
        <v>479.27009207987442</v>
      </c>
    </row>
    <row r="22" spans="1:42" ht="11.25" customHeight="1" x14ac:dyDescent="0.25">
      <c r="A22" s="94"/>
      <c r="B22" s="94"/>
      <c r="C22" s="94"/>
      <c r="D22" s="26" t="s">
        <v>30</v>
      </c>
      <c r="E22" s="26" t="s">
        <v>25</v>
      </c>
      <c r="F22" s="26" t="s">
        <v>25</v>
      </c>
      <c r="G22" s="27" t="s">
        <v>78</v>
      </c>
      <c r="H22" s="27" t="s">
        <v>72</v>
      </c>
      <c r="I22" s="27">
        <f>'MERCADO TUSD'!$U$19</f>
        <v>60.935000000000002</v>
      </c>
      <c r="J22" s="15"/>
      <c r="L22" s="17">
        <f>'TUSD BE'!$L$22*'TUSD BF'!$L$58</f>
        <v>0</v>
      </c>
      <c r="M22" s="17">
        <f>'TUSD BE'!$M$22*'TUSD BF'!$M$58</f>
        <v>0</v>
      </c>
      <c r="N22" s="17">
        <f ca="1">'TUSD BE'!$N$22*'TUSD BF'!$N$58</f>
        <v>0</v>
      </c>
      <c r="O22" s="17">
        <f>'TUSD BE'!$O$22*'TUSD BF'!$O$58</f>
        <v>0</v>
      </c>
      <c r="P22" s="17">
        <f>'TUSD BE'!$P$22*'TUSD BF'!$P$58</f>
        <v>0</v>
      </c>
      <c r="Q22" s="17">
        <f>'TUSD BE'!$Q$22*'TUSD BF'!$Q$58</f>
        <v>0</v>
      </c>
      <c r="R22" s="17">
        <f>'TUSD BE'!$R$22*'TUSD BF'!$R$58</f>
        <v>0</v>
      </c>
      <c r="S22" s="17">
        <f>'TUSD BE'!$R$22*'TUSD BF'!$S$58</f>
        <v>0</v>
      </c>
      <c r="T22" s="17">
        <f ca="1">SUM($L$22:$S$22)</f>
        <v>0</v>
      </c>
      <c r="U22" s="17">
        <f>'TUSD BE'!$U$22*'TUSD BF'!$U$58</f>
        <v>0</v>
      </c>
      <c r="V22" s="17">
        <f>'TUSD BE'!$V$22*'TUSD BF'!$V$58</f>
        <v>0</v>
      </c>
      <c r="W22" s="17">
        <f>'TUSD BE'!$W$22*'TUSD BF'!$W$58</f>
        <v>0</v>
      </c>
      <c r="X22" s="17">
        <f>'TUSD BE'!$X$22*'TUSD BF'!$X$58</f>
        <v>0</v>
      </c>
      <c r="Y22" s="17">
        <f>'TUSD BE'!$Y$22*'TUSD BF'!$Y$58</f>
        <v>0</v>
      </c>
      <c r="Z22" s="17">
        <f>'TUSD BE'!$Z$22*'TUSD BF'!$Z$58</f>
        <v>0</v>
      </c>
      <c r="AA22" s="17">
        <f>'TUSD BE'!$AA$22*'TUSD BF'!$AA$58</f>
        <v>0</v>
      </c>
      <c r="AB22" s="17">
        <f>SUM($U$22:$AA$22)</f>
        <v>0</v>
      </c>
      <c r="AC22" s="17">
        <f>'TUSD BE'!$AC$22*'TUSD BF'!$AC$58</f>
        <v>0</v>
      </c>
      <c r="AD22" s="17">
        <f>SUM($AC$22:$AC$22)</f>
        <v>0</v>
      </c>
      <c r="AE22" s="17">
        <f ca="1">$AO$22*$AO$55</f>
        <v>0</v>
      </c>
      <c r="AF22" s="17">
        <f ca="1">$AP$22*$AP$55</f>
        <v>0</v>
      </c>
      <c r="AG22" s="17">
        <f ca="1">SUM($AE$22:$AF$22)</f>
        <v>0</v>
      </c>
      <c r="AH22" s="17">
        <f>'TUSD BE'!$AH$22*'TUSD BF'!$AH$58</f>
        <v>0</v>
      </c>
      <c r="AI22" s="17">
        <f>'TUSD BE'!$AI$22*'TUSD BF'!$AI$58</f>
        <v>0</v>
      </c>
      <c r="AJ22" s="17">
        <f ca="1">'TUSD BE'!$AJ$22*'TUSD BF'!$AJ$58</f>
        <v>0</v>
      </c>
      <c r="AK22" s="17">
        <f ca="1">'TUSD BE'!$AK$22*'TUSD BF'!$AK$58</f>
        <v>0</v>
      </c>
      <c r="AL22" s="17">
        <f ca="1">SUM($AH$22:$AK$22)</f>
        <v>0</v>
      </c>
      <c r="AM22" s="17">
        <f ca="1">SUMIF($L$4:$AL$4,"SUBTOTAL",$L$22:$AL$22)</f>
        <v>0</v>
      </c>
      <c r="AO22" s="29">
        <f ca="1">+'TUSD BE'!$T$22+'TUSD BE'!$AB$22+'TUSD BE'!$AD$22+'TUSD BE'!$AL$22</f>
        <v>479.27009207987442</v>
      </c>
      <c r="AP22" s="29">
        <f ca="1">+'TUSD BE'!$T$22+'TUSD BE'!$AB$22+'TUSD BE'!$AD$22+'TUSD BE'!$AL$22</f>
        <v>479.27009207987442</v>
      </c>
    </row>
    <row r="23" spans="1:42" ht="11.25" customHeight="1" x14ac:dyDescent="0.25">
      <c r="A23" s="94"/>
      <c r="B23" s="94"/>
      <c r="C23" s="94"/>
      <c r="D23" s="26" t="s">
        <v>31</v>
      </c>
      <c r="E23" s="26" t="s">
        <v>25</v>
      </c>
      <c r="F23" s="26" t="s">
        <v>25</v>
      </c>
      <c r="G23" s="27" t="s">
        <v>78</v>
      </c>
      <c r="H23" s="27" t="s">
        <v>72</v>
      </c>
      <c r="I23" s="27">
        <f>'MERCADO TUSD'!$U$20</f>
        <v>58.873999999999995</v>
      </c>
      <c r="J23" s="15"/>
      <c r="L23" s="17">
        <f>'TUSD BE'!$L$23*'TUSD BF'!$L$58</f>
        <v>0</v>
      </c>
      <c r="M23" s="17">
        <f>'TUSD BE'!$M$23*'TUSD BF'!$M$58</f>
        <v>0</v>
      </c>
      <c r="N23" s="17">
        <f ca="1">'TUSD BE'!$N$23*'TUSD BF'!$N$58</f>
        <v>0</v>
      </c>
      <c r="O23" s="17">
        <f>'TUSD BE'!$O$23*'TUSD BF'!$O$58</f>
        <v>0</v>
      </c>
      <c r="P23" s="17">
        <f>'TUSD BE'!$P$23*'TUSD BF'!$P$58</f>
        <v>0</v>
      </c>
      <c r="Q23" s="17">
        <f>'TUSD BE'!$Q$23*'TUSD BF'!$Q$58</f>
        <v>0</v>
      </c>
      <c r="R23" s="17">
        <f>'TUSD BE'!$R$23*'TUSD BF'!$R$58</f>
        <v>0</v>
      </c>
      <c r="S23" s="17">
        <f>'TUSD BE'!$R$23*'TUSD BF'!$S$58</f>
        <v>0</v>
      </c>
      <c r="T23" s="17">
        <f ca="1">SUM($L$23:$S$23)</f>
        <v>0</v>
      </c>
      <c r="U23" s="17">
        <f>'TUSD BE'!$U$23*'TUSD BF'!$U$58</f>
        <v>0</v>
      </c>
      <c r="V23" s="17">
        <f>'TUSD BE'!$V$23*'TUSD BF'!$V$58</f>
        <v>0</v>
      </c>
      <c r="W23" s="17">
        <f>'TUSD BE'!$W$23*'TUSD BF'!$W$58</f>
        <v>0</v>
      </c>
      <c r="X23" s="17">
        <f>'TUSD BE'!$X$23*'TUSD BF'!$X$58</f>
        <v>0</v>
      </c>
      <c r="Y23" s="17">
        <f>'TUSD BE'!$Y$23*'TUSD BF'!$Y$58</f>
        <v>0</v>
      </c>
      <c r="Z23" s="17">
        <f>'TUSD BE'!$Z$23*'TUSD BF'!$Z$58</f>
        <v>0</v>
      </c>
      <c r="AA23" s="17">
        <f>'TUSD BE'!$AA$23*'TUSD BF'!$AA$58</f>
        <v>0</v>
      </c>
      <c r="AB23" s="17">
        <f>SUM($U$23:$AA$23)</f>
        <v>0</v>
      </c>
      <c r="AC23" s="17">
        <f>'TUSD BE'!$AC$23*'TUSD BF'!$AC$58</f>
        <v>0</v>
      </c>
      <c r="AD23" s="17">
        <f>SUM($AC$23:$AC$23)</f>
        <v>0</v>
      </c>
      <c r="AE23" s="17">
        <f ca="1">$AO$23*$AO$55</f>
        <v>0</v>
      </c>
      <c r="AF23" s="17">
        <f ca="1">$AP$23*$AP$55</f>
        <v>0</v>
      </c>
      <c r="AG23" s="17">
        <f ca="1">SUM($AE$23:$AF$23)</f>
        <v>0</v>
      </c>
      <c r="AH23" s="17">
        <f>'TUSD BE'!$AH$23*'TUSD BF'!$AH$58</f>
        <v>0</v>
      </c>
      <c r="AI23" s="17">
        <f>'TUSD BE'!$AI$23*'TUSD BF'!$AI$58</f>
        <v>0</v>
      </c>
      <c r="AJ23" s="17">
        <f ca="1">'TUSD BE'!$AJ$23*'TUSD BF'!$AJ$58</f>
        <v>0</v>
      </c>
      <c r="AK23" s="17">
        <f ca="1">'TUSD BE'!$AK$23*'TUSD BF'!$AK$58</f>
        <v>0</v>
      </c>
      <c r="AL23" s="17">
        <f ca="1">SUM($AH$23:$AK$23)</f>
        <v>0</v>
      </c>
      <c r="AM23" s="17">
        <f ca="1">SUMIF($L$4:$AL$4,"SUBTOTAL",$L$23:$AL$23)</f>
        <v>0</v>
      </c>
      <c r="AO23" s="29">
        <f ca="1">+'TUSD BE'!$T$23+'TUSD BE'!$AB$23+'TUSD BE'!$AD$23+'TUSD BE'!$AL$23</f>
        <v>479.27009207987442</v>
      </c>
      <c r="AP23" s="29">
        <f ca="1">+'TUSD BE'!$T$23+'TUSD BE'!$AB$23+'TUSD BE'!$AD$23+'TUSD BE'!$AL$23</f>
        <v>479.27009207987442</v>
      </c>
    </row>
    <row r="24" spans="1:42" ht="11.25" customHeight="1" x14ac:dyDescent="0.25">
      <c r="A24" s="94"/>
      <c r="B24" s="94"/>
      <c r="C24" s="94"/>
      <c r="D24" s="26" t="s">
        <v>32</v>
      </c>
      <c r="E24" s="26" t="s">
        <v>25</v>
      </c>
      <c r="F24" s="26" t="s">
        <v>25</v>
      </c>
      <c r="G24" s="27" t="s">
        <v>78</v>
      </c>
      <c r="H24" s="27" t="s">
        <v>72</v>
      </c>
      <c r="I24" s="27">
        <f>'MERCADO TUSD'!$U$21</f>
        <v>22.426000000000002</v>
      </c>
      <c r="J24" s="15"/>
      <c r="L24" s="17">
        <f>'TUSD BE'!$L$24*'TUSD BF'!$L$58</f>
        <v>0</v>
      </c>
      <c r="M24" s="17">
        <f>'TUSD BE'!$M$24*'TUSD BF'!$M$58</f>
        <v>0</v>
      </c>
      <c r="N24" s="17">
        <f ca="1">'TUSD BE'!$N$24*'TUSD BF'!$N$58</f>
        <v>0</v>
      </c>
      <c r="O24" s="17">
        <f>'TUSD BE'!$O$24*'TUSD BF'!$O$58</f>
        <v>0</v>
      </c>
      <c r="P24" s="17">
        <f>'TUSD BE'!$P$24*'TUSD BF'!$P$58</f>
        <v>0</v>
      </c>
      <c r="Q24" s="17">
        <f>'TUSD BE'!$Q$24*'TUSD BF'!$Q$58</f>
        <v>0</v>
      </c>
      <c r="R24" s="17">
        <f>'TUSD BE'!$R$24*'TUSD BF'!$R$58</f>
        <v>0</v>
      </c>
      <c r="S24" s="17">
        <f>'TUSD BE'!$R$24*'TUSD BF'!$S$58</f>
        <v>0</v>
      </c>
      <c r="T24" s="17">
        <f ca="1">SUM($L$24:$S$24)</f>
        <v>0</v>
      </c>
      <c r="U24" s="17">
        <f>'TUSD BE'!$U$24*'TUSD BF'!$U$58</f>
        <v>0</v>
      </c>
      <c r="V24" s="17">
        <f>'TUSD BE'!$V$24*'TUSD BF'!$V$58</f>
        <v>0</v>
      </c>
      <c r="W24" s="17">
        <f>'TUSD BE'!$W$24*'TUSD BF'!$W$58</f>
        <v>0</v>
      </c>
      <c r="X24" s="17">
        <f>'TUSD BE'!$X$24*'TUSD BF'!$X$58</f>
        <v>0</v>
      </c>
      <c r="Y24" s="17">
        <f>'TUSD BE'!$Y$24*'TUSD BF'!$Y$58</f>
        <v>0</v>
      </c>
      <c r="Z24" s="17">
        <f>'TUSD BE'!$Z$24*'TUSD BF'!$Z$58</f>
        <v>0</v>
      </c>
      <c r="AA24" s="17">
        <f>'TUSD BE'!$AA$24*'TUSD BF'!$AA$58</f>
        <v>0</v>
      </c>
      <c r="AB24" s="17">
        <f>SUM($U$24:$AA$24)</f>
        <v>0</v>
      </c>
      <c r="AC24" s="17">
        <f>'TUSD BE'!$AC$24*'TUSD BF'!$AC$58</f>
        <v>0</v>
      </c>
      <c r="AD24" s="17">
        <f>SUM($AC$24:$AC$24)</f>
        <v>0</v>
      </c>
      <c r="AE24" s="17">
        <f ca="1">$AO$24*$AO$55</f>
        <v>0</v>
      </c>
      <c r="AF24" s="17">
        <f ca="1">$AP$24*$AP$55</f>
        <v>0</v>
      </c>
      <c r="AG24" s="17">
        <f ca="1">SUM($AE$24:$AF$24)</f>
        <v>0</v>
      </c>
      <c r="AH24" s="17">
        <f>'TUSD BE'!$AH$24*'TUSD BF'!$AH$58</f>
        <v>0</v>
      </c>
      <c r="AI24" s="17">
        <f>'TUSD BE'!$AI$24*'TUSD BF'!$AI$58</f>
        <v>0</v>
      </c>
      <c r="AJ24" s="17">
        <f ca="1">'TUSD BE'!$AJ$24*'TUSD BF'!$AJ$58</f>
        <v>0</v>
      </c>
      <c r="AK24" s="17">
        <f ca="1">'TUSD BE'!$AK$24*'TUSD BF'!$AK$58</f>
        <v>0</v>
      </c>
      <c r="AL24" s="17">
        <f ca="1">SUM($AH$24:$AK$24)</f>
        <v>0</v>
      </c>
      <c r="AM24" s="17">
        <f ca="1">SUMIF($L$4:$AL$4,"SUBTOTAL",$L$24:$AL$24)</f>
        <v>0</v>
      </c>
      <c r="AO24" s="29">
        <f ca="1">+'TUSD BE'!$T$24+'TUSD BE'!$AB$24+'TUSD BE'!$AD$24+'TUSD BE'!$AL$24</f>
        <v>479.27009207987442</v>
      </c>
      <c r="AP24" s="29">
        <f ca="1">+'TUSD BE'!$T$24+'TUSD BE'!$AB$24+'TUSD BE'!$AD$24+'TUSD BE'!$AL$24</f>
        <v>479.27009207987442</v>
      </c>
    </row>
    <row r="25" spans="1:42" ht="11.25" customHeight="1" x14ac:dyDescent="0.25">
      <c r="A25" s="94"/>
      <c r="B25" s="94" t="s">
        <v>87</v>
      </c>
      <c r="C25" s="94" t="s">
        <v>24</v>
      </c>
      <c r="D25" s="26" t="s">
        <v>24</v>
      </c>
      <c r="E25" s="26" t="s">
        <v>25</v>
      </c>
      <c r="F25" s="26" t="s">
        <v>25</v>
      </c>
      <c r="G25" s="27" t="s">
        <v>78</v>
      </c>
      <c r="H25" s="27" t="s">
        <v>72</v>
      </c>
      <c r="I25" s="27">
        <f>'MERCADO TUSD'!$U$22</f>
        <v>0</v>
      </c>
      <c r="J25" s="15"/>
      <c r="L25" s="17">
        <f>'TUSD BE'!$L$25*'TUSD BF'!$L$58</f>
        <v>0</v>
      </c>
      <c r="M25" s="17">
        <f>'TUSD BE'!$M$25*'TUSD BF'!$M$58</f>
        <v>0</v>
      </c>
      <c r="N25" s="17">
        <f ca="1">'TUSD BE'!$N$25*'TUSD BF'!$N$58</f>
        <v>0</v>
      </c>
      <c r="O25" s="17">
        <f>'TUSD BE'!$O$25*'TUSD BF'!$O$58</f>
        <v>0</v>
      </c>
      <c r="P25" s="17">
        <f>'TUSD BE'!$P$25*'TUSD BF'!$P$58</f>
        <v>0</v>
      </c>
      <c r="Q25" s="17">
        <f>'TUSD BE'!$Q$25*'TUSD BF'!$Q$58</f>
        <v>0</v>
      </c>
      <c r="R25" s="17">
        <f>'TUSD BE'!$R$25*'TUSD BF'!$R$58</f>
        <v>0</v>
      </c>
      <c r="S25" s="17">
        <f>'TUSD BE'!$R$25*'TUSD BF'!$S$58</f>
        <v>0</v>
      </c>
      <c r="T25" s="17">
        <f ca="1">SUM($L$25:$S$25)</f>
        <v>0</v>
      </c>
      <c r="U25" s="17">
        <f>'TUSD BE'!$U$25*'TUSD BF'!$U$58</f>
        <v>0</v>
      </c>
      <c r="V25" s="17">
        <f>'TUSD BE'!$V$25*'TUSD BF'!$V$58</f>
        <v>0</v>
      </c>
      <c r="W25" s="17">
        <f>'TUSD BE'!$W$25*'TUSD BF'!$W$58</f>
        <v>0</v>
      </c>
      <c r="X25" s="17">
        <f>'TUSD BE'!$X$25*'TUSD BF'!$X$58</f>
        <v>0</v>
      </c>
      <c r="Y25" s="17">
        <f>'TUSD BE'!$Y$25*'TUSD BF'!$Y$58</f>
        <v>0</v>
      </c>
      <c r="Z25" s="17">
        <f>'TUSD BE'!$Z$25*'TUSD BF'!$Z$58</f>
        <v>0</v>
      </c>
      <c r="AA25" s="17">
        <f>'TUSD BE'!$AA$25*'TUSD BF'!$AA$58</f>
        <v>0</v>
      </c>
      <c r="AB25" s="17">
        <f>SUM($U$25:$AA$25)</f>
        <v>0</v>
      </c>
      <c r="AC25" s="17">
        <f>'TUSD BE'!$AC$25*'TUSD BF'!$AC$58</f>
        <v>0</v>
      </c>
      <c r="AD25" s="17">
        <f>SUM($AC$25:$AC$25)</f>
        <v>0</v>
      </c>
      <c r="AE25" s="17">
        <f ca="1">$AO$25*$AO$55</f>
        <v>0</v>
      </c>
      <c r="AF25" s="17">
        <f ca="1">$AP$25*$AP$55</f>
        <v>0</v>
      </c>
      <c r="AG25" s="17">
        <f ca="1">SUM($AE$25:$AF$25)</f>
        <v>0</v>
      </c>
      <c r="AH25" s="17">
        <f>'TUSD BE'!$AH$25*'TUSD BF'!$AH$58</f>
        <v>0</v>
      </c>
      <c r="AI25" s="17">
        <f>'TUSD BE'!$AI$25*'TUSD BF'!$AI$58</f>
        <v>0</v>
      </c>
      <c r="AJ25" s="17">
        <f ca="1">'TUSD BE'!$AJ$25*'TUSD BF'!$AJ$58</f>
        <v>0</v>
      </c>
      <c r="AK25" s="17">
        <f ca="1">'TUSD BE'!$AK$25*'TUSD BF'!$AK$58</f>
        <v>0</v>
      </c>
      <c r="AL25" s="17">
        <f ca="1">SUM($AH$25:$AK$25)</f>
        <v>0</v>
      </c>
      <c r="AM25" s="17">
        <f ca="1">SUMIF($L$4:$AL$4,"SUBTOTAL",$L$25:$AL$25)</f>
        <v>0</v>
      </c>
      <c r="AO25" s="29">
        <f ca="1">+'TUSD BE'!$T$25+'TUSD BE'!$AB$25+'TUSD BE'!$AD$25+'TUSD BE'!$AL$25</f>
        <v>583.25330280533854</v>
      </c>
      <c r="AP25" s="29">
        <f ca="1">+'TUSD BE'!$T$25+'TUSD BE'!$AB$25+'TUSD BE'!$AD$25+'TUSD BE'!$AL$25</f>
        <v>583.25330280533854</v>
      </c>
    </row>
    <row r="26" spans="1:42" ht="11.25" customHeight="1" x14ac:dyDescent="0.25">
      <c r="A26" s="94"/>
      <c r="B26" s="94"/>
      <c r="C26" s="94"/>
      <c r="D26" s="26" t="s">
        <v>29</v>
      </c>
      <c r="E26" s="26" t="s">
        <v>25</v>
      </c>
      <c r="F26" s="26" t="s">
        <v>25</v>
      </c>
      <c r="G26" s="27" t="s">
        <v>78</v>
      </c>
      <c r="H26" s="27" t="s">
        <v>72</v>
      </c>
      <c r="I26" s="27">
        <f>'MERCADO TUSD'!$U$23</f>
        <v>0</v>
      </c>
      <c r="J26" s="15"/>
      <c r="L26" s="17">
        <f>'TUSD BE'!$L$26*'TUSD BF'!$L$58</f>
        <v>0</v>
      </c>
      <c r="M26" s="17">
        <f>'TUSD BE'!$M$26*'TUSD BF'!$M$58</f>
        <v>0</v>
      </c>
      <c r="N26" s="17">
        <f ca="1">'TUSD BE'!$N$26*'TUSD BF'!$N$58</f>
        <v>0</v>
      </c>
      <c r="O26" s="17">
        <f>'TUSD BE'!$O$26*'TUSD BF'!$O$58</f>
        <v>0</v>
      </c>
      <c r="P26" s="17">
        <f>'TUSD BE'!$P$26*'TUSD BF'!$P$58</f>
        <v>0</v>
      </c>
      <c r="Q26" s="17">
        <f>'TUSD BE'!$Q$26*'TUSD BF'!$Q$58</f>
        <v>0</v>
      </c>
      <c r="R26" s="17">
        <f>'TUSD BE'!$R$26*'TUSD BF'!$R$58</f>
        <v>0</v>
      </c>
      <c r="S26" s="17">
        <f>'TUSD BE'!$R$26*'TUSD BF'!$S$58</f>
        <v>0</v>
      </c>
      <c r="T26" s="17">
        <f ca="1">SUM($L$26:$S$26)</f>
        <v>0</v>
      </c>
      <c r="U26" s="17">
        <f>'TUSD BE'!$U$26*'TUSD BF'!$U$58</f>
        <v>0</v>
      </c>
      <c r="V26" s="17">
        <f>'TUSD BE'!$V$26*'TUSD BF'!$V$58</f>
        <v>0</v>
      </c>
      <c r="W26" s="17">
        <f>'TUSD BE'!$W$26*'TUSD BF'!$W$58</f>
        <v>0</v>
      </c>
      <c r="X26" s="17">
        <f>'TUSD BE'!$X$26*'TUSD BF'!$X$58</f>
        <v>0</v>
      </c>
      <c r="Y26" s="17">
        <f>'TUSD BE'!$Y$26*'TUSD BF'!$Y$58</f>
        <v>0</v>
      </c>
      <c r="Z26" s="17">
        <f>'TUSD BE'!$Z$26*'TUSD BF'!$Z$58</f>
        <v>0</v>
      </c>
      <c r="AA26" s="17">
        <f>'TUSD BE'!$AA$26*'TUSD BF'!$AA$58</f>
        <v>0</v>
      </c>
      <c r="AB26" s="17">
        <f>SUM($U$26:$AA$26)</f>
        <v>0</v>
      </c>
      <c r="AC26" s="17">
        <f>'TUSD BE'!$AC$26*'TUSD BF'!$AC$58</f>
        <v>0</v>
      </c>
      <c r="AD26" s="17">
        <f>SUM($AC$26:$AC$26)</f>
        <v>0</v>
      </c>
      <c r="AE26" s="17">
        <f ca="1">$AO$26*$AO$55</f>
        <v>0</v>
      </c>
      <c r="AF26" s="17">
        <f ca="1">$AP$26*$AP$55</f>
        <v>0</v>
      </c>
      <c r="AG26" s="17">
        <f ca="1">SUM($AE$26:$AF$26)</f>
        <v>0</v>
      </c>
      <c r="AH26" s="17">
        <f>'TUSD BE'!$AH$26*'TUSD BF'!$AH$58</f>
        <v>0</v>
      </c>
      <c r="AI26" s="17">
        <f>'TUSD BE'!$AI$26*'TUSD BF'!$AI$58</f>
        <v>0</v>
      </c>
      <c r="AJ26" s="17">
        <f ca="1">'TUSD BE'!$AJ$26*'TUSD BF'!$AJ$58</f>
        <v>0</v>
      </c>
      <c r="AK26" s="17">
        <f ca="1">'TUSD BE'!$AK$26*'TUSD BF'!$AK$58</f>
        <v>0</v>
      </c>
      <c r="AL26" s="17">
        <f ca="1">SUM($AH$26:$AK$26)</f>
        <v>0</v>
      </c>
      <c r="AM26" s="17">
        <f ca="1">SUMIF($L$4:$AL$4,"SUBTOTAL",$L$26:$AL$26)</f>
        <v>0</v>
      </c>
      <c r="AO26" s="29">
        <f ca="1">+'TUSD BE'!$T$26+'TUSD BE'!$AB$26+'TUSD BE'!$AD$26+'TUSD BE'!$AL$26</f>
        <v>479.27009207987442</v>
      </c>
      <c r="AP26" s="29">
        <f ca="1">+'TUSD BE'!$T$26+'TUSD BE'!$AB$26+'TUSD BE'!$AD$26+'TUSD BE'!$AL$26</f>
        <v>479.27009207987442</v>
      </c>
    </row>
    <row r="27" spans="1:42" ht="11.25" customHeight="1" x14ac:dyDescent="0.25">
      <c r="A27" s="94"/>
      <c r="B27" s="94"/>
      <c r="C27" s="94"/>
      <c r="D27" s="26" t="s">
        <v>30</v>
      </c>
      <c r="E27" s="26" t="s">
        <v>25</v>
      </c>
      <c r="F27" s="26" t="s">
        <v>25</v>
      </c>
      <c r="G27" s="27" t="s">
        <v>78</v>
      </c>
      <c r="H27" s="27" t="s">
        <v>72</v>
      </c>
      <c r="I27" s="27">
        <f>'MERCADO TUSD'!$U$24</f>
        <v>0</v>
      </c>
      <c r="J27" s="15"/>
      <c r="L27" s="17">
        <f>'TUSD BE'!$L$27*'TUSD BF'!$L$58</f>
        <v>0</v>
      </c>
      <c r="M27" s="17">
        <f>'TUSD BE'!$M$27*'TUSD BF'!$M$58</f>
        <v>0</v>
      </c>
      <c r="N27" s="17">
        <f ca="1">'TUSD BE'!$N$27*'TUSD BF'!$N$58</f>
        <v>0</v>
      </c>
      <c r="O27" s="17">
        <f>'TUSD BE'!$O$27*'TUSD BF'!$O$58</f>
        <v>0</v>
      </c>
      <c r="P27" s="17">
        <f>'TUSD BE'!$P$27*'TUSD BF'!$P$58</f>
        <v>0</v>
      </c>
      <c r="Q27" s="17">
        <f>'TUSD BE'!$Q$27*'TUSD BF'!$Q$58</f>
        <v>0</v>
      </c>
      <c r="R27" s="17">
        <f>'TUSD BE'!$R$27*'TUSD BF'!$R$58</f>
        <v>0</v>
      </c>
      <c r="S27" s="17">
        <f>'TUSD BE'!$R$27*'TUSD BF'!$S$58</f>
        <v>0</v>
      </c>
      <c r="T27" s="17">
        <f ca="1">SUM($L$27:$S$27)</f>
        <v>0</v>
      </c>
      <c r="U27" s="17">
        <f>'TUSD BE'!$U$27*'TUSD BF'!$U$58</f>
        <v>0</v>
      </c>
      <c r="V27" s="17">
        <f>'TUSD BE'!$V$27*'TUSD BF'!$V$58</f>
        <v>0</v>
      </c>
      <c r="W27" s="17">
        <f>'TUSD BE'!$W$27*'TUSD BF'!$W$58</f>
        <v>0</v>
      </c>
      <c r="X27" s="17">
        <f>'TUSD BE'!$X$27*'TUSD BF'!$X$58</f>
        <v>0</v>
      </c>
      <c r="Y27" s="17">
        <f>'TUSD BE'!$Y$27*'TUSD BF'!$Y$58</f>
        <v>0</v>
      </c>
      <c r="Z27" s="17">
        <f>'TUSD BE'!$Z$27*'TUSD BF'!$Z$58</f>
        <v>0</v>
      </c>
      <c r="AA27" s="17">
        <f>'TUSD BE'!$AA$27*'TUSD BF'!$AA$58</f>
        <v>0</v>
      </c>
      <c r="AB27" s="17">
        <f>SUM($U$27:$AA$27)</f>
        <v>0</v>
      </c>
      <c r="AC27" s="17">
        <f>'TUSD BE'!$AC$27*'TUSD BF'!$AC$58</f>
        <v>0</v>
      </c>
      <c r="AD27" s="17">
        <f>SUM($AC$27:$AC$27)</f>
        <v>0</v>
      </c>
      <c r="AE27" s="17">
        <f ca="1">$AO$27*$AO$55</f>
        <v>0</v>
      </c>
      <c r="AF27" s="17">
        <f ca="1">$AP$27*$AP$55</f>
        <v>0</v>
      </c>
      <c r="AG27" s="17">
        <f ca="1">SUM($AE$27:$AF$27)</f>
        <v>0</v>
      </c>
      <c r="AH27" s="17">
        <f>'TUSD BE'!$AH$27*'TUSD BF'!$AH$58</f>
        <v>0</v>
      </c>
      <c r="AI27" s="17">
        <f>'TUSD BE'!$AI$27*'TUSD BF'!$AI$58</f>
        <v>0</v>
      </c>
      <c r="AJ27" s="17">
        <f ca="1">'TUSD BE'!$AJ$27*'TUSD BF'!$AJ$58</f>
        <v>0</v>
      </c>
      <c r="AK27" s="17">
        <f ca="1">'TUSD BE'!$AK$27*'TUSD BF'!$AK$58</f>
        <v>0</v>
      </c>
      <c r="AL27" s="17">
        <f ca="1">SUM($AH$27:$AK$27)</f>
        <v>0</v>
      </c>
      <c r="AM27" s="17">
        <f ca="1">SUMIF($L$4:$AL$4,"SUBTOTAL",$L$27:$AL$27)</f>
        <v>0</v>
      </c>
      <c r="AO27" s="29">
        <f ca="1">+'TUSD BE'!$T$27+'TUSD BE'!$AB$27+'TUSD BE'!$AD$27+'TUSD BE'!$AL$27</f>
        <v>479.27009207987442</v>
      </c>
      <c r="AP27" s="29">
        <f ca="1">+'TUSD BE'!$T$27+'TUSD BE'!$AB$27+'TUSD BE'!$AD$27+'TUSD BE'!$AL$27</f>
        <v>479.27009207987442</v>
      </c>
    </row>
    <row r="28" spans="1:42" ht="11.25" customHeight="1" x14ac:dyDescent="0.25">
      <c r="A28" s="94"/>
      <c r="B28" s="94"/>
      <c r="C28" s="94"/>
      <c r="D28" s="26" t="s">
        <v>31</v>
      </c>
      <c r="E28" s="26" t="s">
        <v>25</v>
      </c>
      <c r="F28" s="26" t="s">
        <v>25</v>
      </c>
      <c r="G28" s="27" t="s">
        <v>78</v>
      </c>
      <c r="H28" s="27" t="s">
        <v>72</v>
      </c>
      <c r="I28" s="27">
        <f>'MERCADO TUSD'!$U$25</f>
        <v>0</v>
      </c>
      <c r="J28" s="15"/>
      <c r="L28" s="17">
        <f>'TUSD BE'!$L$28*'TUSD BF'!$L$58</f>
        <v>0</v>
      </c>
      <c r="M28" s="17">
        <f>'TUSD BE'!$M$28*'TUSD BF'!$M$58</f>
        <v>0</v>
      </c>
      <c r="N28" s="17">
        <f ca="1">'TUSD BE'!$N$28*'TUSD BF'!$N$58</f>
        <v>0</v>
      </c>
      <c r="O28" s="17">
        <f>'TUSD BE'!$O$28*'TUSD BF'!$O$58</f>
        <v>0</v>
      </c>
      <c r="P28" s="17">
        <f>'TUSD BE'!$P$28*'TUSD BF'!$P$58</f>
        <v>0</v>
      </c>
      <c r="Q28" s="17">
        <f>'TUSD BE'!$Q$28*'TUSD BF'!$Q$58</f>
        <v>0</v>
      </c>
      <c r="R28" s="17">
        <f>'TUSD BE'!$R$28*'TUSD BF'!$R$58</f>
        <v>0</v>
      </c>
      <c r="S28" s="17">
        <f>'TUSD BE'!$R$28*'TUSD BF'!$S$58</f>
        <v>0</v>
      </c>
      <c r="T28" s="17">
        <f ca="1">SUM($L$28:$S$28)</f>
        <v>0</v>
      </c>
      <c r="U28" s="17">
        <f>'TUSD BE'!$U$28*'TUSD BF'!$U$58</f>
        <v>0</v>
      </c>
      <c r="V28" s="17">
        <f>'TUSD BE'!$V$28*'TUSD BF'!$V$58</f>
        <v>0</v>
      </c>
      <c r="W28" s="17">
        <f>'TUSD BE'!$W$28*'TUSD BF'!$W$58</f>
        <v>0</v>
      </c>
      <c r="X28" s="17">
        <f>'TUSD BE'!$X$28*'TUSD BF'!$X$58</f>
        <v>0</v>
      </c>
      <c r="Y28" s="17">
        <f>'TUSD BE'!$Y$28*'TUSD BF'!$Y$58</f>
        <v>0</v>
      </c>
      <c r="Z28" s="17">
        <f>'TUSD BE'!$Z$28*'TUSD BF'!$Z$58</f>
        <v>0</v>
      </c>
      <c r="AA28" s="17">
        <f>'TUSD BE'!$AA$28*'TUSD BF'!$AA$58</f>
        <v>0</v>
      </c>
      <c r="AB28" s="17">
        <f>SUM($U$28:$AA$28)</f>
        <v>0</v>
      </c>
      <c r="AC28" s="17">
        <f>'TUSD BE'!$AC$28*'TUSD BF'!$AC$58</f>
        <v>0</v>
      </c>
      <c r="AD28" s="17">
        <f>SUM($AC$28:$AC$28)</f>
        <v>0</v>
      </c>
      <c r="AE28" s="17">
        <f ca="1">$AO$28*$AO$55</f>
        <v>0</v>
      </c>
      <c r="AF28" s="17">
        <f ca="1">$AP$28*$AP$55</f>
        <v>0</v>
      </c>
      <c r="AG28" s="17">
        <f ca="1">SUM($AE$28:$AF$28)</f>
        <v>0</v>
      </c>
      <c r="AH28" s="17">
        <f>'TUSD BE'!$AH$28*'TUSD BF'!$AH$58</f>
        <v>0</v>
      </c>
      <c r="AI28" s="17">
        <f>'TUSD BE'!$AI$28*'TUSD BF'!$AI$58</f>
        <v>0</v>
      </c>
      <c r="AJ28" s="17">
        <f ca="1">'TUSD BE'!$AJ$28*'TUSD BF'!$AJ$58</f>
        <v>0</v>
      </c>
      <c r="AK28" s="17">
        <f ca="1">'TUSD BE'!$AK$28*'TUSD BF'!$AK$58</f>
        <v>0</v>
      </c>
      <c r="AL28" s="17">
        <f ca="1">SUM($AH$28:$AK$28)</f>
        <v>0</v>
      </c>
      <c r="AM28" s="17">
        <f ca="1">SUMIF($L$4:$AL$4,"SUBTOTAL",$L$28:$AL$28)</f>
        <v>0</v>
      </c>
      <c r="AO28" s="29">
        <f ca="1">+'TUSD BE'!$T$28+'TUSD BE'!$AB$28+'TUSD BE'!$AD$28+'TUSD BE'!$AL$28</f>
        <v>479.27009207987442</v>
      </c>
      <c r="AP28" s="29">
        <f ca="1">+'TUSD BE'!$T$28+'TUSD BE'!$AB$28+'TUSD BE'!$AD$28+'TUSD BE'!$AL$28</f>
        <v>479.27009207987442</v>
      </c>
    </row>
    <row r="29" spans="1:42" ht="11.25" customHeight="1" x14ac:dyDescent="0.25">
      <c r="A29" s="94"/>
      <c r="B29" s="94"/>
      <c r="C29" s="94"/>
      <c r="D29" s="26" t="s">
        <v>32</v>
      </c>
      <c r="E29" s="26" t="s">
        <v>25</v>
      </c>
      <c r="F29" s="26" t="s">
        <v>25</v>
      </c>
      <c r="G29" s="27" t="s">
        <v>78</v>
      </c>
      <c r="H29" s="27" t="s">
        <v>72</v>
      </c>
      <c r="I29" s="27">
        <f>'MERCADO TUSD'!$U$26</f>
        <v>0</v>
      </c>
      <c r="J29" s="15"/>
      <c r="L29" s="17">
        <f>'TUSD BE'!$L$29*'TUSD BF'!$L$58</f>
        <v>0</v>
      </c>
      <c r="M29" s="17">
        <f>'TUSD BE'!$M$29*'TUSD BF'!$M$58</f>
        <v>0</v>
      </c>
      <c r="N29" s="17">
        <f ca="1">'TUSD BE'!$N$29*'TUSD BF'!$N$58</f>
        <v>0</v>
      </c>
      <c r="O29" s="17">
        <f>'TUSD BE'!$O$29*'TUSD BF'!$O$58</f>
        <v>0</v>
      </c>
      <c r="P29" s="17">
        <f>'TUSD BE'!$P$29*'TUSD BF'!$P$58</f>
        <v>0</v>
      </c>
      <c r="Q29" s="17">
        <f>'TUSD BE'!$Q$29*'TUSD BF'!$Q$58</f>
        <v>0</v>
      </c>
      <c r="R29" s="17">
        <f>'TUSD BE'!$R$29*'TUSD BF'!$R$58</f>
        <v>0</v>
      </c>
      <c r="S29" s="17">
        <f>'TUSD BE'!$R$29*'TUSD BF'!$S$58</f>
        <v>0</v>
      </c>
      <c r="T29" s="17">
        <f ca="1">SUM($L$29:$S$29)</f>
        <v>0</v>
      </c>
      <c r="U29" s="17">
        <f>'TUSD BE'!$U$29*'TUSD BF'!$U$58</f>
        <v>0</v>
      </c>
      <c r="V29" s="17">
        <f>'TUSD BE'!$V$29*'TUSD BF'!$V$58</f>
        <v>0</v>
      </c>
      <c r="W29" s="17">
        <f>'TUSD BE'!$W$29*'TUSD BF'!$W$58</f>
        <v>0</v>
      </c>
      <c r="X29" s="17">
        <f>'TUSD BE'!$X$29*'TUSD BF'!$X$58</f>
        <v>0</v>
      </c>
      <c r="Y29" s="17">
        <f>'TUSD BE'!$Y$29*'TUSD BF'!$Y$58</f>
        <v>0</v>
      </c>
      <c r="Z29" s="17">
        <f>'TUSD BE'!$Z$29*'TUSD BF'!$Z$58</f>
        <v>0</v>
      </c>
      <c r="AA29" s="17">
        <f>'TUSD BE'!$AA$29*'TUSD BF'!$AA$58</f>
        <v>0</v>
      </c>
      <c r="AB29" s="17">
        <f>SUM($U$29:$AA$29)</f>
        <v>0</v>
      </c>
      <c r="AC29" s="17">
        <f>'TUSD BE'!$AC$29*'TUSD BF'!$AC$58</f>
        <v>0</v>
      </c>
      <c r="AD29" s="17">
        <f>SUM($AC$29:$AC$29)</f>
        <v>0</v>
      </c>
      <c r="AE29" s="17">
        <f ca="1">$AO$29*$AO$55</f>
        <v>0</v>
      </c>
      <c r="AF29" s="17">
        <f ca="1">$AP$29*$AP$55</f>
        <v>0</v>
      </c>
      <c r="AG29" s="17">
        <f ca="1">SUM($AE$29:$AF$29)</f>
        <v>0</v>
      </c>
      <c r="AH29" s="17">
        <f>'TUSD BE'!$AH$29*'TUSD BF'!$AH$58</f>
        <v>0</v>
      </c>
      <c r="AI29" s="17">
        <f>'TUSD BE'!$AI$29*'TUSD BF'!$AI$58</f>
        <v>0</v>
      </c>
      <c r="AJ29" s="17">
        <f ca="1">'TUSD BE'!$AJ$29*'TUSD BF'!$AJ$58</f>
        <v>0</v>
      </c>
      <c r="AK29" s="17">
        <f ca="1">'TUSD BE'!$AK$29*'TUSD BF'!$AK$58</f>
        <v>0</v>
      </c>
      <c r="AL29" s="17">
        <f ca="1">SUM($AH$29:$AK$29)</f>
        <v>0</v>
      </c>
      <c r="AM29" s="17">
        <f ca="1">SUMIF($L$4:$AL$4,"SUBTOTAL",$L$29:$AL$29)</f>
        <v>0</v>
      </c>
      <c r="AO29" s="29">
        <f ca="1">+'TUSD BE'!$T$29+'TUSD BE'!$AB$29+'TUSD BE'!$AD$29+'TUSD BE'!$AL$29</f>
        <v>479.27009207987442</v>
      </c>
      <c r="AP29" s="29">
        <f ca="1">+'TUSD BE'!$T$29+'TUSD BE'!$AB$29+'TUSD BE'!$AD$29+'TUSD BE'!$AL$29</f>
        <v>479.27009207987442</v>
      </c>
    </row>
    <row r="30" spans="1:42" ht="11.25" customHeight="1" x14ac:dyDescent="0.25">
      <c r="A30" s="94" t="s">
        <v>40</v>
      </c>
      <c r="B30" s="94" t="s">
        <v>85</v>
      </c>
      <c r="C30" s="94" t="s">
        <v>41</v>
      </c>
      <c r="D30" s="94" t="s">
        <v>25</v>
      </c>
      <c r="E30" s="94" t="s">
        <v>25</v>
      </c>
      <c r="F30" s="94" t="s">
        <v>25</v>
      </c>
      <c r="G30" s="27" t="s">
        <v>73</v>
      </c>
      <c r="H30" s="27" t="s">
        <v>72</v>
      </c>
      <c r="I30" s="27">
        <f>'MERCADO TUSD'!$U$27</f>
        <v>0</v>
      </c>
      <c r="J30" s="15"/>
      <c r="L30" s="17">
        <f>'TUSD BE'!$L$30*'TUSD BF'!$L$58</f>
        <v>0</v>
      </c>
      <c r="M30" s="17">
        <f>'TUSD BE'!$M$30*'TUSD BF'!$M$58</f>
        <v>0</v>
      </c>
      <c r="N30" s="17">
        <f ca="1">'TUSD BE'!$N$30*'TUSD BF'!$N$58</f>
        <v>0</v>
      </c>
      <c r="O30" s="17">
        <f>'TUSD BE'!$O$30*'TUSD BF'!$O$58</f>
        <v>0</v>
      </c>
      <c r="P30" s="17">
        <f>'TUSD BE'!$P$30*'TUSD BF'!$P$58</f>
        <v>0</v>
      </c>
      <c r="Q30" s="17">
        <f>'TUSD BE'!$Q$30*'TUSD BF'!$Q$58</f>
        <v>0</v>
      </c>
      <c r="R30" s="17">
        <f>'TUSD BE'!$R$30*'TUSD BF'!$R$58</f>
        <v>0</v>
      </c>
      <c r="S30" s="17">
        <f>'TUSD BE'!$R$30*'TUSD BF'!$S$58</f>
        <v>0</v>
      </c>
      <c r="T30" s="17">
        <f ca="1">SUM($L$30:$S$30)</f>
        <v>0</v>
      </c>
      <c r="U30" s="17">
        <f>'TUSD BE'!$U$30*'TUSD BF'!$U$58</f>
        <v>0</v>
      </c>
      <c r="V30" s="17">
        <f>'TUSD BE'!$V$30*'TUSD BF'!$V$58</f>
        <v>0</v>
      </c>
      <c r="W30" s="17">
        <f>'TUSD BE'!$W$30*'TUSD BF'!$W$58</f>
        <v>0</v>
      </c>
      <c r="X30" s="17">
        <f>'TUSD BE'!$X$30*'TUSD BF'!$X$58</f>
        <v>0</v>
      </c>
      <c r="Y30" s="17">
        <f>'TUSD BE'!$Y$30*'TUSD BF'!$Y$58</f>
        <v>0</v>
      </c>
      <c r="Z30" s="17">
        <f>'TUSD BE'!$Z$30*'TUSD BF'!$Z$58</f>
        <v>0</v>
      </c>
      <c r="AA30" s="17">
        <f>'TUSD BE'!$AA$30*'TUSD BF'!$AA$58</f>
        <v>0</v>
      </c>
      <c r="AB30" s="17">
        <f>SUM($U$30:$AA$30)</f>
        <v>0</v>
      </c>
      <c r="AC30" s="17">
        <f>'TUSD BE'!$AC$30*'TUSD BF'!$AC$58</f>
        <v>0</v>
      </c>
      <c r="AD30" s="17">
        <f>SUM($AC$30:$AC$30)</f>
        <v>0</v>
      </c>
      <c r="AE30" s="17">
        <f ca="1">$AO$30*$AO$55</f>
        <v>0</v>
      </c>
      <c r="AF30" s="17">
        <f ca="1">$AP$30*$AP$55</f>
        <v>0</v>
      </c>
      <c r="AG30" s="17">
        <f ca="1">SUM($AE$30:$AF$30)</f>
        <v>0</v>
      </c>
      <c r="AH30" s="17">
        <f>'TUSD BE'!$AH$30*'TUSD BF'!$AH$58</f>
        <v>0</v>
      </c>
      <c r="AI30" s="17">
        <f>'TUSD BE'!$AI$30*'TUSD BF'!$AI$58</f>
        <v>0</v>
      </c>
      <c r="AJ30" s="17">
        <f ca="1">'TUSD BE'!$AJ$30*'TUSD BF'!$AJ$58</f>
        <v>0</v>
      </c>
      <c r="AK30" s="17">
        <f ca="1">'TUSD BE'!$AK$30*'TUSD BF'!$AK$58</f>
        <v>0</v>
      </c>
      <c r="AL30" s="17">
        <f ca="1">SUM($AH$30:$AK$30)</f>
        <v>0</v>
      </c>
      <c r="AM30" s="17">
        <f ca="1">SUMIF($L$4:$AL$4,"SUBTOTAL",$L$30:$AL$30)</f>
        <v>0</v>
      </c>
      <c r="AO30" s="29">
        <f ca="1">+'TUSD BE'!$T$30+'TUSD BE'!$AB$30+'TUSD BE'!$AD$30+'TUSD BE'!$AL$30</f>
        <v>1479.8785180097784</v>
      </c>
      <c r="AP30" s="29">
        <f ca="1">+'TUSD BE'!$T$30+'TUSD BE'!$AB$30+'TUSD BE'!$AD$30+'TUSD BE'!$AL$30</f>
        <v>1479.8785180097784</v>
      </c>
    </row>
    <row r="31" spans="1:42" ht="11.25" customHeight="1" x14ac:dyDescent="0.25">
      <c r="A31" s="94"/>
      <c r="B31" s="94"/>
      <c r="C31" s="94"/>
      <c r="D31" s="94"/>
      <c r="E31" s="94"/>
      <c r="F31" s="94"/>
      <c r="G31" s="27" t="s">
        <v>83</v>
      </c>
      <c r="H31" s="27" t="s">
        <v>72</v>
      </c>
      <c r="I31" s="27">
        <f>'MERCADO TUSD'!$U$28</f>
        <v>0</v>
      </c>
      <c r="J31" s="15"/>
      <c r="L31" s="17">
        <f>'TUSD BE'!$L$31*'TUSD BF'!$L$58</f>
        <v>0</v>
      </c>
      <c r="M31" s="17">
        <f>'TUSD BE'!$M$31*'TUSD BF'!$M$58</f>
        <v>0</v>
      </c>
      <c r="N31" s="17">
        <f ca="1">'TUSD BE'!$N$31*'TUSD BF'!$N$58</f>
        <v>0</v>
      </c>
      <c r="O31" s="17">
        <f>'TUSD BE'!$O$31*'TUSD BF'!$O$58</f>
        <v>0</v>
      </c>
      <c r="P31" s="17">
        <f>'TUSD BE'!$P$31*'TUSD BF'!$P$58</f>
        <v>0</v>
      </c>
      <c r="Q31" s="17">
        <f>'TUSD BE'!$Q$31*'TUSD BF'!$Q$58</f>
        <v>0</v>
      </c>
      <c r="R31" s="17">
        <f>'TUSD BE'!$R$31*'TUSD BF'!$R$58</f>
        <v>0</v>
      </c>
      <c r="S31" s="17">
        <f>'TUSD BE'!$R$31*'TUSD BF'!$S$58</f>
        <v>0</v>
      </c>
      <c r="T31" s="17">
        <f ca="1">SUM($L$31:$S$31)</f>
        <v>0</v>
      </c>
      <c r="U31" s="17">
        <f>'TUSD BE'!$U$31*'TUSD BF'!$U$58</f>
        <v>0</v>
      </c>
      <c r="V31" s="17">
        <f>'TUSD BE'!$V$31*'TUSD BF'!$V$58</f>
        <v>0</v>
      </c>
      <c r="W31" s="17">
        <f>'TUSD BE'!$W$31*'TUSD BF'!$W$58</f>
        <v>0</v>
      </c>
      <c r="X31" s="17">
        <f>'TUSD BE'!$X$31*'TUSD BF'!$X$58</f>
        <v>0</v>
      </c>
      <c r="Y31" s="17">
        <f>'TUSD BE'!$Y$31*'TUSD BF'!$Y$58</f>
        <v>0</v>
      </c>
      <c r="Z31" s="17">
        <f>'TUSD BE'!$Z$31*'TUSD BF'!$Z$58</f>
        <v>0</v>
      </c>
      <c r="AA31" s="17">
        <f>'TUSD BE'!$AA$31*'TUSD BF'!$AA$58</f>
        <v>0</v>
      </c>
      <c r="AB31" s="17">
        <f>SUM($U$31:$AA$31)</f>
        <v>0</v>
      </c>
      <c r="AC31" s="17">
        <f>'TUSD BE'!$AC$31*'TUSD BF'!$AC$58</f>
        <v>0</v>
      </c>
      <c r="AD31" s="17">
        <f>SUM($AC$31:$AC$31)</f>
        <v>0</v>
      </c>
      <c r="AE31" s="17">
        <f ca="1">$AO$31*$AO$55</f>
        <v>0</v>
      </c>
      <c r="AF31" s="17">
        <f ca="1">$AP$31*$AP$55</f>
        <v>0</v>
      </c>
      <c r="AG31" s="17">
        <f ca="1">SUM($AE$31:$AF$31)</f>
        <v>0</v>
      </c>
      <c r="AH31" s="17">
        <f>'TUSD BE'!$AH$31*'TUSD BF'!$AH$58</f>
        <v>0</v>
      </c>
      <c r="AI31" s="17">
        <f>'TUSD BE'!$AI$31*'TUSD BF'!$AI$58</f>
        <v>0</v>
      </c>
      <c r="AJ31" s="17">
        <f ca="1">'TUSD BE'!$AJ$31*'TUSD BF'!$AJ$58</f>
        <v>0</v>
      </c>
      <c r="AK31" s="17">
        <f ca="1">'TUSD BE'!$AK$31*'TUSD BF'!$AK$58</f>
        <v>0</v>
      </c>
      <c r="AL31" s="17">
        <f ca="1">SUM($AH$31:$AK$31)</f>
        <v>0</v>
      </c>
      <c r="AM31" s="17">
        <f ca="1">SUMIF($L$4:$AL$4,"SUBTOTAL",$L$31:$AL$31)</f>
        <v>0</v>
      </c>
      <c r="AO31" s="29">
        <f ca="1">+'TUSD BE'!$T$31+'TUSD BE'!$AB$31+'TUSD BE'!$AD$31+'TUSD BE'!$AL$31</f>
        <v>937.28458775336549</v>
      </c>
      <c r="AP31" s="29">
        <f ca="1">+'TUSD BE'!$T$31+'TUSD BE'!$AB$31+'TUSD BE'!$AD$31+'TUSD BE'!$AL$31</f>
        <v>937.28458775336549</v>
      </c>
    </row>
    <row r="32" spans="1:42" ht="11.25" customHeight="1" x14ac:dyDescent="0.25">
      <c r="A32" s="94"/>
      <c r="B32" s="94"/>
      <c r="C32" s="94"/>
      <c r="D32" s="94"/>
      <c r="E32" s="94"/>
      <c r="F32" s="94"/>
      <c r="G32" s="27" t="s">
        <v>74</v>
      </c>
      <c r="H32" s="27" t="s">
        <v>72</v>
      </c>
      <c r="I32" s="27">
        <f>'MERCADO TUSD'!$U$29</f>
        <v>0</v>
      </c>
      <c r="J32" s="15"/>
      <c r="L32" s="17">
        <f>'TUSD BE'!$L$32*'TUSD BF'!$L$58</f>
        <v>0</v>
      </c>
      <c r="M32" s="17">
        <f>'TUSD BE'!$M$32*'TUSD BF'!$M$58</f>
        <v>0</v>
      </c>
      <c r="N32" s="17">
        <f ca="1">'TUSD BE'!$N$32*'TUSD BF'!$N$58</f>
        <v>0</v>
      </c>
      <c r="O32" s="17">
        <f>'TUSD BE'!$O$32*'TUSD BF'!$O$58</f>
        <v>0</v>
      </c>
      <c r="P32" s="17">
        <f>'TUSD BE'!$P$32*'TUSD BF'!$P$58</f>
        <v>0</v>
      </c>
      <c r="Q32" s="17">
        <f>'TUSD BE'!$Q$32*'TUSD BF'!$Q$58</f>
        <v>0</v>
      </c>
      <c r="R32" s="17">
        <f>'TUSD BE'!$R$32*'TUSD BF'!$R$58</f>
        <v>0</v>
      </c>
      <c r="S32" s="17">
        <f>'TUSD BE'!$R$32*'TUSD BF'!$S$58</f>
        <v>0</v>
      </c>
      <c r="T32" s="17">
        <f ca="1">SUM($L$32:$S$32)</f>
        <v>0</v>
      </c>
      <c r="U32" s="17">
        <f>'TUSD BE'!$U$32*'TUSD BF'!$U$58</f>
        <v>0</v>
      </c>
      <c r="V32" s="17">
        <f>'TUSD BE'!$V$32*'TUSD BF'!$V$58</f>
        <v>0</v>
      </c>
      <c r="W32" s="17">
        <f>'TUSD BE'!$W$32*'TUSD BF'!$W$58</f>
        <v>0</v>
      </c>
      <c r="X32" s="17">
        <f>'TUSD BE'!$X$32*'TUSD BF'!$X$58</f>
        <v>0</v>
      </c>
      <c r="Y32" s="17">
        <f>'TUSD BE'!$Y$32*'TUSD BF'!$Y$58</f>
        <v>0</v>
      </c>
      <c r="Z32" s="17">
        <f>'TUSD BE'!$Z$32*'TUSD BF'!$Z$58</f>
        <v>0</v>
      </c>
      <c r="AA32" s="17">
        <f>'TUSD BE'!$AA$32*'TUSD BF'!$AA$58</f>
        <v>0</v>
      </c>
      <c r="AB32" s="17">
        <f>SUM($U$32:$AA$32)</f>
        <v>0</v>
      </c>
      <c r="AC32" s="17">
        <f>'TUSD BE'!$AC$32*'TUSD BF'!$AC$58</f>
        <v>0</v>
      </c>
      <c r="AD32" s="17">
        <f>SUM($AC$32:$AC$32)</f>
        <v>0</v>
      </c>
      <c r="AE32" s="17">
        <f ca="1">$AO$32*$AO$55</f>
        <v>0</v>
      </c>
      <c r="AF32" s="17">
        <f ca="1">$AP$32*$AP$55</f>
        <v>0</v>
      </c>
      <c r="AG32" s="17">
        <f ca="1">SUM($AE$32:$AF$32)</f>
        <v>0</v>
      </c>
      <c r="AH32" s="17">
        <f>'TUSD BE'!$AH$32*'TUSD BF'!$AH$58</f>
        <v>0</v>
      </c>
      <c r="AI32" s="17">
        <f>'TUSD BE'!$AI$32*'TUSD BF'!$AI$58</f>
        <v>0</v>
      </c>
      <c r="AJ32" s="17">
        <f ca="1">'TUSD BE'!$AJ$32*'TUSD BF'!$AJ$58</f>
        <v>0</v>
      </c>
      <c r="AK32" s="17">
        <f ca="1">'TUSD BE'!$AK$32*'TUSD BF'!$AK$58</f>
        <v>0</v>
      </c>
      <c r="AL32" s="17">
        <f ca="1">SUM($AH$32:$AK$32)</f>
        <v>0</v>
      </c>
      <c r="AM32" s="17">
        <f ca="1">SUMIF($L$4:$AL$4,"SUBTOTAL",$L$32:$AL$32)</f>
        <v>0</v>
      </c>
      <c r="AO32" s="29">
        <f ca="1">+'TUSD BE'!$T$32+'TUSD BE'!$AB$32+'TUSD BE'!$AD$32+'TUSD BE'!$AL$32</f>
        <v>394.69107703249</v>
      </c>
      <c r="AP32" s="29">
        <f ca="1">+'TUSD BE'!$T$32+'TUSD BE'!$AB$32+'TUSD BE'!$AD$32+'TUSD BE'!$AL$32</f>
        <v>394.69107703249</v>
      </c>
    </row>
    <row r="33" spans="1:42" ht="11.25" customHeight="1" x14ac:dyDescent="0.25">
      <c r="A33" s="94"/>
      <c r="B33" s="26" t="s">
        <v>23</v>
      </c>
      <c r="C33" s="26" t="s">
        <v>41</v>
      </c>
      <c r="D33" s="26" t="s">
        <v>25</v>
      </c>
      <c r="E33" s="26" t="s">
        <v>25</v>
      </c>
      <c r="F33" s="26" t="s">
        <v>25</v>
      </c>
      <c r="G33" s="27" t="s">
        <v>78</v>
      </c>
      <c r="H33" s="27" t="s">
        <v>72</v>
      </c>
      <c r="I33" s="27">
        <f>'MERCADO TUSD'!$U$30</f>
        <v>40057.667999999998</v>
      </c>
      <c r="J33" s="15"/>
      <c r="L33" s="17">
        <f>'TUSD BE'!$L$33*'TUSD BF'!$L$58</f>
        <v>0</v>
      </c>
      <c r="M33" s="17">
        <f>'TUSD BE'!$M$33*'TUSD BF'!$M$58</f>
        <v>0</v>
      </c>
      <c r="N33" s="17">
        <f ca="1">'TUSD BE'!$N$33*'TUSD BF'!$N$58</f>
        <v>0</v>
      </c>
      <c r="O33" s="17">
        <f>'TUSD BE'!$O$33*'TUSD BF'!$O$58</f>
        <v>0</v>
      </c>
      <c r="P33" s="17">
        <f>'TUSD BE'!$P$33*'TUSD BF'!$P$58</f>
        <v>0</v>
      </c>
      <c r="Q33" s="17">
        <f>'TUSD BE'!$Q$33*'TUSD BF'!$Q$58</f>
        <v>0</v>
      </c>
      <c r="R33" s="17">
        <f>'TUSD BE'!$R$33*'TUSD BF'!$R$58</f>
        <v>0</v>
      </c>
      <c r="S33" s="17">
        <f>'TUSD BE'!$R$33*'TUSD BF'!$S$58</f>
        <v>0</v>
      </c>
      <c r="T33" s="17">
        <f ca="1">SUM($L$33:$S$33)</f>
        <v>0</v>
      </c>
      <c r="U33" s="17">
        <f>'TUSD BE'!$U$33*'TUSD BF'!$U$58</f>
        <v>0</v>
      </c>
      <c r="V33" s="17">
        <f>'TUSD BE'!$V$33*'TUSD BF'!$V$58</f>
        <v>0</v>
      </c>
      <c r="W33" s="17">
        <f>'TUSD BE'!$W$33*'TUSD BF'!$W$58</f>
        <v>0</v>
      </c>
      <c r="X33" s="17">
        <f>'TUSD BE'!$X$33*'TUSD BF'!$X$58</f>
        <v>0</v>
      </c>
      <c r="Y33" s="17">
        <f>'TUSD BE'!$Y$33*'TUSD BF'!$Y$58</f>
        <v>0</v>
      </c>
      <c r="Z33" s="17">
        <f>'TUSD BE'!$Z$33*'TUSD BF'!$Z$58</f>
        <v>0</v>
      </c>
      <c r="AA33" s="17">
        <f>'TUSD BE'!$AA$33*'TUSD BF'!$AA$58</f>
        <v>0</v>
      </c>
      <c r="AB33" s="17">
        <f>SUM($U$33:$AA$33)</f>
        <v>0</v>
      </c>
      <c r="AC33" s="17">
        <f>'TUSD BE'!$AC$33*'TUSD BF'!$AC$58</f>
        <v>0</v>
      </c>
      <c r="AD33" s="17">
        <f>SUM($AC$33:$AC$33)</f>
        <v>0</v>
      </c>
      <c r="AE33" s="17">
        <f ca="1">$AO$33*$AO$55</f>
        <v>0</v>
      </c>
      <c r="AF33" s="17">
        <f ca="1">$AP$33*$AP$55</f>
        <v>0</v>
      </c>
      <c r="AG33" s="17">
        <f ca="1">SUM($AE$33:$AF$33)</f>
        <v>0</v>
      </c>
      <c r="AH33" s="17">
        <f>'TUSD BE'!$AH$33*'TUSD BF'!$AH$58</f>
        <v>0</v>
      </c>
      <c r="AI33" s="17">
        <f>'TUSD BE'!$AI$33*'TUSD BF'!$AI$58</f>
        <v>0</v>
      </c>
      <c r="AJ33" s="17">
        <f ca="1">'TUSD BE'!$AJ$33*'TUSD BF'!$AJ$58</f>
        <v>0</v>
      </c>
      <c r="AK33" s="17">
        <f ca="1">'TUSD BE'!$AK$33*'TUSD BF'!$AK$58</f>
        <v>0</v>
      </c>
      <c r="AL33" s="17">
        <f ca="1">SUM($AH$33:$AK$33)</f>
        <v>0</v>
      </c>
      <c r="AM33" s="17">
        <f ca="1">SUMIF($L$4:$AL$4,"SUBTOTAL",$L$33:$AL$33)</f>
        <v>0</v>
      </c>
      <c r="AO33" s="29">
        <f ca="1">+'TUSD BE'!$T$33+'TUSD BE'!$AB$33+'TUSD BE'!$AD$33+'TUSD BE'!$AL$33</f>
        <v>583.25330280533854</v>
      </c>
      <c r="AP33" s="29">
        <f ca="1">+'TUSD BE'!$T$33+'TUSD BE'!$AB$33+'TUSD BE'!$AD$33+'TUSD BE'!$AL$33</f>
        <v>583.25330280533854</v>
      </c>
    </row>
    <row r="34" spans="1:42" ht="11.25" customHeight="1" x14ac:dyDescent="0.25">
      <c r="A34" s="94"/>
      <c r="B34" s="94" t="s">
        <v>85</v>
      </c>
      <c r="C34" s="94" t="s">
        <v>41</v>
      </c>
      <c r="D34" s="94" t="s">
        <v>88</v>
      </c>
      <c r="E34" s="94" t="s">
        <v>25</v>
      </c>
      <c r="F34" s="94" t="s">
        <v>25</v>
      </c>
      <c r="G34" s="27" t="s">
        <v>73</v>
      </c>
      <c r="H34" s="27" t="s">
        <v>72</v>
      </c>
      <c r="I34" s="27">
        <f>'MERCADO TUSD'!$U$31</f>
        <v>0</v>
      </c>
      <c r="J34" s="15"/>
      <c r="L34" s="17">
        <f>'TUSD BE'!$L$34*'TUSD BF'!$L$58</f>
        <v>0</v>
      </c>
      <c r="M34" s="17">
        <f>'TUSD BE'!$M$34*'TUSD BF'!$M$58</f>
        <v>0</v>
      </c>
      <c r="N34" s="17">
        <f ca="1">'TUSD BE'!$N$34*'TUSD BF'!$N$58</f>
        <v>0</v>
      </c>
      <c r="O34" s="17">
        <f>'TUSD BE'!$O$34*'TUSD BF'!$O$58</f>
        <v>0</v>
      </c>
      <c r="P34" s="17">
        <f>'TUSD BE'!$P$34*'TUSD BF'!$P$58</f>
        <v>0</v>
      </c>
      <c r="Q34" s="17">
        <f>'TUSD BE'!$Q$34*'TUSD BF'!$Q$58</f>
        <v>0</v>
      </c>
      <c r="R34" s="17">
        <f>'TUSD BE'!$R$34*'TUSD BF'!$R$58</f>
        <v>0</v>
      </c>
      <c r="S34" s="17">
        <f>'TUSD BE'!$R$34*'TUSD BF'!$S$58</f>
        <v>0</v>
      </c>
      <c r="T34" s="17">
        <f ca="1">SUM($L$34:$S$34)</f>
        <v>0</v>
      </c>
      <c r="U34" s="17">
        <f>'TUSD BE'!$U$34*'TUSD BF'!$U$58</f>
        <v>0</v>
      </c>
      <c r="V34" s="17">
        <f>'TUSD BE'!$V$34*'TUSD BF'!$V$58</f>
        <v>0</v>
      </c>
      <c r="W34" s="17">
        <f>'TUSD BE'!$W$34*'TUSD BF'!$W$58</f>
        <v>0</v>
      </c>
      <c r="X34" s="17">
        <f>'TUSD BE'!$X$34*'TUSD BF'!$X$58</f>
        <v>0</v>
      </c>
      <c r="Y34" s="17">
        <f>'TUSD BE'!$Y$34*'TUSD BF'!$Y$58</f>
        <v>0</v>
      </c>
      <c r="Z34" s="17">
        <f>'TUSD BE'!$Z$34*'TUSD BF'!$Z$58</f>
        <v>0</v>
      </c>
      <c r="AA34" s="17">
        <f>'TUSD BE'!$AA$34*'TUSD BF'!$AA$58</f>
        <v>0</v>
      </c>
      <c r="AB34" s="17">
        <f>SUM($U$34:$AA$34)</f>
        <v>0</v>
      </c>
      <c r="AC34" s="17">
        <f>'TUSD BE'!$AC$34*'TUSD BF'!$AC$58</f>
        <v>0</v>
      </c>
      <c r="AD34" s="17">
        <f>SUM($AC$34:$AC$34)</f>
        <v>0</v>
      </c>
      <c r="AE34" s="17">
        <f ca="1">$AO$34*$AO$55</f>
        <v>0</v>
      </c>
      <c r="AF34" s="17">
        <f ca="1">$AP$34*$AP$55</f>
        <v>0</v>
      </c>
      <c r="AG34" s="17">
        <f ca="1">SUM($AE$34:$AF$34)</f>
        <v>0</v>
      </c>
      <c r="AH34" s="17">
        <f>'TUSD BE'!$AH$34*'TUSD BF'!$AH$58</f>
        <v>0</v>
      </c>
      <c r="AI34" s="17">
        <f>'TUSD BE'!$AI$34*'TUSD BF'!$AI$58</f>
        <v>0</v>
      </c>
      <c r="AJ34" s="17">
        <f ca="1">'TUSD BE'!$AJ$34*'TUSD BF'!$AJ$58</f>
        <v>0</v>
      </c>
      <c r="AK34" s="17">
        <f ca="1">'TUSD BE'!$AK$34*'TUSD BF'!$AK$58</f>
        <v>0</v>
      </c>
      <c r="AL34" s="17">
        <f ca="1">SUM($AH$34:$AK$34)</f>
        <v>0</v>
      </c>
      <c r="AM34" s="17">
        <f ca="1">SUMIF($L$4:$AL$4,"SUBTOTAL",$L$34:$AL$34)</f>
        <v>0</v>
      </c>
      <c r="AO34" s="29">
        <f ca="1">+'TUSD BE'!$T$34+'TUSD BE'!$AB$34+'TUSD BE'!$AD$34+'TUSD BE'!$AL$34</f>
        <v>1479.8785180097784</v>
      </c>
      <c r="AP34" s="29">
        <f ca="1">+'TUSD BE'!$T$34+'TUSD BE'!$AB$34+'TUSD BE'!$AD$34+'TUSD BE'!$AL$34</f>
        <v>1479.8785180097784</v>
      </c>
    </row>
    <row r="35" spans="1:42" ht="11.25" customHeight="1" x14ac:dyDescent="0.25">
      <c r="A35" s="94"/>
      <c r="B35" s="94"/>
      <c r="C35" s="94"/>
      <c r="D35" s="94"/>
      <c r="E35" s="94"/>
      <c r="F35" s="94"/>
      <c r="G35" s="27" t="s">
        <v>83</v>
      </c>
      <c r="H35" s="27" t="s">
        <v>72</v>
      </c>
      <c r="I35" s="27">
        <f>'MERCADO TUSD'!$U$32</f>
        <v>0</v>
      </c>
      <c r="J35" s="15"/>
      <c r="L35" s="17">
        <f>'TUSD BE'!$L$35*'TUSD BF'!$L$58</f>
        <v>0</v>
      </c>
      <c r="M35" s="17">
        <f>'TUSD BE'!$M$35*'TUSD BF'!$M$58</f>
        <v>0</v>
      </c>
      <c r="N35" s="17">
        <f ca="1">'TUSD BE'!$N$35*'TUSD BF'!$N$58</f>
        <v>0</v>
      </c>
      <c r="O35" s="17">
        <f>'TUSD BE'!$O$35*'TUSD BF'!$O$58</f>
        <v>0</v>
      </c>
      <c r="P35" s="17">
        <f>'TUSD BE'!$P$35*'TUSD BF'!$P$58</f>
        <v>0</v>
      </c>
      <c r="Q35" s="17">
        <f>'TUSD BE'!$Q$35*'TUSD BF'!$Q$58</f>
        <v>0</v>
      </c>
      <c r="R35" s="17">
        <f>'TUSD BE'!$R$35*'TUSD BF'!$R$58</f>
        <v>0</v>
      </c>
      <c r="S35" s="17">
        <f>'TUSD BE'!$R$35*'TUSD BF'!$S$58</f>
        <v>0</v>
      </c>
      <c r="T35" s="17">
        <f ca="1">SUM($L$35:$S$35)</f>
        <v>0</v>
      </c>
      <c r="U35" s="17">
        <f>'TUSD BE'!$U$35*'TUSD BF'!$U$58</f>
        <v>0</v>
      </c>
      <c r="V35" s="17">
        <f>'TUSD BE'!$V$35*'TUSD BF'!$V$58</f>
        <v>0</v>
      </c>
      <c r="W35" s="17">
        <f>'TUSD BE'!$W$35*'TUSD BF'!$W$58</f>
        <v>0</v>
      </c>
      <c r="X35" s="17">
        <f>'TUSD BE'!$X$35*'TUSD BF'!$X$58</f>
        <v>0</v>
      </c>
      <c r="Y35" s="17">
        <f>'TUSD BE'!$Y$35*'TUSD BF'!$Y$58</f>
        <v>0</v>
      </c>
      <c r="Z35" s="17">
        <f>'TUSD BE'!$Z$35*'TUSD BF'!$Z$58</f>
        <v>0</v>
      </c>
      <c r="AA35" s="17">
        <f>'TUSD BE'!$AA$35*'TUSD BF'!$AA$58</f>
        <v>0</v>
      </c>
      <c r="AB35" s="17">
        <f>SUM($U$35:$AA$35)</f>
        <v>0</v>
      </c>
      <c r="AC35" s="17">
        <f>'TUSD BE'!$AC$35*'TUSD BF'!$AC$58</f>
        <v>0</v>
      </c>
      <c r="AD35" s="17">
        <f>SUM($AC$35:$AC$35)</f>
        <v>0</v>
      </c>
      <c r="AE35" s="17">
        <f ca="1">$AO$35*$AO$55</f>
        <v>0</v>
      </c>
      <c r="AF35" s="17">
        <f ca="1">$AP$35*$AP$55</f>
        <v>0</v>
      </c>
      <c r="AG35" s="17">
        <f ca="1">SUM($AE$35:$AF$35)</f>
        <v>0</v>
      </c>
      <c r="AH35" s="17">
        <f>'TUSD BE'!$AH$35*'TUSD BF'!$AH$58</f>
        <v>0</v>
      </c>
      <c r="AI35" s="17">
        <f>'TUSD BE'!$AI$35*'TUSD BF'!$AI$58</f>
        <v>0</v>
      </c>
      <c r="AJ35" s="17">
        <f ca="1">'TUSD BE'!$AJ$35*'TUSD BF'!$AJ$58</f>
        <v>0</v>
      </c>
      <c r="AK35" s="17">
        <f ca="1">'TUSD BE'!$AK$35*'TUSD BF'!$AK$58</f>
        <v>0</v>
      </c>
      <c r="AL35" s="17">
        <f ca="1">SUM($AH$35:$AK$35)</f>
        <v>0</v>
      </c>
      <c r="AM35" s="17">
        <f ca="1">SUMIF($L$4:$AL$4,"SUBTOTAL",$L$35:$AL$35)</f>
        <v>0</v>
      </c>
      <c r="AO35" s="29">
        <f ca="1">+'TUSD BE'!$T$35+'TUSD BE'!$AB$35+'TUSD BE'!$AD$35+'TUSD BE'!$AL$35</f>
        <v>937.28458775336549</v>
      </c>
      <c r="AP35" s="29">
        <f ca="1">+'TUSD BE'!$T$35+'TUSD BE'!$AB$35+'TUSD BE'!$AD$35+'TUSD BE'!$AL$35</f>
        <v>937.28458775336549</v>
      </c>
    </row>
    <row r="36" spans="1:42" ht="11.25" customHeight="1" x14ac:dyDescent="0.25">
      <c r="A36" s="94"/>
      <c r="B36" s="94"/>
      <c r="C36" s="94"/>
      <c r="D36" s="94"/>
      <c r="E36" s="94"/>
      <c r="F36" s="94"/>
      <c r="G36" s="27" t="s">
        <v>74</v>
      </c>
      <c r="H36" s="27" t="s">
        <v>72</v>
      </c>
      <c r="I36" s="27">
        <f>'MERCADO TUSD'!$U$33</f>
        <v>0</v>
      </c>
      <c r="J36" s="15"/>
      <c r="L36" s="17">
        <f>'TUSD BE'!$L$36*'TUSD BF'!$L$58</f>
        <v>0</v>
      </c>
      <c r="M36" s="17">
        <f>'TUSD BE'!$M$36*'TUSD BF'!$M$58</f>
        <v>0</v>
      </c>
      <c r="N36" s="17">
        <f ca="1">'TUSD BE'!$N$36*'TUSD BF'!$N$58</f>
        <v>0</v>
      </c>
      <c r="O36" s="17">
        <f>'TUSD BE'!$O$36*'TUSD BF'!$O$58</f>
        <v>0</v>
      </c>
      <c r="P36" s="17">
        <f>'TUSD BE'!$P$36*'TUSD BF'!$P$58</f>
        <v>0</v>
      </c>
      <c r="Q36" s="17">
        <f>'TUSD BE'!$Q$36*'TUSD BF'!$Q$58</f>
        <v>0</v>
      </c>
      <c r="R36" s="17">
        <f>'TUSD BE'!$R$36*'TUSD BF'!$R$58</f>
        <v>0</v>
      </c>
      <c r="S36" s="17">
        <f>'TUSD BE'!$R$36*'TUSD BF'!$S$58</f>
        <v>0</v>
      </c>
      <c r="T36" s="17">
        <f ca="1">SUM($L$36:$S$36)</f>
        <v>0</v>
      </c>
      <c r="U36" s="17">
        <f>'TUSD BE'!$U$36*'TUSD BF'!$U$58</f>
        <v>0</v>
      </c>
      <c r="V36" s="17">
        <f>'TUSD BE'!$V$36*'TUSD BF'!$V$58</f>
        <v>0</v>
      </c>
      <c r="W36" s="17">
        <f>'TUSD BE'!$W$36*'TUSD BF'!$W$58</f>
        <v>0</v>
      </c>
      <c r="X36" s="17">
        <f>'TUSD BE'!$X$36*'TUSD BF'!$X$58</f>
        <v>0</v>
      </c>
      <c r="Y36" s="17">
        <f>'TUSD BE'!$Y$36*'TUSD BF'!$Y$58</f>
        <v>0</v>
      </c>
      <c r="Z36" s="17">
        <f>'TUSD BE'!$Z$36*'TUSD BF'!$Z$58</f>
        <v>0</v>
      </c>
      <c r="AA36" s="17">
        <f>'TUSD BE'!$AA$36*'TUSD BF'!$AA$58</f>
        <v>0</v>
      </c>
      <c r="AB36" s="17">
        <f>SUM($U$36:$AA$36)</f>
        <v>0</v>
      </c>
      <c r="AC36" s="17">
        <f>'TUSD BE'!$AC$36*'TUSD BF'!$AC$58</f>
        <v>0</v>
      </c>
      <c r="AD36" s="17">
        <f>SUM($AC$36:$AC$36)</f>
        <v>0</v>
      </c>
      <c r="AE36" s="17">
        <f ca="1">$AO$36*$AO$55</f>
        <v>0</v>
      </c>
      <c r="AF36" s="17">
        <f ca="1">$AP$36*$AP$55</f>
        <v>0</v>
      </c>
      <c r="AG36" s="17">
        <f ca="1">SUM($AE$36:$AF$36)</f>
        <v>0</v>
      </c>
      <c r="AH36" s="17">
        <f>'TUSD BE'!$AH$36*'TUSD BF'!$AH$58</f>
        <v>0</v>
      </c>
      <c r="AI36" s="17">
        <f>'TUSD BE'!$AI$36*'TUSD BF'!$AI$58</f>
        <v>0</v>
      </c>
      <c r="AJ36" s="17">
        <f ca="1">'TUSD BE'!$AJ$36*'TUSD BF'!$AJ$58</f>
        <v>0</v>
      </c>
      <c r="AK36" s="17">
        <f ca="1">'TUSD BE'!$AK$36*'TUSD BF'!$AK$58</f>
        <v>0</v>
      </c>
      <c r="AL36" s="17">
        <f ca="1">SUM($AH$36:$AK$36)</f>
        <v>0</v>
      </c>
      <c r="AM36" s="17">
        <f ca="1">SUMIF($L$4:$AL$4,"SUBTOTAL",$L$36:$AL$36)</f>
        <v>0</v>
      </c>
      <c r="AO36" s="29">
        <f ca="1">+'TUSD BE'!$T$36+'TUSD BE'!$AB$36+'TUSD BE'!$AD$36+'TUSD BE'!$AL$36</f>
        <v>394.69107703249</v>
      </c>
      <c r="AP36" s="29">
        <f ca="1">+'TUSD BE'!$T$36+'TUSD BE'!$AB$36+'TUSD BE'!$AD$36+'TUSD BE'!$AL$36</f>
        <v>394.69107703249</v>
      </c>
    </row>
    <row r="37" spans="1:42" ht="11.25" customHeight="1" x14ac:dyDescent="0.25">
      <c r="A37" s="94"/>
      <c r="B37" s="26" t="s">
        <v>23</v>
      </c>
      <c r="C37" s="26" t="s">
        <v>41</v>
      </c>
      <c r="D37" s="26" t="s">
        <v>88</v>
      </c>
      <c r="E37" s="26" t="s">
        <v>25</v>
      </c>
      <c r="F37" s="26" t="s">
        <v>25</v>
      </c>
      <c r="G37" s="27" t="s">
        <v>78</v>
      </c>
      <c r="H37" s="27" t="s">
        <v>72</v>
      </c>
      <c r="I37" s="27">
        <f>'MERCADO TUSD'!$U$34</f>
        <v>0</v>
      </c>
      <c r="J37" s="15"/>
      <c r="L37" s="17">
        <f>'TUSD BE'!$L$37*'TUSD BF'!$L$58</f>
        <v>0</v>
      </c>
      <c r="M37" s="17">
        <f>'TUSD BE'!$M$37*'TUSD BF'!$M$58</f>
        <v>0</v>
      </c>
      <c r="N37" s="17">
        <f ca="1">'TUSD BE'!$N$37*'TUSD BF'!$N$58</f>
        <v>0</v>
      </c>
      <c r="O37" s="17">
        <f>'TUSD BE'!$O$37*'TUSD BF'!$O$58</f>
        <v>0</v>
      </c>
      <c r="P37" s="17">
        <f>'TUSD BE'!$P$37*'TUSD BF'!$P$58</f>
        <v>0</v>
      </c>
      <c r="Q37" s="17">
        <f>'TUSD BE'!$Q$37*'TUSD BF'!$Q$58</f>
        <v>0</v>
      </c>
      <c r="R37" s="17">
        <f>'TUSD BE'!$R$37*'TUSD BF'!$R$58</f>
        <v>0</v>
      </c>
      <c r="S37" s="17">
        <f>'TUSD BE'!$R$37*'TUSD BF'!$S$58</f>
        <v>0</v>
      </c>
      <c r="T37" s="17">
        <f ca="1">SUM($L$37:$S$37)</f>
        <v>0</v>
      </c>
      <c r="U37" s="17">
        <f>'TUSD BE'!$U$37*'TUSD BF'!$U$58</f>
        <v>0</v>
      </c>
      <c r="V37" s="17">
        <f>'TUSD BE'!$V$37*'TUSD BF'!$V$58</f>
        <v>0</v>
      </c>
      <c r="W37" s="17">
        <f>'TUSD BE'!$W$37*'TUSD BF'!$W$58</f>
        <v>0</v>
      </c>
      <c r="X37" s="17">
        <f>'TUSD BE'!$X$37*'TUSD BF'!$X$58</f>
        <v>0</v>
      </c>
      <c r="Y37" s="17">
        <f>'TUSD BE'!$Y$37*'TUSD BF'!$Y$58</f>
        <v>0</v>
      </c>
      <c r="Z37" s="17">
        <f>'TUSD BE'!$Z$37*'TUSD BF'!$Z$58</f>
        <v>0</v>
      </c>
      <c r="AA37" s="17">
        <f>'TUSD BE'!$AA$37*'TUSD BF'!$AA$58</f>
        <v>0</v>
      </c>
      <c r="AB37" s="17">
        <f>SUM($U$37:$AA$37)</f>
        <v>0</v>
      </c>
      <c r="AC37" s="17">
        <f>'TUSD BE'!$AC$37*'TUSD BF'!$AC$58</f>
        <v>0</v>
      </c>
      <c r="AD37" s="17">
        <f>SUM($AC$37:$AC$37)</f>
        <v>0</v>
      </c>
      <c r="AE37" s="17">
        <f ca="1">$AO$37*$AO$55</f>
        <v>0</v>
      </c>
      <c r="AF37" s="17">
        <f ca="1">$AP$37*$AP$55</f>
        <v>0</v>
      </c>
      <c r="AG37" s="17">
        <f ca="1">SUM($AE$37:$AF$37)</f>
        <v>0</v>
      </c>
      <c r="AH37" s="17">
        <f>'TUSD BE'!$AH$37*'TUSD BF'!$AH$58</f>
        <v>0</v>
      </c>
      <c r="AI37" s="17">
        <f>'TUSD BE'!$AI$37*'TUSD BF'!$AI$58</f>
        <v>0</v>
      </c>
      <c r="AJ37" s="17">
        <f ca="1">'TUSD BE'!$AJ$37*'TUSD BF'!$AJ$58</f>
        <v>0</v>
      </c>
      <c r="AK37" s="17">
        <f ca="1">'TUSD BE'!$AK$37*'TUSD BF'!$AK$58</f>
        <v>0</v>
      </c>
      <c r="AL37" s="17">
        <f ca="1">SUM($AH$37:$AK$37)</f>
        <v>0</v>
      </c>
      <c r="AM37" s="17">
        <f ca="1">SUMIF($L$4:$AL$4,"SUBTOTAL",$L$37:$AL$37)</f>
        <v>0</v>
      </c>
      <c r="AO37" s="29">
        <f ca="1">+'TUSD BE'!$T$37+'TUSD BE'!$AB$37+'TUSD BE'!$AD$37+'TUSD BE'!$AL$37</f>
        <v>583.25330280533854</v>
      </c>
      <c r="AP37" s="29">
        <f ca="1">+'TUSD BE'!$T$37+'TUSD BE'!$AB$37+'TUSD BE'!$AD$37+'TUSD BE'!$AL$37</f>
        <v>583.25330280533854</v>
      </c>
    </row>
    <row r="38" spans="1:42" ht="11.25" customHeight="1" x14ac:dyDescent="0.25">
      <c r="A38" s="94"/>
      <c r="B38" s="94" t="s">
        <v>85</v>
      </c>
      <c r="C38" s="94" t="s">
        <v>41</v>
      </c>
      <c r="D38" s="94" t="s">
        <v>89</v>
      </c>
      <c r="E38" s="94" t="s">
        <v>25</v>
      </c>
      <c r="F38" s="94" t="s">
        <v>25</v>
      </c>
      <c r="G38" s="27" t="s">
        <v>73</v>
      </c>
      <c r="H38" s="27" t="s">
        <v>72</v>
      </c>
      <c r="I38" s="27">
        <f>'MERCADO TUSD'!$U$35</f>
        <v>0</v>
      </c>
      <c r="J38" s="15"/>
      <c r="L38" s="17">
        <f>'TUSD BE'!$L$38*'TUSD BF'!$L$58</f>
        <v>0</v>
      </c>
      <c r="M38" s="17">
        <f>'TUSD BE'!$M$38*'TUSD BF'!$M$58</f>
        <v>0</v>
      </c>
      <c r="N38" s="17">
        <f ca="1">'TUSD BE'!$N$38*'TUSD BF'!$N$58</f>
        <v>0</v>
      </c>
      <c r="O38" s="17">
        <f>'TUSD BE'!$O$38*'TUSD BF'!$O$58</f>
        <v>0</v>
      </c>
      <c r="P38" s="17">
        <f>'TUSD BE'!$P$38*'TUSD BF'!$P$58</f>
        <v>0</v>
      </c>
      <c r="Q38" s="17">
        <f>'TUSD BE'!$Q$38*'TUSD BF'!$Q$58</f>
        <v>0</v>
      </c>
      <c r="R38" s="17">
        <f>'TUSD BE'!$R$38*'TUSD BF'!$R$58</f>
        <v>0</v>
      </c>
      <c r="S38" s="17">
        <f>'TUSD BE'!$R$38*'TUSD BF'!$S$58</f>
        <v>0</v>
      </c>
      <c r="T38" s="17">
        <f ca="1">SUM($L$38:$S$38)</f>
        <v>0</v>
      </c>
      <c r="U38" s="17">
        <f>'TUSD BE'!$U$38*'TUSD BF'!$U$58</f>
        <v>0</v>
      </c>
      <c r="V38" s="17">
        <f>'TUSD BE'!$V$38*'TUSD BF'!$V$58</f>
        <v>0</v>
      </c>
      <c r="W38" s="17">
        <f>'TUSD BE'!$W$38*'TUSD BF'!$W$58</f>
        <v>0</v>
      </c>
      <c r="X38" s="17">
        <f>'TUSD BE'!$X$38*'TUSD BF'!$X$58</f>
        <v>0</v>
      </c>
      <c r="Y38" s="17">
        <f>'TUSD BE'!$Y$38*'TUSD BF'!$Y$58</f>
        <v>0</v>
      </c>
      <c r="Z38" s="17">
        <f>'TUSD BE'!$Z$38*'TUSD BF'!$Z$58</f>
        <v>0</v>
      </c>
      <c r="AA38" s="17">
        <f>'TUSD BE'!$AA$38*'TUSD BF'!$AA$58</f>
        <v>0</v>
      </c>
      <c r="AB38" s="17">
        <f>SUM($U$38:$AA$38)</f>
        <v>0</v>
      </c>
      <c r="AC38" s="17">
        <f>'TUSD BE'!$AC$38*'TUSD BF'!$AC$58</f>
        <v>0</v>
      </c>
      <c r="AD38" s="17">
        <f>SUM($AC$38:$AC$38)</f>
        <v>0</v>
      </c>
      <c r="AE38" s="17">
        <f ca="1">$AO$38*$AO$55</f>
        <v>0</v>
      </c>
      <c r="AF38" s="17">
        <f ca="1">$AP$38*$AP$55</f>
        <v>0</v>
      </c>
      <c r="AG38" s="17">
        <f ca="1">SUM($AE$38:$AF$38)</f>
        <v>0</v>
      </c>
      <c r="AH38" s="17">
        <f>'TUSD BE'!$AH$38*'TUSD BF'!$AH$58</f>
        <v>0</v>
      </c>
      <c r="AI38" s="17">
        <f>'TUSD BE'!$AI$38*'TUSD BF'!$AI$58</f>
        <v>0</v>
      </c>
      <c r="AJ38" s="17">
        <f ca="1">'TUSD BE'!$AJ$38*'TUSD BF'!$AJ$58</f>
        <v>0</v>
      </c>
      <c r="AK38" s="17">
        <f ca="1">'TUSD BE'!$AK$38*'TUSD BF'!$AK$58</f>
        <v>0</v>
      </c>
      <c r="AL38" s="17">
        <f ca="1">SUM($AH$38:$AK$38)</f>
        <v>0</v>
      </c>
      <c r="AM38" s="17">
        <f ca="1">SUMIF($L$4:$AL$4,"SUBTOTAL",$L$38:$AL$38)</f>
        <v>0</v>
      </c>
      <c r="AO38" s="29">
        <f ca="1">+'TUSD BE'!$T$38+'TUSD BE'!$AB$38+'TUSD BE'!$AD$38+'TUSD BE'!$AL$38</f>
        <v>1479.8785180097784</v>
      </c>
      <c r="AP38" s="29">
        <f ca="1">+'TUSD BE'!$T$38+'TUSD BE'!$AB$38+'TUSD BE'!$AD$38+'TUSD BE'!$AL$38</f>
        <v>1479.8785180097784</v>
      </c>
    </row>
    <row r="39" spans="1:42" ht="11.25" customHeight="1" x14ac:dyDescent="0.25">
      <c r="A39" s="94"/>
      <c r="B39" s="94"/>
      <c r="C39" s="94"/>
      <c r="D39" s="94"/>
      <c r="E39" s="94"/>
      <c r="F39" s="94"/>
      <c r="G39" s="27" t="s">
        <v>83</v>
      </c>
      <c r="H39" s="27" t="s">
        <v>72</v>
      </c>
      <c r="I39" s="27">
        <f>'MERCADO TUSD'!$U$36</f>
        <v>0</v>
      </c>
      <c r="J39" s="15"/>
      <c r="L39" s="17">
        <f>'TUSD BE'!$L$39*'TUSD BF'!$L$58</f>
        <v>0</v>
      </c>
      <c r="M39" s="17">
        <f>'TUSD BE'!$M$39*'TUSD BF'!$M$58</f>
        <v>0</v>
      </c>
      <c r="N39" s="17">
        <f ca="1">'TUSD BE'!$N$39*'TUSD BF'!$N$58</f>
        <v>0</v>
      </c>
      <c r="O39" s="17">
        <f>'TUSD BE'!$O$39*'TUSD BF'!$O$58</f>
        <v>0</v>
      </c>
      <c r="P39" s="17">
        <f>'TUSD BE'!$P$39*'TUSD BF'!$P$58</f>
        <v>0</v>
      </c>
      <c r="Q39" s="17">
        <f>'TUSD BE'!$Q$39*'TUSD BF'!$Q$58</f>
        <v>0</v>
      </c>
      <c r="R39" s="17">
        <f>'TUSD BE'!$R$39*'TUSD BF'!$R$58</f>
        <v>0</v>
      </c>
      <c r="S39" s="17">
        <f>'TUSD BE'!$R$39*'TUSD BF'!$S$58</f>
        <v>0</v>
      </c>
      <c r="T39" s="17">
        <f ca="1">SUM($L$39:$S$39)</f>
        <v>0</v>
      </c>
      <c r="U39" s="17">
        <f>'TUSD BE'!$U$39*'TUSD BF'!$U$58</f>
        <v>0</v>
      </c>
      <c r="V39" s="17">
        <f>'TUSD BE'!$V$39*'TUSD BF'!$V$58</f>
        <v>0</v>
      </c>
      <c r="W39" s="17">
        <f>'TUSD BE'!$W$39*'TUSD BF'!$W$58</f>
        <v>0</v>
      </c>
      <c r="X39" s="17">
        <f>'TUSD BE'!$X$39*'TUSD BF'!$X$58</f>
        <v>0</v>
      </c>
      <c r="Y39" s="17">
        <f>'TUSD BE'!$Y$39*'TUSD BF'!$Y$58</f>
        <v>0</v>
      </c>
      <c r="Z39" s="17">
        <f>'TUSD BE'!$Z$39*'TUSD BF'!$Z$58</f>
        <v>0</v>
      </c>
      <c r="AA39" s="17">
        <f>'TUSD BE'!$AA$39*'TUSD BF'!$AA$58</f>
        <v>0</v>
      </c>
      <c r="AB39" s="17">
        <f>SUM($U$39:$AA$39)</f>
        <v>0</v>
      </c>
      <c r="AC39" s="17">
        <f>'TUSD BE'!$AC$39*'TUSD BF'!$AC$58</f>
        <v>0</v>
      </c>
      <c r="AD39" s="17">
        <f>SUM($AC$39:$AC$39)</f>
        <v>0</v>
      </c>
      <c r="AE39" s="17">
        <f ca="1">$AO$39*$AO$55</f>
        <v>0</v>
      </c>
      <c r="AF39" s="17">
        <f ca="1">$AP$39*$AP$55</f>
        <v>0</v>
      </c>
      <c r="AG39" s="17">
        <f ca="1">SUM($AE$39:$AF$39)</f>
        <v>0</v>
      </c>
      <c r="AH39" s="17">
        <f>'TUSD BE'!$AH$39*'TUSD BF'!$AH$58</f>
        <v>0</v>
      </c>
      <c r="AI39" s="17">
        <f>'TUSD BE'!$AI$39*'TUSD BF'!$AI$58</f>
        <v>0</v>
      </c>
      <c r="AJ39" s="17">
        <f ca="1">'TUSD BE'!$AJ$39*'TUSD BF'!$AJ$58</f>
        <v>0</v>
      </c>
      <c r="AK39" s="17">
        <f ca="1">'TUSD BE'!$AK$39*'TUSD BF'!$AK$58</f>
        <v>0</v>
      </c>
      <c r="AL39" s="17">
        <f ca="1">SUM($AH$39:$AK$39)</f>
        <v>0</v>
      </c>
      <c r="AM39" s="17">
        <f ca="1">SUMIF($L$4:$AL$4,"SUBTOTAL",$L$39:$AL$39)</f>
        <v>0</v>
      </c>
      <c r="AO39" s="29">
        <f ca="1">+'TUSD BE'!$T$39+'TUSD BE'!$AB$39+'TUSD BE'!$AD$39+'TUSD BE'!$AL$39</f>
        <v>937.28458775336549</v>
      </c>
      <c r="AP39" s="29">
        <f ca="1">+'TUSD BE'!$T$39+'TUSD BE'!$AB$39+'TUSD BE'!$AD$39+'TUSD BE'!$AL$39</f>
        <v>937.28458775336549</v>
      </c>
    </row>
    <row r="40" spans="1:42" ht="11.25" customHeight="1" x14ac:dyDescent="0.25">
      <c r="A40" s="94"/>
      <c r="B40" s="94"/>
      <c r="C40" s="94"/>
      <c r="D40" s="94"/>
      <c r="E40" s="94"/>
      <c r="F40" s="94"/>
      <c r="G40" s="27" t="s">
        <v>74</v>
      </c>
      <c r="H40" s="27" t="s">
        <v>72</v>
      </c>
      <c r="I40" s="27">
        <f>'MERCADO TUSD'!$U$37</f>
        <v>0</v>
      </c>
      <c r="J40" s="15"/>
      <c r="L40" s="17">
        <f>'TUSD BE'!$L$40*'TUSD BF'!$L$58</f>
        <v>0</v>
      </c>
      <c r="M40" s="17">
        <f>'TUSD BE'!$M$40*'TUSD BF'!$M$58</f>
        <v>0</v>
      </c>
      <c r="N40" s="17">
        <f ca="1">'TUSD BE'!$N$40*'TUSD BF'!$N$58</f>
        <v>0</v>
      </c>
      <c r="O40" s="17">
        <f>'TUSD BE'!$O$40*'TUSD BF'!$O$58</f>
        <v>0</v>
      </c>
      <c r="P40" s="17">
        <f>'TUSD BE'!$P$40*'TUSD BF'!$P$58</f>
        <v>0</v>
      </c>
      <c r="Q40" s="17">
        <f>'TUSD BE'!$Q$40*'TUSD BF'!$Q$58</f>
        <v>0</v>
      </c>
      <c r="R40" s="17">
        <f>'TUSD BE'!$R$40*'TUSD BF'!$R$58</f>
        <v>0</v>
      </c>
      <c r="S40" s="17">
        <f>'TUSD BE'!$R$40*'TUSD BF'!$S$58</f>
        <v>0</v>
      </c>
      <c r="T40" s="17">
        <f ca="1">SUM($L$40:$S$40)</f>
        <v>0</v>
      </c>
      <c r="U40" s="17">
        <f>'TUSD BE'!$U$40*'TUSD BF'!$U$58</f>
        <v>0</v>
      </c>
      <c r="V40" s="17">
        <f>'TUSD BE'!$V$40*'TUSD BF'!$V$58</f>
        <v>0</v>
      </c>
      <c r="W40" s="17">
        <f>'TUSD BE'!$W$40*'TUSD BF'!$W$58</f>
        <v>0</v>
      </c>
      <c r="X40" s="17">
        <f>'TUSD BE'!$X$40*'TUSD BF'!$X$58</f>
        <v>0</v>
      </c>
      <c r="Y40" s="17">
        <f>'TUSD BE'!$Y$40*'TUSD BF'!$Y$58</f>
        <v>0</v>
      </c>
      <c r="Z40" s="17">
        <f>'TUSD BE'!$Z$40*'TUSD BF'!$Z$58</f>
        <v>0</v>
      </c>
      <c r="AA40" s="17">
        <f>'TUSD BE'!$AA$40*'TUSD BF'!$AA$58</f>
        <v>0</v>
      </c>
      <c r="AB40" s="17">
        <f>SUM($U$40:$AA$40)</f>
        <v>0</v>
      </c>
      <c r="AC40" s="17">
        <f>'TUSD BE'!$AC$40*'TUSD BF'!$AC$58</f>
        <v>0</v>
      </c>
      <c r="AD40" s="17">
        <f>SUM($AC$40:$AC$40)</f>
        <v>0</v>
      </c>
      <c r="AE40" s="17">
        <f ca="1">$AO$40*$AO$55</f>
        <v>0</v>
      </c>
      <c r="AF40" s="17">
        <f ca="1">$AP$40*$AP$55</f>
        <v>0</v>
      </c>
      <c r="AG40" s="17">
        <f ca="1">SUM($AE$40:$AF$40)</f>
        <v>0</v>
      </c>
      <c r="AH40" s="17">
        <f>'TUSD BE'!$AH$40*'TUSD BF'!$AH$58</f>
        <v>0</v>
      </c>
      <c r="AI40" s="17">
        <f>'TUSD BE'!$AI$40*'TUSD BF'!$AI$58</f>
        <v>0</v>
      </c>
      <c r="AJ40" s="17">
        <f ca="1">'TUSD BE'!$AJ$40*'TUSD BF'!$AJ$58</f>
        <v>0</v>
      </c>
      <c r="AK40" s="17">
        <f ca="1">'TUSD BE'!$AK$40*'TUSD BF'!$AK$58</f>
        <v>0</v>
      </c>
      <c r="AL40" s="17">
        <f ca="1">SUM($AH$40:$AK$40)</f>
        <v>0</v>
      </c>
      <c r="AM40" s="17">
        <f ca="1">SUMIF($L$4:$AL$4,"SUBTOTAL",$L$40:$AL$40)</f>
        <v>0</v>
      </c>
      <c r="AO40" s="29">
        <f ca="1">+'TUSD BE'!$T$40+'TUSD BE'!$AB$40+'TUSD BE'!$AD$40+'TUSD BE'!$AL$40</f>
        <v>394.69107703249</v>
      </c>
      <c r="AP40" s="29">
        <f ca="1">+'TUSD BE'!$T$40+'TUSD BE'!$AB$40+'TUSD BE'!$AD$40+'TUSD BE'!$AL$40</f>
        <v>394.69107703249</v>
      </c>
    </row>
    <row r="41" spans="1:42" ht="11.25" customHeight="1" x14ac:dyDescent="0.25">
      <c r="A41" s="94"/>
      <c r="B41" s="26" t="s">
        <v>23</v>
      </c>
      <c r="C41" s="26" t="s">
        <v>41</v>
      </c>
      <c r="D41" s="26" t="s">
        <v>89</v>
      </c>
      <c r="E41" s="26" t="s">
        <v>25</v>
      </c>
      <c r="F41" s="26" t="s">
        <v>25</v>
      </c>
      <c r="G41" s="27" t="s">
        <v>78</v>
      </c>
      <c r="H41" s="27" t="s">
        <v>72</v>
      </c>
      <c r="I41" s="27">
        <f>'MERCADO TUSD'!$U$38</f>
        <v>0</v>
      </c>
      <c r="J41" s="15"/>
      <c r="L41" s="17">
        <f>'TUSD BE'!$L$41*'TUSD BF'!$L$58</f>
        <v>0</v>
      </c>
      <c r="M41" s="17">
        <f>'TUSD BE'!$M$41*'TUSD BF'!$M$58</f>
        <v>0</v>
      </c>
      <c r="N41" s="17">
        <f ca="1">'TUSD BE'!$N$41*'TUSD BF'!$N$58</f>
        <v>0</v>
      </c>
      <c r="O41" s="17">
        <f>'TUSD BE'!$O$41*'TUSD BF'!$O$58</f>
        <v>0</v>
      </c>
      <c r="P41" s="17">
        <f>'TUSD BE'!$P$41*'TUSD BF'!$P$58</f>
        <v>0</v>
      </c>
      <c r="Q41" s="17">
        <f>'TUSD BE'!$Q$41*'TUSD BF'!$Q$58</f>
        <v>0</v>
      </c>
      <c r="R41" s="17">
        <f>'TUSD BE'!$R$41*'TUSD BF'!$R$58</f>
        <v>0</v>
      </c>
      <c r="S41" s="17">
        <f>'TUSD BE'!$R$41*'TUSD BF'!$S$58</f>
        <v>0</v>
      </c>
      <c r="T41" s="17">
        <f ca="1">SUM($L$41:$S$41)</f>
        <v>0</v>
      </c>
      <c r="U41" s="17">
        <f>'TUSD BE'!$U$41*'TUSD BF'!$U$58</f>
        <v>0</v>
      </c>
      <c r="V41" s="17">
        <f>'TUSD BE'!$V$41*'TUSD BF'!$V$58</f>
        <v>0</v>
      </c>
      <c r="W41" s="17">
        <f>'TUSD BE'!$W$41*'TUSD BF'!$W$58</f>
        <v>0</v>
      </c>
      <c r="X41" s="17">
        <f>'TUSD BE'!$X$41*'TUSD BF'!$X$58</f>
        <v>0</v>
      </c>
      <c r="Y41" s="17">
        <f>'TUSD BE'!$Y$41*'TUSD BF'!$Y$58</f>
        <v>0</v>
      </c>
      <c r="Z41" s="17">
        <f>'TUSD BE'!$Z$41*'TUSD BF'!$Z$58</f>
        <v>0</v>
      </c>
      <c r="AA41" s="17">
        <f>'TUSD BE'!$AA$41*'TUSD BF'!$AA$58</f>
        <v>0</v>
      </c>
      <c r="AB41" s="17">
        <f>SUM($U$41:$AA$41)</f>
        <v>0</v>
      </c>
      <c r="AC41" s="17">
        <f>'TUSD BE'!$AC$41*'TUSD BF'!$AC$58</f>
        <v>0</v>
      </c>
      <c r="AD41" s="17">
        <f>SUM($AC$41:$AC$41)</f>
        <v>0</v>
      </c>
      <c r="AE41" s="17">
        <f ca="1">$AO$41*$AO$55</f>
        <v>0</v>
      </c>
      <c r="AF41" s="17">
        <f ca="1">$AP$41*$AP$55</f>
        <v>0</v>
      </c>
      <c r="AG41" s="17">
        <f ca="1">SUM($AE$41:$AF$41)</f>
        <v>0</v>
      </c>
      <c r="AH41" s="17">
        <f>'TUSD BE'!$AH$41*'TUSD BF'!$AH$58</f>
        <v>0</v>
      </c>
      <c r="AI41" s="17">
        <f>'TUSD BE'!$AI$41*'TUSD BF'!$AI$58</f>
        <v>0</v>
      </c>
      <c r="AJ41" s="17">
        <f ca="1">'TUSD BE'!$AJ$41*'TUSD BF'!$AJ$58</f>
        <v>0</v>
      </c>
      <c r="AK41" s="17">
        <f ca="1">'TUSD BE'!$AK$41*'TUSD BF'!$AK$58</f>
        <v>0</v>
      </c>
      <c r="AL41" s="17">
        <f ca="1">SUM($AH$41:$AK$41)</f>
        <v>0</v>
      </c>
      <c r="AM41" s="17">
        <f ca="1">SUMIF($L$4:$AL$4,"SUBTOTAL",$L$41:$AL$41)</f>
        <v>0</v>
      </c>
      <c r="AO41" s="29">
        <f ca="1">+'TUSD BE'!$T$41+'TUSD BE'!$AB$41+'TUSD BE'!$AD$41+'TUSD BE'!$AL$41</f>
        <v>583.25330280533854</v>
      </c>
      <c r="AP41" s="29">
        <f ca="1">+'TUSD BE'!$T$41+'TUSD BE'!$AB$41+'TUSD BE'!$AD$41+'TUSD BE'!$AL$41</f>
        <v>583.25330280533854</v>
      </c>
    </row>
    <row r="42" spans="1:42" ht="11.25" customHeight="1" x14ac:dyDescent="0.25">
      <c r="A42" s="94"/>
      <c r="B42" s="94" t="s">
        <v>87</v>
      </c>
      <c r="C42" s="94" t="s">
        <v>41</v>
      </c>
      <c r="D42" s="26" t="s">
        <v>25</v>
      </c>
      <c r="E42" s="26" t="s">
        <v>25</v>
      </c>
      <c r="F42" s="26" t="s">
        <v>25</v>
      </c>
      <c r="G42" s="27" t="s">
        <v>78</v>
      </c>
      <c r="H42" s="27" t="s">
        <v>72</v>
      </c>
      <c r="I42" s="27">
        <f>'MERCADO TUSD'!$U$39</f>
        <v>0</v>
      </c>
      <c r="J42" s="15"/>
      <c r="L42" s="17">
        <f>'TUSD BE'!$L$42*'TUSD BF'!$L$58</f>
        <v>0</v>
      </c>
      <c r="M42" s="17">
        <f>'TUSD BE'!$M$42*'TUSD BF'!$M$58</f>
        <v>0</v>
      </c>
      <c r="N42" s="17">
        <f ca="1">'TUSD BE'!$N$42*'TUSD BF'!$N$58</f>
        <v>0</v>
      </c>
      <c r="O42" s="17">
        <f>'TUSD BE'!$O$42*'TUSD BF'!$O$58</f>
        <v>0</v>
      </c>
      <c r="P42" s="17">
        <f>'TUSD BE'!$P$42*'TUSD BF'!$P$58</f>
        <v>0</v>
      </c>
      <c r="Q42" s="17">
        <f>'TUSD BE'!$Q$42*'TUSD BF'!$Q$58</f>
        <v>0</v>
      </c>
      <c r="R42" s="17">
        <f>'TUSD BE'!$R$42*'TUSD BF'!$R$58</f>
        <v>0</v>
      </c>
      <c r="S42" s="17">
        <f>'TUSD BE'!$R$42*'TUSD BF'!$S$58</f>
        <v>0</v>
      </c>
      <c r="T42" s="17">
        <f ca="1">SUM($L$42:$S$42)</f>
        <v>0</v>
      </c>
      <c r="U42" s="17">
        <f>'TUSD BE'!$U$42*'TUSD BF'!$U$58</f>
        <v>0</v>
      </c>
      <c r="V42" s="17">
        <f>'TUSD BE'!$V$42*'TUSD BF'!$V$58</f>
        <v>0</v>
      </c>
      <c r="W42" s="17">
        <f>'TUSD BE'!$W$42*'TUSD BF'!$W$58</f>
        <v>0</v>
      </c>
      <c r="X42" s="17">
        <f>'TUSD BE'!$X$42*'TUSD BF'!$X$58</f>
        <v>0</v>
      </c>
      <c r="Y42" s="17">
        <f>'TUSD BE'!$Y$42*'TUSD BF'!$Y$58</f>
        <v>0</v>
      </c>
      <c r="Z42" s="17">
        <f>'TUSD BE'!$Z$42*'TUSD BF'!$Z$58</f>
        <v>0</v>
      </c>
      <c r="AA42" s="17">
        <f>'TUSD BE'!$AA$42*'TUSD BF'!$AA$58</f>
        <v>0</v>
      </c>
      <c r="AB42" s="17">
        <f>SUM($U$42:$AA$42)</f>
        <v>0</v>
      </c>
      <c r="AC42" s="17">
        <f>'TUSD BE'!$AC$42*'TUSD BF'!$AC$58</f>
        <v>0</v>
      </c>
      <c r="AD42" s="17">
        <f>SUM($AC$42:$AC$42)</f>
        <v>0</v>
      </c>
      <c r="AE42" s="17">
        <f ca="1">$AO$42*$AO$55</f>
        <v>0</v>
      </c>
      <c r="AF42" s="17">
        <f ca="1">$AP$42*$AP$55</f>
        <v>0</v>
      </c>
      <c r="AG42" s="17">
        <f ca="1">SUM($AE$42:$AF$42)</f>
        <v>0</v>
      </c>
      <c r="AH42" s="17">
        <f>'TUSD BE'!$AH$42*'TUSD BF'!$AH$58</f>
        <v>0</v>
      </c>
      <c r="AI42" s="17">
        <f>'TUSD BE'!$AI$42*'TUSD BF'!$AI$58</f>
        <v>0</v>
      </c>
      <c r="AJ42" s="17">
        <f ca="1">'TUSD BE'!$AJ$42*'TUSD BF'!$AJ$58</f>
        <v>0</v>
      </c>
      <c r="AK42" s="17">
        <f ca="1">'TUSD BE'!$AK$42*'TUSD BF'!$AK$58</f>
        <v>0</v>
      </c>
      <c r="AL42" s="17">
        <f ca="1">SUM($AH$42:$AK$42)</f>
        <v>0</v>
      </c>
      <c r="AM42" s="17">
        <f ca="1">SUMIF($L$4:$AL$4,"SUBTOTAL",$L$42:$AL$42)</f>
        <v>0</v>
      </c>
      <c r="AO42" s="29">
        <f ca="1">+'TUSD BE'!$T$42+'TUSD BE'!$AB$42+'TUSD BE'!$AD$42+'TUSD BE'!$AL$42</f>
        <v>583.25330280533854</v>
      </c>
      <c r="AP42" s="29">
        <f ca="1">+'TUSD BE'!$T$42+'TUSD BE'!$AB$42+'TUSD BE'!$AD$42+'TUSD BE'!$AL$42</f>
        <v>583.25330280533854</v>
      </c>
    </row>
    <row r="43" spans="1:42" ht="11.25" customHeight="1" x14ac:dyDescent="0.25">
      <c r="A43" s="94"/>
      <c r="B43" s="94"/>
      <c r="C43" s="94"/>
      <c r="D43" s="26" t="s">
        <v>88</v>
      </c>
      <c r="E43" s="26" t="s">
        <v>25</v>
      </c>
      <c r="F43" s="26" t="s">
        <v>25</v>
      </c>
      <c r="G43" s="27" t="s">
        <v>78</v>
      </c>
      <c r="H43" s="27" t="s">
        <v>72</v>
      </c>
      <c r="I43" s="27">
        <f>'MERCADO TUSD'!$U$40</f>
        <v>0</v>
      </c>
      <c r="J43" s="15"/>
      <c r="L43" s="17">
        <f>'TUSD BE'!$L$43*'TUSD BF'!$L$58</f>
        <v>0</v>
      </c>
      <c r="M43" s="17">
        <f>'TUSD BE'!$M$43*'TUSD BF'!$M$58</f>
        <v>0</v>
      </c>
      <c r="N43" s="17">
        <f ca="1">'TUSD BE'!$N$43*'TUSD BF'!$N$58</f>
        <v>0</v>
      </c>
      <c r="O43" s="17">
        <f>'TUSD BE'!$O$43*'TUSD BF'!$O$58</f>
        <v>0</v>
      </c>
      <c r="P43" s="17">
        <f>'TUSD BE'!$P$43*'TUSD BF'!$P$58</f>
        <v>0</v>
      </c>
      <c r="Q43" s="17">
        <f>'TUSD BE'!$Q$43*'TUSD BF'!$Q$58</f>
        <v>0</v>
      </c>
      <c r="R43" s="17">
        <f>'TUSD BE'!$R$43*'TUSD BF'!$R$58</f>
        <v>0</v>
      </c>
      <c r="S43" s="17">
        <f>'TUSD BE'!$R$43*'TUSD BF'!$S$58</f>
        <v>0</v>
      </c>
      <c r="T43" s="17">
        <f ca="1">SUM($L$43:$S$43)</f>
        <v>0</v>
      </c>
      <c r="U43" s="17">
        <f>'TUSD BE'!$U$43*'TUSD BF'!$U$58</f>
        <v>0</v>
      </c>
      <c r="V43" s="17">
        <f>'TUSD BE'!$V$43*'TUSD BF'!$V$58</f>
        <v>0</v>
      </c>
      <c r="W43" s="17">
        <f>'TUSD BE'!$W$43*'TUSD BF'!$W$58</f>
        <v>0</v>
      </c>
      <c r="X43" s="17">
        <f>'TUSD BE'!$X$43*'TUSD BF'!$X$58</f>
        <v>0</v>
      </c>
      <c r="Y43" s="17">
        <f>'TUSD BE'!$Y$43*'TUSD BF'!$Y$58</f>
        <v>0</v>
      </c>
      <c r="Z43" s="17">
        <f>'TUSD BE'!$Z$43*'TUSD BF'!$Z$58</f>
        <v>0</v>
      </c>
      <c r="AA43" s="17">
        <f>'TUSD BE'!$AA$43*'TUSD BF'!$AA$58</f>
        <v>0</v>
      </c>
      <c r="AB43" s="17">
        <f>SUM($U$43:$AA$43)</f>
        <v>0</v>
      </c>
      <c r="AC43" s="17">
        <f>'TUSD BE'!$AC$43*'TUSD BF'!$AC$58</f>
        <v>0</v>
      </c>
      <c r="AD43" s="17">
        <f>SUM($AC$43:$AC$43)</f>
        <v>0</v>
      </c>
      <c r="AE43" s="17">
        <f ca="1">$AO$43*$AO$55</f>
        <v>0</v>
      </c>
      <c r="AF43" s="17">
        <f ca="1">$AP$43*$AP$55</f>
        <v>0</v>
      </c>
      <c r="AG43" s="17">
        <f ca="1">SUM($AE$43:$AF$43)</f>
        <v>0</v>
      </c>
      <c r="AH43" s="17">
        <f>'TUSD BE'!$AH$43*'TUSD BF'!$AH$58</f>
        <v>0</v>
      </c>
      <c r="AI43" s="17">
        <f>'TUSD BE'!$AI$43*'TUSD BF'!$AI$58</f>
        <v>0</v>
      </c>
      <c r="AJ43" s="17">
        <f ca="1">'TUSD BE'!$AJ$43*'TUSD BF'!$AJ$58</f>
        <v>0</v>
      </c>
      <c r="AK43" s="17">
        <f ca="1">'TUSD BE'!$AK$43*'TUSD BF'!$AK$58</f>
        <v>0</v>
      </c>
      <c r="AL43" s="17">
        <f ca="1">SUM($AH$43:$AK$43)</f>
        <v>0</v>
      </c>
      <c r="AM43" s="17">
        <f ca="1">SUMIF($L$4:$AL$4,"SUBTOTAL",$L$43:$AL$43)</f>
        <v>0</v>
      </c>
      <c r="AO43" s="29">
        <f ca="1">+'TUSD BE'!$T$43+'TUSD BE'!$AB$43+'TUSD BE'!$AD$43+'TUSD BE'!$AL$43</f>
        <v>583.25330280533854</v>
      </c>
      <c r="AP43" s="29">
        <f ca="1">+'TUSD BE'!$T$43+'TUSD BE'!$AB$43+'TUSD BE'!$AD$43+'TUSD BE'!$AL$43</f>
        <v>583.25330280533854</v>
      </c>
    </row>
    <row r="44" spans="1:42" ht="11.25" customHeight="1" x14ac:dyDescent="0.25">
      <c r="A44" s="94"/>
      <c r="B44" s="94"/>
      <c r="C44" s="94"/>
      <c r="D44" s="26" t="s">
        <v>89</v>
      </c>
      <c r="E44" s="26" t="s">
        <v>25</v>
      </c>
      <c r="F44" s="26" t="s">
        <v>25</v>
      </c>
      <c r="G44" s="27" t="s">
        <v>78</v>
      </c>
      <c r="H44" s="27" t="s">
        <v>72</v>
      </c>
      <c r="I44" s="27">
        <f>'MERCADO TUSD'!$U$41</f>
        <v>0</v>
      </c>
      <c r="J44" s="15"/>
      <c r="L44" s="17">
        <f>'TUSD BE'!$L$44*'TUSD BF'!$L$58</f>
        <v>0</v>
      </c>
      <c r="M44" s="17">
        <f>'TUSD BE'!$M$44*'TUSD BF'!$M$58</f>
        <v>0</v>
      </c>
      <c r="N44" s="17">
        <f ca="1">'TUSD BE'!$N$44*'TUSD BF'!$N$58</f>
        <v>0</v>
      </c>
      <c r="O44" s="17">
        <f>'TUSD BE'!$O$44*'TUSD BF'!$O$58</f>
        <v>0</v>
      </c>
      <c r="P44" s="17">
        <f>'TUSD BE'!$P$44*'TUSD BF'!$P$58</f>
        <v>0</v>
      </c>
      <c r="Q44" s="17">
        <f>'TUSD BE'!$Q$44*'TUSD BF'!$Q$58</f>
        <v>0</v>
      </c>
      <c r="R44" s="17">
        <f>'TUSD BE'!$R$44*'TUSD BF'!$R$58</f>
        <v>0</v>
      </c>
      <c r="S44" s="17">
        <f>'TUSD BE'!$R$44*'TUSD BF'!$S$58</f>
        <v>0</v>
      </c>
      <c r="T44" s="17">
        <f ca="1">SUM($L$44:$S$44)</f>
        <v>0</v>
      </c>
      <c r="U44" s="17">
        <f>'TUSD BE'!$U$44*'TUSD BF'!$U$58</f>
        <v>0</v>
      </c>
      <c r="V44" s="17">
        <f>'TUSD BE'!$V$44*'TUSD BF'!$V$58</f>
        <v>0</v>
      </c>
      <c r="W44" s="17">
        <f>'TUSD BE'!$W$44*'TUSD BF'!$W$58</f>
        <v>0</v>
      </c>
      <c r="X44" s="17">
        <f>'TUSD BE'!$X$44*'TUSD BF'!$X$58</f>
        <v>0</v>
      </c>
      <c r="Y44" s="17">
        <f>'TUSD BE'!$Y$44*'TUSD BF'!$Y$58</f>
        <v>0</v>
      </c>
      <c r="Z44" s="17">
        <f>'TUSD BE'!$Z$44*'TUSD BF'!$Z$58</f>
        <v>0</v>
      </c>
      <c r="AA44" s="17">
        <f>'TUSD BE'!$AA$44*'TUSD BF'!$AA$58</f>
        <v>0</v>
      </c>
      <c r="AB44" s="17">
        <f>SUM($U$44:$AA$44)</f>
        <v>0</v>
      </c>
      <c r="AC44" s="17">
        <f>'TUSD BE'!$AC$44*'TUSD BF'!$AC$58</f>
        <v>0</v>
      </c>
      <c r="AD44" s="17">
        <f>SUM($AC$44:$AC$44)</f>
        <v>0</v>
      </c>
      <c r="AE44" s="17">
        <f ca="1">$AO$44*$AO$55</f>
        <v>0</v>
      </c>
      <c r="AF44" s="17">
        <f ca="1">$AP$44*$AP$55</f>
        <v>0</v>
      </c>
      <c r="AG44" s="17">
        <f ca="1">SUM($AE$44:$AF$44)</f>
        <v>0</v>
      </c>
      <c r="AH44" s="17">
        <f>'TUSD BE'!$AH$44*'TUSD BF'!$AH$58</f>
        <v>0</v>
      </c>
      <c r="AI44" s="17">
        <f>'TUSD BE'!$AI$44*'TUSD BF'!$AI$58</f>
        <v>0</v>
      </c>
      <c r="AJ44" s="17">
        <f ca="1">'TUSD BE'!$AJ$44*'TUSD BF'!$AJ$58</f>
        <v>0</v>
      </c>
      <c r="AK44" s="17">
        <f ca="1">'TUSD BE'!$AK$44*'TUSD BF'!$AK$58</f>
        <v>0</v>
      </c>
      <c r="AL44" s="17">
        <f ca="1">SUM($AH$44:$AK$44)</f>
        <v>0</v>
      </c>
      <c r="AM44" s="17">
        <f ca="1">SUMIF($L$4:$AL$4,"SUBTOTAL",$L$44:$AL$44)</f>
        <v>0</v>
      </c>
      <c r="AO44" s="29">
        <f ca="1">+'TUSD BE'!$T$44+'TUSD BE'!$AB$44+'TUSD BE'!$AD$44+'TUSD BE'!$AL$44</f>
        <v>583.25330280533854</v>
      </c>
      <c r="AP44" s="29">
        <f ca="1">+'TUSD BE'!$T$44+'TUSD BE'!$AB$44+'TUSD BE'!$AD$44+'TUSD BE'!$AL$44</f>
        <v>583.25330280533854</v>
      </c>
    </row>
    <row r="45" spans="1:42" ht="11.25" customHeight="1" x14ac:dyDescent="0.25">
      <c r="A45" s="94" t="s">
        <v>33</v>
      </c>
      <c r="B45" s="94" t="s">
        <v>85</v>
      </c>
      <c r="C45" s="94" t="s">
        <v>25</v>
      </c>
      <c r="D45" s="94" t="s">
        <v>25</v>
      </c>
      <c r="E45" s="94" t="s">
        <v>25</v>
      </c>
      <c r="F45" s="94" t="s">
        <v>25</v>
      </c>
      <c r="G45" s="27" t="s">
        <v>73</v>
      </c>
      <c r="H45" s="27" t="s">
        <v>72</v>
      </c>
      <c r="I45" s="27">
        <f>'MERCADO TUSD'!$U$42</f>
        <v>0</v>
      </c>
      <c r="J45" s="15"/>
      <c r="L45" s="17">
        <f>'TUSD BE'!$L$45*'TUSD BF'!$L$58</f>
        <v>0</v>
      </c>
      <c r="M45" s="17">
        <f>'TUSD BE'!$M$45*'TUSD BF'!$M$58</f>
        <v>0</v>
      </c>
      <c r="N45" s="17">
        <f ca="1">'TUSD BE'!$N$45*'TUSD BF'!$N$58</f>
        <v>0</v>
      </c>
      <c r="O45" s="17">
        <f>'TUSD BE'!$O$45*'TUSD BF'!$O$58</f>
        <v>0</v>
      </c>
      <c r="P45" s="17">
        <f>'TUSD BE'!$P$45*'TUSD BF'!$P$58</f>
        <v>0</v>
      </c>
      <c r="Q45" s="17">
        <f>'TUSD BE'!$Q$45*'TUSD BF'!$Q$58</f>
        <v>0</v>
      </c>
      <c r="R45" s="17">
        <f>'TUSD BE'!$R$45*'TUSD BF'!$R$58</f>
        <v>0</v>
      </c>
      <c r="S45" s="17">
        <f>'TUSD BE'!$R$45*'TUSD BF'!$S$58</f>
        <v>0</v>
      </c>
      <c r="T45" s="17">
        <f ca="1">SUM($L$45:$S$45)</f>
        <v>0</v>
      </c>
      <c r="U45" s="17">
        <f>'TUSD BE'!$U$45*'TUSD BF'!$U$58</f>
        <v>0</v>
      </c>
      <c r="V45" s="17">
        <f>'TUSD BE'!$V$45*'TUSD BF'!$V$58</f>
        <v>0</v>
      </c>
      <c r="W45" s="17">
        <f>'TUSD BE'!$W$45*'TUSD BF'!$W$58</f>
        <v>0</v>
      </c>
      <c r="X45" s="17">
        <f>'TUSD BE'!$X$45*'TUSD BF'!$X$58</f>
        <v>0</v>
      </c>
      <c r="Y45" s="17">
        <f>'TUSD BE'!$Y$45*'TUSD BF'!$Y$58</f>
        <v>0</v>
      </c>
      <c r="Z45" s="17">
        <f>'TUSD BE'!$Z$45*'TUSD BF'!$Z$58</f>
        <v>0</v>
      </c>
      <c r="AA45" s="17">
        <f>'TUSD BE'!$AA$45*'TUSD BF'!$AA$58</f>
        <v>0</v>
      </c>
      <c r="AB45" s="17">
        <f>SUM($U$45:$AA$45)</f>
        <v>0</v>
      </c>
      <c r="AC45" s="17">
        <f>'TUSD BE'!$AC$45*'TUSD BF'!$AC$58</f>
        <v>0</v>
      </c>
      <c r="AD45" s="17">
        <f>SUM($AC$45:$AC$45)</f>
        <v>0</v>
      </c>
      <c r="AE45" s="17">
        <f ca="1">$AO$45*$AO$55</f>
        <v>0</v>
      </c>
      <c r="AF45" s="17">
        <f ca="1">$AP$45*$AP$55</f>
        <v>0</v>
      </c>
      <c r="AG45" s="17">
        <f ca="1">SUM($AE$45:$AF$45)</f>
        <v>0</v>
      </c>
      <c r="AH45" s="17">
        <f>'TUSD BE'!$AH$45*'TUSD BF'!$AH$58</f>
        <v>0</v>
      </c>
      <c r="AI45" s="17">
        <f>'TUSD BE'!$AI$45*'TUSD BF'!$AI$58</f>
        <v>0</v>
      </c>
      <c r="AJ45" s="17">
        <f ca="1">'TUSD BE'!$AJ$45*'TUSD BF'!$AJ$58</f>
        <v>0</v>
      </c>
      <c r="AK45" s="17">
        <f ca="1">'TUSD BE'!$AK$45*'TUSD BF'!$AK$58</f>
        <v>0</v>
      </c>
      <c r="AL45" s="17">
        <f ca="1">SUM($AH$45:$AK$45)</f>
        <v>0</v>
      </c>
      <c r="AM45" s="17">
        <f ca="1">SUMIF($L$4:$AL$4,"SUBTOTAL",$L$45:$AL$45)</f>
        <v>0</v>
      </c>
      <c r="AO45" s="29">
        <f ca="1">+'TUSD BE'!$T$45+'TUSD BE'!$AB$45+'TUSD BE'!$AD$45+'TUSD BE'!$AL$45</f>
        <v>1709.866357471931</v>
      </c>
      <c r="AP45" s="29">
        <f ca="1">+'TUSD BE'!$T$45+'TUSD BE'!$AB$45+'TUSD BE'!$AD$45+'TUSD BE'!$AL$45</f>
        <v>1709.866357471931</v>
      </c>
    </row>
    <row r="46" spans="1:42" ht="11.25" customHeight="1" x14ac:dyDescent="0.25">
      <c r="A46" s="94"/>
      <c r="B46" s="94"/>
      <c r="C46" s="94"/>
      <c r="D46" s="94"/>
      <c r="E46" s="94"/>
      <c r="F46" s="94"/>
      <c r="G46" s="27" t="s">
        <v>83</v>
      </c>
      <c r="H46" s="27" t="s">
        <v>72</v>
      </c>
      <c r="I46" s="27">
        <f>'MERCADO TUSD'!$U$43</f>
        <v>0</v>
      </c>
      <c r="J46" s="15"/>
      <c r="L46" s="17">
        <f>'TUSD BE'!$L$46*'TUSD BF'!$L$58</f>
        <v>0</v>
      </c>
      <c r="M46" s="17">
        <f>'TUSD BE'!$M$46*'TUSD BF'!$M$58</f>
        <v>0</v>
      </c>
      <c r="N46" s="17">
        <f ca="1">'TUSD BE'!$N$46*'TUSD BF'!$N$58</f>
        <v>0</v>
      </c>
      <c r="O46" s="17">
        <f>'TUSD BE'!$O$46*'TUSD BF'!$O$58</f>
        <v>0</v>
      </c>
      <c r="P46" s="17">
        <f>'TUSD BE'!$P$46*'TUSD BF'!$P$58</f>
        <v>0</v>
      </c>
      <c r="Q46" s="17">
        <f>'TUSD BE'!$Q$46*'TUSD BF'!$Q$58</f>
        <v>0</v>
      </c>
      <c r="R46" s="17">
        <f>'TUSD BE'!$R$46*'TUSD BF'!$R$58</f>
        <v>0</v>
      </c>
      <c r="S46" s="17">
        <f>'TUSD BE'!$R$46*'TUSD BF'!$S$58</f>
        <v>0</v>
      </c>
      <c r="T46" s="17">
        <f ca="1">SUM($L$46:$S$46)</f>
        <v>0</v>
      </c>
      <c r="U46" s="17">
        <f>'TUSD BE'!$U$46*'TUSD BF'!$U$58</f>
        <v>0</v>
      </c>
      <c r="V46" s="17">
        <f>'TUSD BE'!$V$46*'TUSD BF'!$V$58</f>
        <v>0</v>
      </c>
      <c r="W46" s="17">
        <f>'TUSD BE'!$W$46*'TUSD BF'!$W$58</f>
        <v>0</v>
      </c>
      <c r="X46" s="17">
        <f>'TUSD BE'!$X$46*'TUSD BF'!$X$58</f>
        <v>0</v>
      </c>
      <c r="Y46" s="17">
        <f>'TUSD BE'!$Y$46*'TUSD BF'!$Y$58</f>
        <v>0</v>
      </c>
      <c r="Z46" s="17">
        <f>'TUSD BE'!$Z$46*'TUSD BF'!$Z$58</f>
        <v>0</v>
      </c>
      <c r="AA46" s="17">
        <f>'TUSD BE'!$AA$46*'TUSD BF'!$AA$58</f>
        <v>0</v>
      </c>
      <c r="AB46" s="17">
        <f>SUM($U$46:$AA$46)</f>
        <v>0</v>
      </c>
      <c r="AC46" s="17">
        <f>'TUSD BE'!$AC$46*'TUSD BF'!$AC$58</f>
        <v>0</v>
      </c>
      <c r="AD46" s="17">
        <f>SUM($AC$46:$AC$46)</f>
        <v>0</v>
      </c>
      <c r="AE46" s="17">
        <f ca="1">$AO$46*$AO$55</f>
        <v>0</v>
      </c>
      <c r="AF46" s="17">
        <f ca="1">$AP$46*$AP$55</f>
        <v>0</v>
      </c>
      <c r="AG46" s="17">
        <f ca="1">SUM($AE$46:$AF$46)</f>
        <v>0</v>
      </c>
      <c r="AH46" s="17">
        <f>'TUSD BE'!$AH$46*'TUSD BF'!$AH$58</f>
        <v>0</v>
      </c>
      <c r="AI46" s="17">
        <f>'TUSD BE'!$AI$46*'TUSD BF'!$AI$58</f>
        <v>0</v>
      </c>
      <c r="AJ46" s="17">
        <f ca="1">'TUSD BE'!$AJ$46*'TUSD BF'!$AJ$58</f>
        <v>0</v>
      </c>
      <c r="AK46" s="17">
        <f ca="1">'TUSD BE'!$AK$46*'TUSD BF'!$AK$58</f>
        <v>0</v>
      </c>
      <c r="AL46" s="17">
        <f ca="1">SUM($AH$46:$AK$46)</f>
        <v>0</v>
      </c>
      <c r="AM46" s="17">
        <f ca="1">SUMIF($L$4:$AL$4,"SUBTOTAL",$L$46:$AL$46)</f>
        <v>0</v>
      </c>
      <c r="AO46" s="29">
        <f ca="1">+'TUSD BE'!$T$46+'TUSD BE'!$AB$46+'TUSD BE'!$AD$46+'TUSD BE'!$AL$46</f>
        <v>1075.2539827637142</v>
      </c>
      <c r="AP46" s="29">
        <f ca="1">+'TUSD BE'!$T$46+'TUSD BE'!$AB$46+'TUSD BE'!$AD$46+'TUSD BE'!$AL$46</f>
        <v>1075.2539827637142</v>
      </c>
    </row>
    <row r="47" spans="1:42" ht="11.25" customHeight="1" x14ac:dyDescent="0.25">
      <c r="A47" s="94"/>
      <c r="B47" s="94"/>
      <c r="C47" s="94"/>
      <c r="D47" s="94"/>
      <c r="E47" s="94"/>
      <c r="F47" s="94"/>
      <c r="G47" s="27" t="s">
        <v>74</v>
      </c>
      <c r="H47" s="27" t="s">
        <v>72</v>
      </c>
      <c r="I47" s="27">
        <f>'MERCADO TUSD'!$U$44</f>
        <v>0</v>
      </c>
      <c r="J47" s="15"/>
      <c r="L47" s="17">
        <f>'TUSD BE'!$L$47*'TUSD BF'!$L$58</f>
        <v>0</v>
      </c>
      <c r="M47" s="17">
        <f>'TUSD BE'!$M$47*'TUSD BF'!$M$58</f>
        <v>0</v>
      </c>
      <c r="N47" s="17">
        <f ca="1">'TUSD BE'!$N$47*'TUSD BF'!$N$58</f>
        <v>0</v>
      </c>
      <c r="O47" s="17">
        <f>'TUSD BE'!$O$47*'TUSD BF'!$O$58</f>
        <v>0</v>
      </c>
      <c r="P47" s="17">
        <f>'TUSD BE'!$P$47*'TUSD BF'!$P$58</f>
        <v>0</v>
      </c>
      <c r="Q47" s="17">
        <f>'TUSD BE'!$Q$47*'TUSD BF'!$Q$58</f>
        <v>0</v>
      </c>
      <c r="R47" s="17">
        <f>'TUSD BE'!$R$47*'TUSD BF'!$R$58</f>
        <v>0</v>
      </c>
      <c r="S47" s="17">
        <f>'TUSD BE'!$R$47*'TUSD BF'!$S$58</f>
        <v>0</v>
      </c>
      <c r="T47" s="17">
        <f ca="1">SUM($L$47:$S$47)</f>
        <v>0</v>
      </c>
      <c r="U47" s="17">
        <f>'TUSD BE'!$U$47*'TUSD BF'!$U$58</f>
        <v>0</v>
      </c>
      <c r="V47" s="17">
        <f>'TUSD BE'!$V$47*'TUSD BF'!$V$58</f>
        <v>0</v>
      </c>
      <c r="W47" s="17">
        <f>'TUSD BE'!$W$47*'TUSD BF'!$W$58</f>
        <v>0</v>
      </c>
      <c r="X47" s="17">
        <f>'TUSD BE'!$X$47*'TUSD BF'!$X$58</f>
        <v>0</v>
      </c>
      <c r="Y47" s="17">
        <f>'TUSD BE'!$Y$47*'TUSD BF'!$Y$58</f>
        <v>0</v>
      </c>
      <c r="Z47" s="17">
        <f>'TUSD BE'!$Z$47*'TUSD BF'!$Z$58</f>
        <v>0</v>
      </c>
      <c r="AA47" s="17">
        <f>'TUSD BE'!$AA$47*'TUSD BF'!$AA$58</f>
        <v>0</v>
      </c>
      <c r="AB47" s="17">
        <f>SUM($U$47:$AA$47)</f>
        <v>0</v>
      </c>
      <c r="AC47" s="17">
        <f>'TUSD BE'!$AC$47*'TUSD BF'!$AC$58</f>
        <v>0</v>
      </c>
      <c r="AD47" s="17">
        <f>SUM($AC$47:$AC$47)</f>
        <v>0</v>
      </c>
      <c r="AE47" s="17">
        <f ca="1">$AO$47*$AO$55</f>
        <v>0</v>
      </c>
      <c r="AF47" s="17">
        <f ca="1">$AP$47*$AP$55</f>
        <v>0</v>
      </c>
      <c r="AG47" s="17">
        <f ca="1">SUM($AE$47:$AF$47)</f>
        <v>0</v>
      </c>
      <c r="AH47" s="17">
        <f>'TUSD BE'!$AH$47*'TUSD BF'!$AH$58</f>
        <v>0</v>
      </c>
      <c r="AI47" s="17">
        <f>'TUSD BE'!$AI$47*'TUSD BF'!$AI$58</f>
        <v>0</v>
      </c>
      <c r="AJ47" s="17">
        <f ca="1">'TUSD BE'!$AJ$47*'TUSD BF'!$AJ$58</f>
        <v>0</v>
      </c>
      <c r="AK47" s="17">
        <f ca="1">'TUSD BE'!$AK$47*'TUSD BF'!$AK$58</f>
        <v>0</v>
      </c>
      <c r="AL47" s="17">
        <f ca="1">SUM($AH$47:$AK$47)</f>
        <v>0</v>
      </c>
      <c r="AM47" s="17">
        <f ca="1">SUMIF($L$4:$AL$4,"SUBTOTAL",$L$47:$AL$47)</f>
        <v>0</v>
      </c>
      <c r="AO47" s="29">
        <f ca="1">+'TUSD BE'!$T$47+'TUSD BE'!$AB$47+'TUSD BE'!$AD$47+'TUSD BE'!$AL$47</f>
        <v>440.70077410539386</v>
      </c>
      <c r="AP47" s="29">
        <f ca="1">+'TUSD BE'!$T$47+'TUSD BE'!$AB$47+'TUSD BE'!$AD$47+'TUSD BE'!$AL$47</f>
        <v>440.70077410539386</v>
      </c>
    </row>
    <row r="48" spans="1:42" ht="11.25" customHeight="1" x14ac:dyDescent="0.25">
      <c r="A48" s="94"/>
      <c r="B48" s="26" t="s">
        <v>23</v>
      </c>
      <c r="C48" s="26" t="s">
        <v>25</v>
      </c>
      <c r="D48" s="26" t="s">
        <v>25</v>
      </c>
      <c r="E48" s="26" t="s">
        <v>25</v>
      </c>
      <c r="F48" s="26" t="s">
        <v>25</v>
      </c>
      <c r="G48" s="27" t="s">
        <v>78</v>
      </c>
      <c r="H48" s="27" t="s">
        <v>72</v>
      </c>
      <c r="I48" s="27">
        <f>'MERCADO TUSD'!$U$45</f>
        <v>6621.2499999999991</v>
      </c>
      <c r="J48" s="15"/>
      <c r="L48" s="17">
        <f>'TUSD BE'!$L$48*'TUSD BF'!$L$58</f>
        <v>0</v>
      </c>
      <c r="M48" s="17">
        <f>'TUSD BE'!$M$48*'TUSD BF'!$M$58</f>
        <v>0</v>
      </c>
      <c r="N48" s="17">
        <f ca="1">'TUSD BE'!$N$48*'TUSD BF'!$N$58</f>
        <v>0</v>
      </c>
      <c r="O48" s="17">
        <f>'TUSD BE'!$O$48*'TUSD BF'!$O$58</f>
        <v>0</v>
      </c>
      <c r="P48" s="17">
        <f>'TUSD BE'!$P$48*'TUSD BF'!$P$58</f>
        <v>0</v>
      </c>
      <c r="Q48" s="17">
        <f>'TUSD BE'!$Q$48*'TUSD BF'!$Q$58</f>
        <v>0</v>
      </c>
      <c r="R48" s="17">
        <f>'TUSD BE'!$R$48*'TUSD BF'!$R$58</f>
        <v>0</v>
      </c>
      <c r="S48" s="17">
        <f>'TUSD BE'!$R$48*'TUSD BF'!$S$58</f>
        <v>0</v>
      </c>
      <c r="T48" s="17">
        <f ca="1">SUM($L$48:$S$48)</f>
        <v>0</v>
      </c>
      <c r="U48" s="17">
        <f>'TUSD BE'!$U$48*'TUSD BF'!$U$58</f>
        <v>0</v>
      </c>
      <c r="V48" s="17">
        <f>'TUSD BE'!$V$48*'TUSD BF'!$V$58</f>
        <v>0</v>
      </c>
      <c r="W48" s="17">
        <f>'TUSD BE'!$W$48*'TUSD BF'!$W$58</f>
        <v>0</v>
      </c>
      <c r="X48" s="17">
        <f>'TUSD BE'!$X$48*'TUSD BF'!$X$58</f>
        <v>0</v>
      </c>
      <c r="Y48" s="17">
        <f>'TUSD BE'!$Y$48*'TUSD BF'!$Y$58</f>
        <v>0</v>
      </c>
      <c r="Z48" s="17">
        <f>'TUSD BE'!$Z$48*'TUSD BF'!$Z$58</f>
        <v>0</v>
      </c>
      <c r="AA48" s="17">
        <f>'TUSD BE'!$AA$48*'TUSD BF'!$AA$58</f>
        <v>0</v>
      </c>
      <c r="AB48" s="17">
        <f>SUM($U$48:$AA$48)</f>
        <v>0</v>
      </c>
      <c r="AC48" s="17">
        <f>'TUSD BE'!$AC$48*'TUSD BF'!$AC$58</f>
        <v>0</v>
      </c>
      <c r="AD48" s="17">
        <f>SUM($AC$48:$AC$48)</f>
        <v>0</v>
      </c>
      <c r="AE48" s="17">
        <f ca="1">$AO$48*$AO$55</f>
        <v>0</v>
      </c>
      <c r="AF48" s="17">
        <f ca="1">$AP$48*$AP$55</f>
        <v>0</v>
      </c>
      <c r="AG48" s="17">
        <f ca="1">SUM($AE$48:$AF$48)</f>
        <v>0</v>
      </c>
      <c r="AH48" s="17">
        <f>'TUSD BE'!$AH$48*'TUSD BF'!$AH$58</f>
        <v>0</v>
      </c>
      <c r="AI48" s="17">
        <f>'TUSD BE'!$AI$48*'TUSD BF'!$AI$58</f>
        <v>0</v>
      </c>
      <c r="AJ48" s="17">
        <f ca="1">'TUSD BE'!$AJ$48*'TUSD BF'!$AJ$58</f>
        <v>0</v>
      </c>
      <c r="AK48" s="17">
        <f ca="1">'TUSD BE'!$AK$48*'TUSD BF'!$AK$58</f>
        <v>0</v>
      </c>
      <c r="AL48" s="17">
        <f ca="1">SUM($AH$48:$AK$48)</f>
        <v>0</v>
      </c>
      <c r="AM48" s="17">
        <f ca="1">SUMIF($L$4:$AL$4,"SUBTOTAL",$L$48:$AL$48)</f>
        <v>0</v>
      </c>
      <c r="AO48" s="29">
        <f ca="1">+'TUSD BE'!$T$48+'TUSD BE'!$AB$48+'TUSD BE'!$AD$48+'TUSD BE'!$AL$48</f>
        <v>583.25330280533854</v>
      </c>
      <c r="AP48" s="29">
        <f ca="1">+'TUSD BE'!$T$48+'TUSD BE'!$AB$48+'TUSD BE'!$AD$48+'TUSD BE'!$AL$48</f>
        <v>583.25330280533854</v>
      </c>
    </row>
    <row r="49" spans="1:42" ht="11.25" customHeight="1" x14ac:dyDescent="0.25">
      <c r="A49" s="94"/>
      <c r="B49" s="26" t="s">
        <v>87</v>
      </c>
      <c r="C49" s="26" t="s">
        <v>25</v>
      </c>
      <c r="D49" s="26" t="s">
        <v>25</v>
      </c>
      <c r="E49" s="26" t="s">
        <v>25</v>
      </c>
      <c r="F49" s="26" t="s">
        <v>25</v>
      </c>
      <c r="G49" s="27" t="s">
        <v>78</v>
      </c>
      <c r="H49" s="27" t="s">
        <v>72</v>
      </c>
      <c r="I49" s="27">
        <f>'MERCADO TUSD'!$U$46</f>
        <v>0</v>
      </c>
      <c r="J49" s="15"/>
      <c r="L49" s="17">
        <f>'TUSD BE'!$L$49*'TUSD BF'!$L$58</f>
        <v>0</v>
      </c>
      <c r="M49" s="17">
        <f>'TUSD BE'!$M$49*'TUSD BF'!$M$58</f>
        <v>0</v>
      </c>
      <c r="N49" s="17">
        <f ca="1">'TUSD BE'!$N$49*'TUSD BF'!$N$58</f>
        <v>0</v>
      </c>
      <c r="O49" s="17">
        <f>'TUSD BE'!$O$49*'TUSD BF'!$O$58</f>
        <v>0</v>
      </c>
      <c r="P49" s="17">
        <f>'TUSD BE'!$P$49*'TUSD BF'!$P$58</f>
        <v>0</v>
      </c>
      <c r="Q49" s="17">
        <f>'TUSD BE'!$Q$49*'TUSD BF'!$Q$58</f>
        <v>0</v>
      </c>
      <c r="R49" s="17">
        <f>'TUSD BE'!$R$49*'TUSD BF'!$R$58</f>
        <v>0</v>
      </c>
      <c r="S49" s="17">
        <f>'TUSD BE'!$R$49*'TUSD BF'!$S$58</f>
        <v>0</v>
      </c>
      <c r="T49" s="17">
        <f ca="1">SUM($L$49:$S$49)</f>
        <v>0</v>
      </c>
      <c r="U49" s="17">
        <f>'TUSD BE'!$U$49*'TUSD BF'!$U$58</f>
        <v>0</v>
      </c>
      <c r="V49" s="17">
        <f>'TUSD BE'!$V$49*'TUSD BF'!$V$58</f>
        <v>0</v>
      </c>
      <c r="W49" s="17">
        <f>'TUSD BE'!$W$49*'TUSD BF'!$W$58</f>
        <v>0</v>
      </c>
      <c r="X49" s="17">
        <f>'TUSD BE'!$X$49*'TUSD BF'!$X$58</f>
        <v>0</v>
      </c>
      <c r="Y49" s="17">
        <f>'TUSD BE'!$Y$49*'TUSD BF'!$Y$58</f>
        <v>0</v>
      </c>
      <c r="Z49" s="17">
        <f>'TUSD BE'!$Z$49*'TUSD BF'!$Z$58</f>
        <v>0</v>
      </c>
      <c r="AA49" s="17">
        <f>'TUSD BE'!$AA$49*'TUSD BF'!$AA$58</f>
        <v>0</v>
      </c>
      <c r="AB49" s="17">
        <f>SUM($U$49:$AA$49)</f>
        <v>0</v>
      </c>
      <c r="AC49" s="17">
        <f>'TUSD BE'!$AC$49*'TUSD BF'!$AC$58</f>
        <v>0</v>
      </c>
      <c r="AD49" s="17">
        <f>SUM($AC$49:$AC$49)</f>
        <v>0</v>
      </c>
      <c r="AE49" s="17">
        <f ca="1">$AO$49*$AO$55</f>
        <v>0</v>
      </c>
      <c r="AF49" s="17">
        <f ca="1">$AP$49*$AP$55</f>
        <v>0</v>
      </c>
      <c r="AG49" s="17">
        <f ca="1">SUM($AE$49:$AF$49)</f>
        <v>0</v>
      </c>
      <c r="AH49" s="17">
        <f>'TUSD BE'!$AH$49*'TUSD BF'!$AH$58</f>
        <v>0</v>
      </c>
      <c r="AI49" s="17">
        <f>'TUSD BE'!$AI$49*'TUSD BF'!$AI$58</f>
        <v>0</v>
      </c>
      <c r="AJ49" s="17">
        <f ca="1">'TUSD BE'!$AJ$49*'TUSD BF'!$AJ$58</f>
        <v>0</v>
      </c>
      <c r="AK49" s="17">
        <f ca="1">'TUSD BE'!$AK$49*'TUSD BF'!$AK$58</f>
        <v>0</v>
      </c>
      <c r="AL49" s="17">
        <f ca="1">SUM($AH$49:$AK$49)</f>
        <v>0</v>
      </c>
      <c r="AM49" s="17">
        <f ca="1">SUMIF($L$4:$AL$4,"SUBTOTAL",$L$49:$AL$49)</f>
        <v>0</v>
      </c>
      <c r="AO49" s="29">
        <f ca="1">+'TUSD BE'!$T$49+'TUSD BE'!$AB$49+'TUSD BE'!$AD$49+'TUSD BE'!$AL$49</f>
        <v>583.25330280533854</v>
      </c>
      <c r="AP49" s="29">
        <f ca="1">+'TUSD BE'!$T$49+'TUSD BE'!$AB$49+'TUSD BE'!$AD$49+'TUSD BE'!$AL$49</f>
        <v>583.25330280533854</v>
      </c>
    </row>
    <row r="50" spans="1:42" ht="11.25" customHeight="1" x14ac:dyDescent="0.25">
      <c r="A50" s="94" t="s">
        <v>43</v>
      </c>
      <c r="B50" s="94" t="s">
        <v>23</v>
      </c>
      <c r="C50" s="94" t="s">
        <v>44</v>
      </c>
      <c r="D50" s="26" t="s">
        <v>45</v>
      </c>
      <c r="E50" s="26" t="s">
        <v>25</v>
      </c>
      <c r="F50" s="26" t="s">
        <v>25</v>
      </c>
      <c r="G50" s="27" t="s">
        <v>78</v>
      </c>
      <c r="H50" s="27" t="s">
        <v>72</v>
      </c>
      <c r="I50" s="27">
        <f>'MERCADO TUSD'!$U$47</f>
        <v>930.54300000000012</v>
      </c>
      <c r="J50" s="15"/>
      <c r="L50" s="17">
        <f>'TUSD BE'!$L$50*'TUSD BF'!$L$58</f>
        <v>0</v>
      </c>
      <c r="M50" s="17">
        <f>'TUSD BE'!$M$50*'TUSD BF'!$M$58</f>
        <v>0</v>
      </c>
      <c r="N50" s="17">
        <f ca="1">'TUSD BE'!$N$50*'TUSD BF'!$N$58</f>
        <v>0</v>
      </c>
      <c r="O50" s="17">
        <f>'TUSD BE'!$O$50*'TUSD BF'!$O$58</f>
        <v>0</v>
      </c>
      <c r="P50" s="17">
        <f>'TUSD BE'!$P$50*'TUSD BF'!$P$58</f>
        <v>0</v>
      </c>
      <c r="Q50" s="17">
        <f>'TUSD BE'!$Q$50*'TUSD BF'!$Q$58</f>
        <v>0</v>
      </c>
      <c r="R50" s="17">
        <f>'TUSD BE'!$R$50*'TUSD BF'!$R$58</f>
        <v>0</v>
      </c>
      <c r="S50" s="17">
        <f>'TUSD BE'!$R$50*'TUSD BF'!$S$58</f>
        <v>0</v>
      </c>
      <c r="T50" s="17">
        <f ca="1">SUM($L$50:$S$50)</f>
        <v>0</v>
      </c>
      <c r="U50" s="17">
        <f>'TUSD BE'!$U$50*'TUSD BF'!$U$58</f>
        <v>0</v>
      </c>
      <c r="V50" s="17">
        <f>'TUSD BE'!$V$50*'TUSD BF'!$V$58</f>
        <v>0</v>
      </c>
      <c r="W50" s="17">
        <f>'TUSD BE'!$W$50*'TUSD BF'!$W$58</f>
        <v>0</v>
      </c>
      <c r="X50" s="17">
        <f>'TUSD BE'!$X$50*'TUSD BF'!$X$58</f>
        <v>0</v>
      </c>
      <c r="Y50" s="17">
        <f>'TUSD BE'!$Y$50*'TUSD BF'!$Y$58</f>
        <v>0</v>
      </c>
      <c r="Z50" s="17">
        <f>'TUSD BE'!$Z$50*'TUSD BF'!$Z$58</f>
        <v>0</v>
      </c>
      <c r="AA50" s="17">
        <f>'TUSD BE'!$AA$50*'TUSD BF'!$AA$58</f>
        <v>0</v>
      </c>
      <c r="AB50" s="17">
        <f>SUM($U$50:$AA$50)</f>
        <v>0</v>
      </c>
      <c r="AC50" s="17">
        <f>'TUSD BE'!$AC$50*'TUSD BF'!$AC$58</f>
        <v>0</v>
      </c>
      <c r="AD50" s="17">
        <f>SUM($AC$50:$AC$50)</f>
        <v>0</v>
      </c>
      <c r="AE50" s="17">
        <f ca="1">$AO$50*$AO$55</f>
        <v>0</v>
      </c>
      <c r="AF50" s="17">
        <f ca="1">$AP$50*$AP$55</f>
        <v>0</v>
      </c>
      <c r="AG50" s="17">
        <f ca="1">SUM($AE$50:$AF$50)</f>
        <v>0</v>
      </c>
      <c r="AH50" s="17">
        <f>'TUSD BE'!$AH$50*'TUSD BF'!$AH$58</f>
        <v>0</v>
      </c>
      <c r="AI50" s="17">
        <f>'TUSD BE'!$AI$50*'TUSD BF'!$AI$58</f>
        <v>0</v>
      </c>
      <c r="AJ50" s="17">
        <f ca="1">'TUSD BE'!$AJ$50*'TUSD BF'!$AJ$58</f>
        <v>0</v>
      </c>
      <c r="AK50" s="17">
        <f ca="1">'TUSD BE'!$AK$50*'TUSD BF'!$AK$58</f>
        <v>0</v>
      </c>
      <c r="AL50" s="17">
        <f ca="1">SUM($AH$50:$AK$50)</f>
        <v>0</v>
      </c>
      <c r="AM50" s="17">
        <f ca="1">SUMIF($L$4:$AL$4,"SUBTOTAL",$L$50:$AL$50)</f>
        <v>0</v>
      </c>
      <c r="AO50" s="29">
        <f ca="1">+'TUSD BE'!$T$50+'TUSD BE'!$AB$50+'TUSD BE'!$AD$50+'TUSD BE'!$AL$50</f>
        <v>320.78931654293621</v>
      </c>
      <c r="AP50" s="29">
        <f ca="1">+'TUSD BE'!$T$50+'TUSD BE'!$AB$50+'TUSD BE'!$AD$50+'TUSD BE'!$AL$50</f>
        <v>320.78931654293621</v>
      </c>
    </row>
    <row r="51" spans="1:42" ht="11.25" customHeight="1" x14ac:dyDescent="0.25">
      <c r="A51" s="94"/>
      <c r="B51" s="94"/>
      <c r="C51" s="94"/>
      <c r="D51" s="27" t="s">
        <v>90</v>
      </c>
      <c r="E51" s="27" t="s">
        <v>25</v>
      </c>
      <c r="F51" s="27" t="s">
        <v>25</v>
      </c>
      <c r="G51" s="27" t="s">
        <v>78</v>
      </c>
      <c r="H51" s="27" t="s">
        <v>72</v>
      </c>
      <c r="I51" s="27">
        <f>'MERCADO TUSD'!$U$48</f>
        <v>0</v>
      </c>
      <c r="J51" s="15"/>
      <c r="L51" s="17">
        <f>'TUSD BE'!$L$51*'TUSD BF'!$L$58</f>
        <v>0</v>
      </c>
      <c r="M51" s="17">
        <f>'TUSD BE'!$M$51*'TUSD BF'!$M$58</f>
        <v>0</v>
      </c>
      <c r="N51" s="17">
        <f ca="1">'TUSD BE'!$N$51*'TUSD BF'!$N$58</f>
        <v>0</v>
      </c>
      <c r="O51" s="17">
        <f>'TUSD BE'!$O$51*'TUSD BF'!$O$58</f>
        <v>0</v>
      </c>
      <c r="P51" s="17">
        <f>'TUSD BE'!$P$51*'TUSD BF'!$P$58</f>
        <v>0</v>
      </c>
      <c r="Q51" s="17">
        <f>'TUSD BE'!$Q$51*'TUSD BF'!$Q$58</f>
        <v>0</v>
      </c>
      <c r="R51" s="17">
        <f>'TUSD BE'!$R$51*'TUSD BF'!$R$58</f>
        <v>0</v>
      </c>
      <c r="S51" s="17">
        <f>'TUSD BE'!$R$51*'TUSD BF'!$S$58</f>
        <v>0</v>
      </c>
      <c r="T51" s="17">
        <f ca="1">SUM($L$51:$S$51)</f>
        <v>0</v>
      </c>
      <c r="U51" s="17">
        <f>'TUSD BE'!$U$51*'TUSD BF'!$U$58</f>
        <v>0</v>
      </c>
      <c r="V51" s="17">
        <f>'TUSD BE'!$V$51*'TUSD BF'!$V$58</f>
        <v>0</v>
      </c>
      <c r="W51" s="17">
        <f>'TUSD BE'!$W$51*'TUSD BF'!$W$58</f>
        <v>0</v>
      </c>
      <c r="X51" s="17">
        <f>'TUSD BE'!$X$51*'TUSD BF'!$X$58</f>
        <v>0</v>
      </c>
      <c r="Y51" s="17">
        <f>'TUSD BE'!$Y$51*'TUSD BF'!$Y$58</f>
        <v>0</v>
      </c>
      <c r="Z51" s="17">
        <f>'TUSD BE'!$Z$51*'TUSD BF'!$Z$58</f>
        <v>0</v>
      </c>
      <c r="AA51" s="17">
        <f>'TUSD BE'!$AA$51*'TUSD BF'!$AA$58</f>
        <v>0</v>
      </c>
      <c r="AB51" s="17">
        <f>SUM($U$51:$AA$51)</f>
        <v>0</v>
      </c>
      <c r="AC51" s="17">
        <f>'TUSD BE'!$AC$51*'TUSD BF'!$AC$58</f>
        <v>0</v>
      </c>
      <c r="AD51" s="17">
        <f>SUM($AC$51:$AC$51)</f>
        <v>0</v>
      </c>
      <c r="AE51" s="17">
        <f ca="1">$AO$51*$AO$55</f>
        <v>0</v>
      </c>
      <c r="AF51" s="17">
        <f ca="1">$AP$51*$AP$55</f>
        <v>0</v>
      </c>
      <c r="AG51" s="17">
        <f ca="1">SUM($AE$51:$AF$51)</f>
        <v>0</v>
      </c>
      <c r="AH51" s="17">
        <f>'TUSD BE'!$AH$51*'TUSD BF'!$AH$58</f>
        <v>0</v>
      </c>
      <c r="AI51" s="17">
        <f>'TUSD BE'!$AI$51*'TUSD BF'!$AI$58</f>
        <v>0</v>
      </c>
      <c r="AJ51" s="17">
        <f ca="1">'TUSD BE'!$AJ$51*'TUSD BF'!$AJ$58</f>
        <v>0</v>
      </c>
      <c r="AK51" s="17">
        <f ca="1">'TUSD BE'!$AK$51*'TUSD BF'!$AK$58</f>
        <v>0</v>
      </c>
      <c r="AL51" s="17">
        <f ca="1">SUM($AH$51:$AK$51)</f>
        <v>0</v>
      </c>
      <c r="AM51" s="17">
        <f ca="1">SUMIF($L$4:$AL$4,"SUBTOTAL",$L$51:$AL$51)</f>
        <v>0</v>
      </c>
      <c r="AO51" s="29">
        <f ca="1">+'TUSD BE'!$T$51+'TUSD BE'!$AB$51+'TUSD BE'!$AD$51+'TUSD BE'!$AL$51</f>
        <v>349.95198168320314</v>
      </c>
      <c r="AP51" s="29">
        <f ca="1">+'TUSD BE'!$T$51+'TUSD BE'!$AB$51+'TUSD BE'!$AD$51+'TUSD BE'!$AL$51</f>
        <v>349.95198168320314</v>
      </c>
    </row>
    <row r="53" spans="1:42" ht="11.25" customHeight="1" x14ac:dyDescent="0.25">
      <c r="K53" s="18" t="s">
        <v>496</v>
      </c>
      <c r="L53" s="17">
        <f>SUMPRODUCT($I$5:$I51,$L$5:$L51)</f>
        <v>0</v>
      </c>
      <c r="M53" s="17">
        <f>SUMPRODUCT($I$5:$I51,$M$5:$M51)</f>
        <v>0</v>
      </c>
      <c r="N53" s="17">
        <f ca="1">SUMPRODUCT($I$5:$I51,$N$5:$N51)</f>
        <v>0</v>
      </c>
      <c r="O53" s="17">
        <f>SUMPRODUCT($I$5:$I51,$O$5:$O51)</f>
        <v>0</v>
      </c>
      <c r="P53" s="17">
        <f>SUMPRODUCT($I$5:$I51,$P$5:$P51)</f>
        <v>0</v>
      </c>
      <c r="Q53" s="17">
        <f>SUMPRODUCT($I$5:$I51,$Q$5:$Q51)</f>
        <v>0</v>
      </c>
      <c r="R53" s="17">
        <f>SUMPRODUCT($I$5:$I51,$R$5:$R51)</f>
        <v>0</v>
      </c>
      <c r="S53" s="17">
        <f>SUMPRODUCT($I$5:$I51,$S$5:$S51)</f>
        <v>0</v>
      </c>
      <c r="T53" s="17">
        <f ca="1">SUMPRODUCT($I$5:$I51,$T$5:$T51)</f>
        <v>0</v>
      </c>
      <c r="U53" s="17">
        <f>SUMPRODUCT($I$5:$I51,$U$5:$U51)</f>
        <v>0</v>
      </c>
      <c r="V53" s="17">
        <f>SUMPRODUCT($I$5:$I51,$V$5:$V51)</f>
        <v>0</v>
      </c>
      <c r="W53" s="17">
        <f>SUMPRODUCT($I$5:$I51,$W$5:$W51)</f>
        <v>0</v>
      </c>
      <c r="X53" s="17">
        <f>SUMPRODUCT($I$5:$I51,$X$5:$X51)</f>
        <v>0</v>
      </c>
      <c r="Y53" s="17">
        <f>SUMPRODUCT($I$5:$I51,$Y$5:$Y51)</f>
        <v>0</v>
      </c>
      <c r="Z53" s="17">
        <f>SUMPRODUCT($I$5:$I51,$Z$5:$Z51)</f>
        <v>0</v>
      </c>
      <c r="AA53" s="17">
        <f>SUMPRODUCT($I$5:$I51,$AA$5:$AA51)</f>
        <v>0</v>
      </c>
      <c r="AB53" s="17">
        <f>SUMPRODUCT($I$5:$I51,$AB$5:$AB51)</f>
        <v>0</v>
      </c>
      <c r="AC53" s="17">
        <f>SUMPRODUCT($I$5:$I51,$AC$5:$AC51)</f>
        <v>0</v>
      </c>
      <c r="AD53" s="17">
        <f>SUMPRODUCT($I$5:$I51,$AD$5:$AD51)</f>
        <v>0</v>
      </c>
      <c r="AE53" s="17">
        <f ca="1">SUMPRODUCT($I$5:$I51,$AE$5:$AE51)</f>
        <v>0</v>
      </c>
      <c r="AF53" s="17">
        <f ca="1">SUMPRODUCT($I$5:$I51,$AF$5:$AF51)</f>
        <v>0</v>
      </c>
      <c r="AG53" s="17">
        <f ca="1">SUMPRODUCT($I$5:$I51,$AG$5:$AG51)</f>
        <v>0</v>
      </c>
      <c r="AH53" s="17">
        <f>SUMPRODUCT($I$5:$I51,$AH$5:$AH51)</f>
        <v>0</v>
      </c>
      <c r="AI53" s="17">
        <f>SUMPRODUCT($I$5:$I51,$AI$5:$AI51)</f>
        <v>0</v>
      </c>
      <c r="AJ53" s="17">
        <f ca="1">SUMPRODUCT($I$5:$I51,$AJ$5:$AJ51)</f>
        <v>0</v>
      </c>
      <c r="AK53" s="17">
        <f ca="1">SUMPRODUCT($I$5:$I51,$AK$5:$AK51)</f>
        <v>0</v>
      </c>
      <c r="AL53" s="17">
        <f ca="1">SUMPRODUCT($I$5:$I51,$AL$5:$AL51)</f>
        <v>0</v>
      </c>
      <c r="AM53" s="17">
        <f ca="1">SUMPRODUCT($I$5:$I51,$AM$5:$AM51)</f>
        <v>0</v>
      </c>
      <c r="AO53" s="27">
        <f ca="1">SUMPRODUCT($I$5:$I51,$AO$5:$AO51)</f>
        <v>46670673.964825176</v>
      </c>
      <c r="AP53" s="27">
        <f ca="1">SUMPRODUCT($I$5:$I51,$AP$5:$AP51)</f>
        <v>46670673.964825176</v>
      </c>
    </row>
    <row r="54" spans="1:42" ht="11.25" customHeight="1" x14ac:dyDescent="0.25">
      <c r="K54" s="18" t="s">
        <v>428</v>
      </c>
      <c r="L54" s="17">
        <f>'TR TUSD'!$L$56</f>
        <v>0</v>
      </c>
      <c r="M54" s="17">
        <f>'TR TUSD'!$M$56</f>
        <v>109835.60937026615</v>
      </c>
      <c r="N54" s="17">
        <f>'TR TUSD'!$N$56</f>
        <v>0</v>
      </c>
      <c r="O54" s="17">
        <f>'TR TUSD'!$O$56</f>
        <v>0</v>
      </c>
      <c r="P54" s="17">
        <f>'TR TUSD'!$P$56</f>
        <v>0</v>
      </c>
      <c r="Q54" s="17">
        <f>'TR TUSD'!$Q$56</f>
        <v>7706465.960090002</v>
      </c>
      <c r="R54" s="17">
        <f>'TR TUSD'!$R$56</f>
        <v>1291204.2324600006</v>
      </c>
      <c r="S54" s="17">
        <f>'TR TUSD'!$S$56</f>
        <v>0</v>
      </c>
      <c r="T54" s="17">
        <f>'TR TUSD'!$T$56</f>
        <v>9107505.8019202687</v>
      </c>
      <c r="U54" s="17">
        <f>'TR TUSD'!$U$56</f>
        <v>0</v>
      </c>
      <c r="V54" s="17">
        <f>'TR TUSD'!$V$56</f>
        <v>0</v>
      </c>
      <c r="W54" s="17">
        <f>'TR TUSD'!$W$56</f>
        <v>0</v>
      </c>
      <c r="X54" s="17">
        <f>'TR TUSD'!$X$56</f>
        <v>0</v>
      </c>
      <c r="Y54" s="17">
        <f>'TR TUSD'!$Y$56</f>
        <v>10275212.197579999</v>
      </c>
      <c r="Z54" s="17">
        <f>'TR TUSD'!$Z$56</f>
        <v>0</v>
      </c>
      <c r="AA54" s="17">
        <f>'TR TUSD'!$AA$56</f>
        <v>0</v>
      </c>
      <c r="AB54" s="17">
        <f>'TR TUSD'!$AB$56</f>
        <v>10275212.197579999</v>
      </c>
      <c r="AC54" s="17">
        <f>'TR TUSD'!$AC$56</f>
        <v>26000000</v>
      </c>
      <c r="AD54" s="17">
        <f>'TR TUSD'!$AD$56</f>
        <v>26000000</v>
      </c>
      <c r="AE54" s="17">
        <f>'TR TUSD'!$AE$56</f>
        <v>0</v>
      </c>
      <c r="AF54" s="17">
        <f>'TR TUSD'!$AF$56</f>
        <v>0</v>
      </c>
      <c r="AG54" s="17">
        <f>'TR TUSD'!$AG$56</f>
        <v>0</v>
      </c>
      <c r="AH54" s="17">
        <f>'TR TUSD'!$AH$56</f>
        <v>1287955.9653249066</v>
      </c>
      <c r="AI54" s="17">
        <f>'TR TUSD'!$AI$56</f>
        <v>0</v>
      </c>
      <c r="AJ54" s="17">
        <f>'TR TUSD'!$AJ$56</f>
        <v>0</v>
      </c>
      <c r="AK54" s="17">
        <f>'TR TUSD'!$AK$56</f>
        <v>0</v>
      </c>
      <c r="AL54" s="17">
        <f>'TR TUSD'!$AL$56</f>
        <v>1287955.9653249066</v>
      </c>
      <c r="AM54" s="17">
        <f>CUSTOS!$D$29</f>
        <v>46670673.964825176</v>
      </c>
      <c r="AO54" s="27">
        <f>$AE$56</f>
        <v>0</v>
      </c>
      <c r="AP54" s="27">
        <f>$AF$56</f>
        <v>0</v>
      </c>
    </row>
    <row r="55" spans="1:42" ht="11.25" customHeight="1" x14ac:dyDescent="0.25">
      <c r="K55" s="18" t="s">
        <v>429</v>
      </c>
      <c r="L55" s="17">
        <f>CUSTOS!$E$2</f>
        <v>0</v>
      </c>
      <c r="M55" s="17">
        <f>CUSTOS!$E$3</f>
        <v>4204.1088071347203</v>
      </c>
      <c r="N55" s="17">
        <f>CUSTOS!$E$4</f>
        <v>0</v>
      </c>
      <c r="O55" s="17">
        <f>CUSTOS!$E$5</f>
        <v>0</v>
      </c>
      <c r="P55" s="17">
        <f>CUSTOS!$E$6</f>
        <v>0</v>
      </c>
      <c r="Q55" s="17">
        <f>CUSTOS!$E$7</f>
        <v>181053.9608331761</v>
      </c>
      <c r="R55" s="17">
        <f>CUSTOS!$E$8</f>
        <v>27576.297970177777</v>
      </c>
      <c r="S55" s="17">
        <f>CUSTOS!$E$9</f>
        <v>0</v>
      </c>
      <c r="T55" s="17">
        <f>CUSTOS!$E$10</f>
        <v>212834.36761048861</v>
      </c>
      <c r="U55" s="17">
        <f>CUSTOS!$E$11</f>
        <v>0</v>
      </c>
      <c r="V55" s="17">
        <f>CUSTOS!$E$12</f>
        <v>0</v>
      </c>
      <c r="W55" s="17">
        <f>CUSTOS!$E$13</f>
        <v>0</v>
      </c>
      <c r="X55" s="17">
        <f>CUSTOS!$E$14</f>
        <v>0</v>
      </c>
      <c r="Y55" s="17">
        <f>CUSTOS!$E$15</f>
        <v>-1451207.6955431984</v>
      </c>
      <c r="Z55" s="17">
        <f>CUSTOS!$E$16</f>
        <v>0</v>
      </c>
      <c r="AA55" s="17">
        <f>CUSTOS!$E$17</f>
        <v>0</v>
      </c>
      <c r="AB55" s="17">
        <f>CUSTOS!$E$18</f>
        <v>-1451207.6955431984</v>
      </c>
      <c r="AC55" s="17">
        <f>CUSTOS!$E$19</f>
        <v>-11769398.069312805</v>
      </c>
      <c r="AD55" s="17">
        <f>CUSTOS!$E$20</f>
        <v>-11769398.069312805</v>
      </c>
      <c r="AE55" s="17">
        <f>CUSTOS!$E$21</f>
        <v>0</v>
      </c>
      <c r="AF55" s="17">
        <f>CUSTOS!$E$22</f>
        <v>0</v>
      </c>
      <c r="AG55" s="17">
        <f>CUSTOS!$E$23</f>
        <v>0</v>
      </c>
      <c r="AH55" s="17">
        <f>CUSTOS!$E$24</f>
        <v>74044.85200701881</v>
      </c>
      <c r="AI55" s="17">
        <f>CUSTOS!$E$25</f>
        <v>0</v>
      </c>
      <c r="AJ55" s="17">
        <f>CUSTOS!$E$26</f>
        <v>0</v>
      </c>
      <c r="AK55" s="17">
        <f>CUSTOS!$E$27</f>
        <v>0</v>
      </c>
      <c r="AL55" s="17">
        <f>CUSTOS!$E$28</f>
        <v>74044.85200701881</v>
      </c>
      <c r="AM55" s="17">
        <f>CUSTOS!$E$29</f>
        <v>-12933726.545238497</v>
      </c>
      <c r="AO55" s="27">
        <f ca="1">IF(AO53&lt;&gt;0,AO54/AO53,0)</f>
        <v>0</v>
      </c>
      <c r="AP55" s="27">
        <f ca="1">IF(AP53&lt;&gt;0,AP54/AP53,0)</f>
        <v>0</v>
      </c>
    </row>
    <row r="56" spans="1:42" ht="11.25" customHeight="1" x14ac:dyDescent="0.25">
      <c r="K56" s="18" t="s">
        <v>430</v>
      </c>
      <c r="L56" s="17">
        <f>CUSTOS!$F$2</f>
        <v>0</v>
      </c>
      <c r="M56" s="17">
        <f>CUSTOS!$F$3</f>
        <v>0</v>
      </c>
      <c r="N56" s="17">
        <f>CUSTOS!$F$4</f>
        <v>0</v>
      </c>
      <c r="O56" s="17">
        <f>CUSTOS!$F$5</f>
        <v>0</v>
      </c>
      <c r="P56" s="17">
        <f>CUSTOS!$F$6</f>
        <v>0</v>
      </c>
      <c r="Q56" s="17">
        <f>CUSTOS!$F$7</f>
        <v>0</v>
      </c>
      <c r="R56" s="17">
        <f>CUSTOS!$F$8</f>
        <v>0</v>
      </c>
      <c r="S56" s="17">
        <f>CUSTOS!$F$9</f>
        <v>0</v>
      </c>
      <c r="T56" s="17">
        <f>CUSTOS!$F$10</f>
        <v>0</v>
      </c>
      <c r="U56" s="17">
        <f>CUSTOS!$F$11</f>
        <v>0</v>
      </c>
      <c r="V56" s="17">
        <f>CUSTOS!$F$12</f>
        <v>0</v>
      </c>
      <c r="W56" s="17">
        <f>CUSTOS!$F$13</f>
        <v>0</v>
      </c>
      <c r="X56" s="17">
        <f>CUSTOS!$F$14</f>
        <v>0</v>
      </c>
      <c r="Y56" s="17">
        <f>CUSTOS!$F$15</f>
        <v>0</v>
      </c>
      <c r="Z56" s="17">
        <f>CUSTOS!$F$16</f>
        <v>0</v>
      </c>
      <c r="AA56" s="17">
        <f>CUSTOS!$F$17</f>
        <v>0</v>
      </c>
      <c r="AB56" s="17">
        <f>CUSTOS!$F$18</f>
        <v>0</v>
      </c>
      <c r="AC56" s="17">
        <f>CUSTOS!$F$19</f>
        <v>0</v>
      </c>
      <c r="AD56" s="17">
        <f>CUSTOS!$F$20</f>
        <v>0</v>
      </c>
      <c r="AE56" s="17">
        <f>CUSTOS!$F$21</f>
        <v>0</v>
      </c>
      <c r="AF56" s="17">
        <f>CUSTOS!$F$22</f>
        <v>0</v>
      </c>
      <c r="AG56" s="17">
        <f>CUSTOS!$F$23</f>
        <v>0</v>
      </c>
      <c r="AH56" s="17">
        <f>CUSTOS!$F$24</f>
        <v>0</v>
      </c>
      <c r="AI56" s="17">
        <f>CUSTOS!$F$25</f>
        <v>0</v>
      </c>
      <c r="AJ56" s="17">
        <f>CUSTOS!$F$26</f>
        <v>0</v>
      </c>
      <c r="AK56" s="17">
        <f>CUSTOS!$F$27</f>
        <v>0</v>
      </c>
      <c r="AL56" s="17">
        <f>CUSTOS!$F$28</f>
        <v>0</v>
      </c>
      <c r="AM56" s="17">
        <f>CUSTOS!$F$29</f>
        <v>0</v>
      </c>
    </row>
    <row r="57" spans="1:42" ht="11.25" customHeight="1" x14ac:dyDescent="0.25">
      <c r="K57" s="18" t="s">
        <v>493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/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/>
      <c r="AC57" s="17">
        <v>0</v>
      </c>
      <c r="AD57" s="17"/>
      <c r="AE57" s="17">
        <v>0</v>
      </c>
      <c r="AF57" s="17">
        <v>0</v>
      </c>
      <c r="AG57" s="17"/>
      <c r="AH57" s="17">
        <v>0</v>
      </c>
      <c r="AI57" s="17">
        <v>0</v>
      </c>
      <c r="AJ57" s="17">
        <v>0</v>
      </c>
      <c r="AK57" s="17">
        <v>0</v>
      </c>
      <c r="AL57" s="17"/>
      <c r="AM57" s="17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684" priority="55" operator="notEqual">
      <formula>$L$56</formula>
    </cfRule>
    <cfRule type="cellIs" dxfId="683" priority="56" operator="equal">
      <formula>$L$56</formula>
    </cfRule>
  </conditionalFormatting>
  <conditionalFormatting sqref="M53">
    <cfRule type="cellIs" dxfId="682" priority="53" operator="notEqual">
      <formula>$M$56</formula>
    </cfRule>
    <cfRule type="cellIs" dxfId="681" priority="54" operator="equal">
      <formula>$M$56</formula>
    </cfRule>
  </conditionalFormatting>
  <conditionalFormatting sqref="N53">
    <cfRule type="cellIs" dxfId="680" priority="51" operator="notEqual">
      <formula>$N$56</formula>
    </cfRule>
    <cfRule type="cellIs" dxfId="679" priority="52" operator="equal">
      <formula>$N$56</formula>
    </cfRule>
  </conditionalFormatting>
  <conditionalFormatting sqref="O53">
    <cfRule type="cellIs" dxfId="678" priority="49" operator="notEqual">
      <formula>$O$56</formula>
    </cfRule>
    <cfRule type="cellIs" dxfId="677" priority="50" operator="equal">
      <formula>$O$56</formula>
    </cfRule>
  </conditionalFormatting>
  <conditionalFormatting sqref="P53">
    <cfRule type="cellIs" dxfId="676" priority="47" operator="notEqual">
      <formula>$P$56</formula>
    </cfRule>
    <cfRule type="cellIs" dxfId="675" priority="48" operator="equal">
      <formula>$P$56</formula>
    </cfRule>
  </conditionalFormatting>
  <conditionalFormatting sqref="Q53">
    <cfRule type="cellIs" dxfId="674" priority="45" operator="notEqual">
      <formula>$Q$56</formula>
    </cfRule>
    <cfRule type="cellIs" dxfId="673" priority="46" operator="equal">
      <formula>$Q$56</formula>
    </cfRule>
  </conditionalFormatting>
  <conditionalFormatting sqref="R53">
    <cfRule type="cellIs" dxfId="672" priority="43" operator="notEqual">
      <formula>$R$56</formula>
    </cfRule>
    <cfRule type="cellIs" dxfId="671" priority="44" operator="equal">
      <formula>$R$56</formula>
    </cfRule>
  </conditionalFormatting>
  <conditionalFormatting sqref="S53">
    <cfRule type="cellIs" dxfId="670" priority="41" operator="notEqual">
      <formula>$S$56</formula>
    </cfRule>
    <cfRule type="cellIs" dxfId="669" priority="42" operator="equal">
      <formula>$S$56</formula>
    </cfRule>
  </conditionalFormatting>
  <conditionalFormatting sqref="T53">
    <cfRule type="cellIs" dxfId="668" priority="39" operator="notEqual">
      <formula>$T$56</formula>
    </cfRule>
    <cfRule type="cellIs" dxfId="667" priority="40" operator="equal">
      <formula>$T$56</formula>
    </cfRule>
  </conditionalFormatting>
  <conditionalFormatting sqref="U53">
    <cfRule type="cellIs" dxfId="666" priority="37" operator="notEqual">
      <formula>$U$56</formula>
    </cfRule>
    <cfRule type="cellIs" dxfId="665" priority="38" operator="equal">
      <formula>$U$56</formula>
    </cfRule>
  </conditionalFormatting>
  <conditionalFormatting sqref="V53">
    <cfRule type="cellIs" dxfId="664" priority="35" operator="notEqual">
      <formula>$V$56</formula>
    </cfRule>
    <cfRule type="cellIs" dxfId="663" priority="36" operator="equal">
      <formula>$V$56</formula>
    </cfRule>
  </conditionalFormatting>
  <conditionalFormatting sqref="W53">
    <cfRule type="cellIs" dxfId="662" priority="33" operator="notEqual">
      <formula>$W$56</formula>
    </cfRule>
    <cfRule type="cellIs" dxfId="661" priority="34" operator="equal">
      <formula>$W$56</formula>
    </cfRule>
  </conditionalFormatting>
  <conditionalFormatting sqref="X53">
    <cfRule type="cellIs" dxfId="660" priority="31" operator="notEqual">
      <formula>$X$56</formula>
    </cfRule>
    <cfRule type="cellIs" dxfId="659" priority="32" operator="equal">
      <formula>$X$56</formula>
    </cfRule>
  </conditionalFormatting>
  <conditionalFormatting sqref="Y53">
    <cfRule type="cellIs" dxfId="658" priority="29" operator="notEqual">
      <formula>$Y$56</formula>
    </cfRule>
    <cfRule type="cellIs" dxfId="657" priority="30" operator="equal">
      <formula>$Y$56</formula>
    </cfRule>
  </conditionalFormatting>
  <conditionalFormatting sqref="Z53">
    <cfRule type="cellIs" dxfId="656" priority="27" operator="notEqual">
      <formula>$Z$56</formula>
    </cfRule>
    <cfRule type="cellIs" dxfId="655" priority="28" operator="equal">
      <formula>$Z$56</formula>
    </cfRule>
  </conditionalFormatting>
  <conditionalFormatting sqref="AA53">
    <cfRule type="cellIs" dxfId="654" priority="25" operator="notEqual">
      <formula>$AA$56</formula>
    </cfRule>
    <cfRule type="cellIs" dxfId="653" priority="26" operator="equal">
      <formula>$AA$56</formula>
    </cfRule>
  </conditionalFormatting>
  <conditionalFormatting sqref="AB53">
    <cfRule type="cellIs" dxfId="652" priority="23" operator="notEqual">
      <formula>$AB$56</formula>
    </cfRule>
    <cfRule type="cellIs" dxfId="651" priority="24" operator="equal">
      <formula>$AB$56</formula>
    </cfRule>
  </conditionalFormatting>
  <conditionalFormatting sqref="AC53">
    <cfRule type="cellIs" dxfId="650" priority="21" operator="notEqual">
      <formula>$AC$56</formula>
    </cfRule>
    <cfRule type="cellIs" dxfId="649" priority="22" operator="equal">
      <formula>$AC$56</formula>
    </cfRule>
  </conditionalFormatting>
  <conditionalFormatting sqref="AD53">
    <cfRule type="cellIs" dxfId="648" priority="19" operator="notEqual">
      <formula>$AD$56</formula>
    </cfRule>
    <cfRule type="cellIs" dxfId="647" priority="20" operator="equal">
      <formula>$AD$56</formula>
    </cfRule>
  </conditionalFormatting>
  <conditionalFormatting sqref="AE53">
    <cfRule type="cellIs" dxfId="646" priority="17" operator="notEqual">
      <formula>$AE$56</formula>
    </cfRule>
    <cfRule type="cellIs" dxfId="645" priority="18" operator="equal">
      <formula>$AE$56</formula>
    </cfRule>
  </conditionalFormatting>
  <conditionalFormatting sqref="AF53">
    <cfRule type="cellIs" dxfId="644" priority="16" operator="equal">
      <formula>$AF$56</formula>
    </cfRule>
  </conditionalFormatting>
  <conditionalFormatting sqref="AF53">
    <cfRule type="cellIs" dxfId="643" priority="15" operator="notEqual">
      <formula>$AF$56</formula>
    </cfRule>
  </conditionalFormatting>
  <conditionalFormatting sqref="AG53">
    <cfRule type="cellIs" dxfId="642" priority="14" operator="equal">
      <formula>$AG$56</formula>
    </cfRule>
  </conditionalFormatting>
  <conditionalFormatting sqref="AG53">
    <cfRule type="cellIs" dxfId="641" priority="13" operator="notEqual">
      <formula>$AG$56</formula>
    </cfRule>
  </conditionalFormatting>
  <conditionalFormatting sqref="AH53">
    <cfRule type="cellIs" dxfId="640" priority="12" operator="equal">
      <formula>$AH$56</formula>
    </cfRule>
  </conditionalFormatting>
  <conditionalFormatting sqref="AH53">
    <cfRule type="cellIs" dxfId="639" priority="11" operator="notEqual">
      <formula>$AH$56</formula>
    </cfRule>
  </conditionalFormatting>
  <conditionalFormatting sqref="AI53">
    <cfRule type="cellIs" dxfId="638" priority="10" operator="equal">
      <formula>$AI$56</formula>
    </cfRule>
  </conditionalFormatting>
  <conditionalFormatting sqref="AI53">
    <cfRule type="cellIs" dxfId="637" priority="9" operator="notEqual">
      <formula>$AI$56</formula>
    </cfRule>
  </conditionalFormatting>
  <conditionalFormatting sqref="AJ53">
    <cfRule type="cellIs" dxfId="636" priority="8" operator="equal">
      <formula>$AJ$56</formula>
    </cfRule>
  </conditionalFormatting>
  <conditionalFormatting sqref="AJ53">
    <cfRule type="cellIs" dxfId="635" priority="7" operator="notEqual">
      <formula>$AJ$56</formula>
    </cfRule>
  </conditionalFormatting>
  <conditionalFormatting sqref="AK53">
    <cfRule type="cellIs" dxfId="634" priority="6" operator="equal">
      <formula>$AK$56</formula>
    </cfRule>
  </conditionalFormatting>
  <conditionalFormatting sqref="AK53">
    <cfRule type="cellIs" dxfId="633" priority="5" operator="notEqual">
      <formula>$AK$56</formula>
    </cfRule>
  </conditionalFormatting>
  <conditionalFormatting sqref="AL53">
    <cfRule type="cellIs" dxfId="632" priority="4" operator="equal">
      <formula>$AL$56</formula>
    </cfRule>
  </conditionalFormatting>
  <conditionalFormatting sqref="AL53">
    <cfRule type="cellIs" dxfId="631" priority="3" operator="notEqual">
      <formula>$AL$56</formula>
    </cfRule>
  </conditionalFormatting>
  <conditionalFormatting sqref="AM53">
    <cfRule type="cellIs" dxfId="630" priority="2" operator="equal">
      <formula>$AM$56</formula>
    </cfRule>
  </conditionalFormatting>
  <conditionalFormatting sqref="AM53">
    <cfRule type="cellIs" dxfId="629" priority="1" operator="notEqual">
      <formula>$AM$56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A15B-0BB1-418F-A150-D2AA8A5FB978}">
  <sheetPr codeName="Planilha12"/>
  <dimension ref="A1:AB49"/>
  <sheetViews>
    <sheetView showGridLines="0" topLeftCell="A24" workbookViewId="0">
      <selection activeCell="K43" sqref="K43:AB49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.85546875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04" t="s">
        <v>62</v>
      </c>
      <c r="B1" s="104" t="s">
        <v>63</v>
      </c>
      <c r="C1" s="104" t="s">
        <v>64</v>
      </c>
      <c r="D1" s="104" t="s">
        <v>65</v>
      </c>
      <c r="E1" s="104" t="s">
        <v>66</v>
      </c>
      <c r="F1" s="104" t="s">
        <v>15</v>
      </c>
      <c r="G1" s="104" t="s">
        <v>68</v>
      </c>
      <c r="H1" s="104" t="s">
        <v>69</v>
      </c>
      <c r="I1" s="104" t="s">
        <v>487</v>
      </c>
      <c r="J1" s="90"/>
      <c r="L1" s="102" t="s">
        <v>502</v>
      </c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</row>
    <row r="2" spans="1:28" ht="11.2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90"/>
      <c r="L2" s="102" t="s">
        <v>414</v>
      </c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</row>
    <row r="3" spans="1:28" ht="11.2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90"/>
      <c r="L3" s="102" t="s">
        <v>387</v>
      </c>
      <c r="M3" s="102"/>
      <c r="N3" s="102"/>
      <c r="O3" s="102"/>
      <c r="P3" s="102"/>
      <c r="Q3" s="102"/>
      <c r="R3" s="102" t="s">
        <v>418</v>
      </c>
      <c r="S3" s="102"/>
      <c r="T3" s="102" t="s">
        <v>396</v>
      </c>
      <c r="U3" s="102"/>
      <c r="V3" s="102"/>
      <c r="W3" s="102"/>
      <c r="X3" s="102" t="s">
        <v>406</v>
      </c>
      <c r="Y3" s="102"/>
      <c r="Z3" s="102" t="s">
        <v>409</v>
      </c>
      <c r="AA3" s="102"/>
      <c r="AB3" s="102" t="s">
        <v>395</v>
      </c>
    </row>
    <row r="4" spans="1:28" ht="11.25" customHeight="1" x14ac:dyDescent="0.25">
      <c r="A4" s="104"/>
      <c r="B4" s="104"/>
      <c r="C4" s="104"/>
      <c r="D4" s="104"/>
      <c r="E4" s="104"/>
      <c r="F4" s="104"/>
      <c r="G4" s="104"/>
      <c r="H4" s="104"/>
      <c r="I4" s="104"/>
      <c r="J4" s="90"/>
      <c r="L4" s="33" t="s">
        <v>389</v>
      </c>
      <c r="M4" s="33" t="s">
        <v>415</v>
      </c>
      <c r="N4" s="33" t="s">
        <v>416</v>
      </c>
      <c r="O4" s="33" t="s">
        <v>475</v>
      </c>
      <c r="P4" s="33" t="s">
        <v>417</v>
      </c>
      <c r="Q4" s="33" t="s">
        <v>395</v>
      </c>
      <c r="R4" s="33" t="s">
        <v>419</v>
      </c>
      <c r="S4" s="33" t="s">
        <v>395</v>
      </c>
      <c r="T4" s="33" t="s">
        <v>420</v>
      </c>
      <c r="U4" s="33" t="s">
        <v>421</v>
      </c>
      <c r="V4" s="33" t="s">
        <v>422</v>
      </c>
      <c r="W4" s="33" t="s">
        <v>395</v>
      </c>
      <c r="X4" s="33" t="s">
        <v>407</v>
      </c>
      <c r="Y4" s="33" t="s">
        <v>395</v>
      </c>
      <c r="Z4" s="33" t="s">
        <v>423</v>
      </c>
      <c r="AA4" s="33" t="s">
        <v>395</v>
      </c>
      <c r="AB4" s="103"/>
    </row>
    <row r="5" spans="1:28" ht="11.25" customHeight="1" x14ac:dyDescent="0.25">
      <c r="A5" s="105" t="s">
        <v>35</v>
      </c>
      <c r="B5" s="105" t="s">
        <v>71</v>
      </c>
      <c r="C5" s="105" t="s">
        <v>25</v>
      </c>
      <c r="D5" s="105" t="s">
        <v>25</v>
      </c>
      <c r="E5" s="105" t="s">
        <v>25</v>
      </c>
      <c r="F5" s="105" t="s">
        <v>25</v>
      </c>
      <c r="G5" s="32" t="s">
        <v>73</v>
      </c>
      <c r="H5" s="32" t="s">
        <v>72</v>
      </c>
      <c r="I5" s="32">
        <f>'MERCADO TE'!$U$2</f>
        <v>1276.5</v>
      </c>
      <c r="J5" s="15"/>
      <c r="L5" s="29">
        <v>1</v>
      </c>
      <c r="M5" s="29">
        <v>1</v>
      </c>
      <c r="N5" s="29">
        <v>1</v>
      </c>
      <c r="O5" s="29">
        <v>1</v>
      </c>
      <c r="P5" s="29">
        <v>1</v>
      </c>
      <c r="Q5" s="29"/>
      <c r="R5" s="29">
        <v>1</v>
      </c>
      <c r="S5" s="29"/>
      <c r="T5" s="29">
        <v>1</v>
      </c>
      <c r="U5" s="29">
        <v>1</v>
      </c>
      <c r="V5" s="29">
        <v>1</v>
      </c>
      <c r="W5" s="29"/>
      <c r="X5" s="29"/>
      <c r="Y5" s="29"/>
      <c r="Z5" s="29">
        <v>1</v>
      </c>
      <c r="AA5" s="29"/>
      <c r="AB5" s="29"/>
    </row>
    <row r="6" spans="1:28" ht="11.25" customHeight="1" x14ac:dyDescent="0.25">
      <c r="A6" s="105"/>
      <c r="B6" s="105"/>
      <c r="C6" s="105"/>
      <c r="D6" s="105"/>
      <c r="E6" s="105"/>
      <c r="F6" s="105"/>
      <c r="G6" s="32" t="s">
        <v>74</v>
      </c>
      <c r="H6" s="32" t="s">
        <v>72</v>
      </c>
      <c r="I6" s="32">
        <f>'MERCADO TE'!$U$3</f>
        <v>30799.609</v>
      </c>
      <c r="J6" s="15"/>
      <c r="L6" s="29">
        <v>1</v>
      </c>
      <c r="M6" s="29">
        <v>1</v>
      </c>
      <c r="N6" s="29">
        <v>1</v>
      </c>
      <c r="O6" s="29">
        <v>1</v>
      </c>
      <c r="P6" s="29">
        <v>1</v>
      </c>
      <c r="Q6" s="29"/>
      <c r="R6" s="29">
        <v>1</v>
      </c>
      <c r="S6" s="29"/>
      <c r="T6" s="29">
        <v>1</v>
      </c>
      <c r="U6" s="29">
        <v>1</v>
      </c>
      <c r="V6" s="29">
        <v>1</v>
      </c>
      <c r="W6" s="29"/>
      <c r="X6" s="29"/>
      <c r="Y6" s="29"/>
      <c r="Z6" s="29">
        <v>1</v>
      </c>
      <c r="AA6" s="29"/>
      <c r="AB6" s="29"/>
    </row>
    <row r="7" spans="1:28" ht="11.25" customHeight="1" x14ac:dyDescent="0.25">
      <c r="A7" s="105" t="s">
        <v>22</v>
      </c>
      <c r="B7" s="105" t="s">
        <v>71</v>
      </c>
      <c r="C7" s="105" t="s">
        <v>24</v>
      </c>
      <c r="D7" s="105" t="s">
        <v>24</v>
      </c>
      <c r="E7" s="105" t="s">
        <v>25</v>
      </c>
      <c r="F7" s="105" t="s">
        <v>25</v>
      </c>
      <c r="G7" s="32" t="s">
        <v>73</v>
      </c>
      <c r="H7" s="32" t="s">
        <v>72</v>
      </c>
      <c r="I7" s="32">
        <f>'MERCADO TE'!$U$4</f>
        <v>0</v>
      </c>
      <c r="J7" s="15"/>
      <c r="L7" s="29">
        <v>1</v>
      </c>
      <c r="M7" s="29">
        <v>1</v>
      </c>
      <c r="N7" s="29">
        <v>1</v>
      </c>
      <c r="O7" s="29">
        <v>1</v>
      </c>
      <c r="P7" s="29">
        <v>1</v>
      </c>
      <c r="Q7" s="29"/>
      <c r="R7" s="29">
        <v>1</v>
      </c>
      <c r="S7" s="29"/>
      <c r="T7" s="29">
        <v>1</v>
      </c>
      <c r="U7" s="29">
        <v>1</v>
      </c>
      <c r="V7" s="29">
        <v>1</v>
      </c>
      <c r="W7" s="29"/>
      <c r="X7" s="29"/>
      <c r="Y7" s="29"/>
      <c r="Z7" s="29">
        <v>1</v>
      </c>
      <c r="AA7" s="29"/>
      <c r="AB7" s="29"/>
    </row>
    <row r="8" spans="1:28" ht="11.25" customHeight="1" x14ac:dyDescent="0.25">
      <c r="A8" s="105"/>
      <c r="B8" s="105"/>
      <c r="C8" s="105"/>
      <c r="D8" s="105"/>
      <c r="E8" s="105"/>
      <c r="F8" s="105"/>
      <c r="G8" s="32" t="s">
        <v>83</v>
      </c>
      <c r="H8" s="32" t="s">
        <v>72</v>
      </c>
      <c r="I8" s="32">
        <f>'MERCADO TE'!$U$5</f>
        <v>0</v>
      </c>
      <c r="J8" s="15"/>
      <c r="L8" s="29">
        <v>1</v>
      </c>
      <c r="M8" s="29">
        <v>1</v>
      </c>
      <c r="N8" s="29">
        <v>1</v>
      </c>
      <c r="O8" s="29">
        <v>1</v>
      </c>
      <c r="P8" s="29">
        <v>1</v>
      </c>
      <c r="Q8" s="29"/>
      <c r="R8" s="29">
        <v>1</v>
      </c>
      <c r="S8" s="29"/>
      <c r="T8" s="29">
        <v>1</v>
      </c>
      <c r="U8" s="29">
        <v>1</v>
      </c>
      <c r="V8" s="29">
        <v>1</v>
      </c>
      <c r="W8" s="29"/>
      <c r="X8" s="29"/>
      <c r="Y8" s="29"/>
      <c r="Z8" s="29">
        <v>1</v>
      </c>
      <c r="AA8" s="29"/>
      <c r="AB8" s="29"/>
    </row>
    <row r="9" spans="1:28" ht="11.25" customHeight="1" x14ac:dyDescent="0.25">
      <c r="A9" s="105"/>
      <c r="B9" s="105"/>
      <c r="C9" s="105"/>
      <c r="D9" s="105"/>
      <c r="E9" s="105"/>
      <c r="F9" s="105"/>
      <c r="G9" s="32" t="s">
        <v>74</v>
      </c>
      <c r="H9" s="32" t="s">
        <v>72</v>
      </c>
      <c r="I9" s="32">
        <f>'MERCADO TE'!$U$6</f>
        <v>0</v>
      </c>
      <c r="J9" s="15"/>
      <c r="L9" s="29">
        <v>1</v>
      </c>
      <c r="M9" s="29">
        <v>1</v>
      </c>
      <c r="N9" s="29">
        <v>1</v>
      </c>
      <c r="O9" s="29">
        <v>1</v>
      </c>
      <c r="P9" s="29">
        <v>1</v>
      </c>
      <c r="Q9" s="29"/>
      <c r="R9" s="29">
        <v>1</v>
      </c>
      <c r="S9" s="29"/>
      <c r="T9" s="29">
        <v>1</v>
      </c>
      <c r="U9" s="29">
        <v>1</v>
      </c>
      <c r="V9" s="29">
        <v>1</v>
      </c>
      <c r="W9" s="29"/>
      <c r="X9" s="29"/>
      <c r="Y9" s="29"/>
      <c r="Z9" s="29">
        <v>1</v>
      </c>
      <c r="AA9" s="29"/>
      <c r="AB9" s="29"/>
    </row>
    <row r="10" spans="1:28" ht="11.25" customHeight="1" x14ac:dyDescent="0.25">
      <c r="A10" s="105"/>
      <c r="B10" s="105" t="s">
        <v>84</v>
      </c>
      <c r="C10" s="105" t="s">
        <v>24</v>
      </c>
      <c r="D10" s="31" t="s">
        <v>24</v>
      </c>
      <c r="E10" s="31" t="s">
        <v>25</v>
      </c>
      <c r="F10" s="31" t="s">
        <v>25</v>
      </c>
      <c r="G10" s="32" t="s">
        <v>78</v>
      </c>
      <c r="H10" s="32" t="s">
        <v>72</v>
      </c>
      <c r="I10" s="32">
        <f>'MERCADO TE'!$U$7</f>
        <v>11694.771999999999</v>
      </c>
      <c r="J10" s="15"/>
      <c r="L10" s="29">
        <v>1</v>
      </c>
      <c r="M10" s="29">
        <v>1</v>
      </c>
      <c r="N10" s="29">
        <v>1</v>
      </c>
      <c r="O10" s="29">
        <v>1</v>
      </c>
      <c r="P10" s="29">
        <v>1</v>
      </c>
      <c r="Q10" s="29"/>
      <c r="R10" s="29">
        <v>1</v>
      </c>
      <c r="S10" s="29"/>
      <c r="T10" s="29">
        <v>1</v>
      </c>
      <c r="U10" s="29">
        <v>1</v>
      </c>
      <c r="V10" s="29">
        <v>1</v>
      </c>
      <c r="W10" s="29"/>
      <c r="X10" s="29"/>
      <c r="Y10" s="29"/>
      <c r="Z10" s="29">
        <v>1</v>
      </c>
      <c r="AA10" s="29"/>
      <c r="AB10" s="29"/>
    </row>
    <row r="11" spans="1:28" ht="11.25" customHeight="1" x14ac:dyDescent="0.25">
      <c r="A11" s="105"/>
      <c r="B11" s="105"/>
      <c r="C11" s="105"/>
      <c r="D11" s="31" t="s">
        <v>29</v>
      </c>
      <c r="E11" s="31" t="s">
        <v>25</v>
      </c>
      <c r="F11" s="31" t="s">
        <v>25</v>
      </c>
      <c r="G11" s="32" t="s">
        <v>78</v>
      </c>
      <c r="H11" s="32" t="s">
        <v>72</v>
      </c>
      <c r="I11" s="32">
        <f>'MERCADO TE'!$U$8</f>
        <v>30.416</v>
      </c>
      <c r="J11" s="15"/>
      <c r="L11" s="29">
        <f>1 - CUSTOS!$M$24</f>
        <v>1</v>
      </c>
      <c r="M11" s="29">
        <f>1 - CUSTOS!$M$24</f>
        <v>1</v>
      </c>
      <c r="N11" s="29">
        <f>1 - CUSTOS!$M$24</f>
        <v>1</v>
      </c>
      <c r="O11" s="29">
        <f>1 - CUSTOS!$M$24</f>
        <v>1</v>
      </c>
      <c r="P11" s="29">
        <f>1 - CUSTOS!$M$24</f>
        <v>1</v>
      </c>
      <c r="Q11" s="29"/>
      <c r="R11" s="29">
        <f>(1 - CUSTOS!$M$24)*1</f>
        <v>1</v>
      </c>
      <c r="S11" s="29"/>
      <c r="T11" s="29">
        <f>1 - CUSTOS!$M$24</f>
        <v>1</v>
      </c>
      <c r="U11" s="29">
        <f>1 - CUSTOS!$M$24</f>
        <v>1</v>
      </c>
      <c r="V11" s="29">
        <f>1 - CUSTOS!$M$24</f>
        <v>1</v>
      </c>
      <c r="W11" s="29"/>
      <c r="X11" s="29"/>
      <c r="Y11" s="29"/>
      <c r="Z11" s="29">
        <f>1 - CUSTOS!$M$24</f>
        <v>1</v>
      </c>
      <c r="AA11" s="29"/>
      <c r="AB11" s="29"/>
    </row>
    <row r="12" spans="1:28" ht="11.25" customHeight="1" x14ac:dyDescent="0.25">
      <c r="A12" s="105"/>
      <c r="B12" s="105"/>
      <c r="C12" s="105"/>
      <c r="D12" s="31" t="s">
        <v>30</v>
      </c>
      <c r="E12" s="31" t="s">
        <v>25</v>
      </c>
      <c r="F12" s="31" t="s">
        <v>25</v>
      </c>
      <c r="G12" s="32" t="s">
        <v>78</v>
      </c>
      <c r="H12" s="32" t="s">
        <v>72</v>
      </c>
      <c r="I12" s="32">
        <f>'MERCADO TE'!$U$9</f>
        <v>60.935000000000002</v>
      </c>
      <c r="J12" s="15"/>
      <c r="L12" s="29">
        <f>1 - CUSTOS!$M$25</f>
        <v>1</v>
      </c>
      <c r="M12" s="29">
        <f>1 - CUSTOS!$M$25</f>
        <v>1</v>
      </c>
      <c r="N12" s="29">
        <f>1 - CUSTOS!$M$25</f>
        <v>1</v>
      </c>
      <c r="O12" s="29">
        <f>1 - CUSTOS!$M$25</f>
        <v>1</v>
      </c>
      <c r="P12" s="29">
        <f>1 - CUSTOS!$M$25</f>
        <v>1</v>
      </c>
      <c r="Q12" s="29"/>
      <c r="R12" s="29">
        <f>(1 - CUSTOS!$M$25)*1</f>
        <v>1</v>
      </c>
      <c r="S12" s="29"/>
      <c r="T12" s="29">
        <f>1 - CUSTOS!$M$25</f>
        <v>1</v>
      </c>
      <c r="U12" s="29">
        <f>1 - CUSTOS!$M$25</f>
        <v>1</v>
      </c>
      <c r="V12" s="29">
        <f>1 - CUSTOS!$M$25</f>
        <v>1</v>
      </c>
      <c r="W12" s="29"/>
      <c r="X12" s="29"/>
      <c r="Y12" s="29"/>
      <c r="Z12" s="29">
        <f>1 - CUSTOS!$M$25</f>
        <v>1</v>
      </c>
      <c r="AA12" s="29"/>
      <c r="AB12" s="29"/>
    </row>
    <row r="13" spans="1:28" ht="11.25" customHeight="1" x14ac:dyDescent="0.25">
      <c r="A13" s="105"/>
      <c r="B13" s="105"/>
      <c r="C13" s="105"/>
      <c r="D13" s="31" t="s">
        <v>31</v>
      </c>
      <c r="E13" s="31" t="s">
        <v>25</v>
      </c>
      <c r="F13" s="31" t="s">
        <v>25</v>
      </c>
      <c r="G13" s="32" t="s">
        <v>78</v>
      </c>
      <c r="H13" s="32" t="s">
        <v>72</v>
      </c>
      <c r="I13" s="32">
        <f>'MERCADO TE'!$U$10</f>
        <v>58.873999999999995</v>
      </c>
      <c r="J13" s="15"/>
      <c r="L13" s="29">
        <f>1 - CUSTOS!$M$26</f>
        <v>1</v>
      </c>
      <c r="M13" s="29">
        <f>1 - CUSTOS!$M$26</f>
        <v>1</v>
      </c>
      <c r="N13" s="29">
        <f>1 - CUSTOS!$M$26</f>
        <v>1</v>
      </c>
      <c r="O13" s="29">
        <f>1 - CUSTOS!$M$26</f>
        <v>1</v>
      </c>
      <c r="P13" s="29">
        <f>1 - CUSTOS!$M$26</f>
        <v>1</v>
      </c>
      <c r="Q13" s="29"/>
      <c r="R13" s="29">
        <f>(1 - CUSTOS!$M$26)*1</f>
        <v>1</v>
      </c>
      <c r="S13" s="29"/>
      <c r="T13" s="29">
        <f>1 - CUSTOS!$M$26</f>
        <v>1</v>
      </c>
      <c r="U13" s="29">
        <f>1 - CUSTOS!$M$26</f>
        <v>1</v>
      </c>
      <c r="V13" s="29">
        <f>1 - CUSTOS!$M$26</f>
        <v>1</v>
      </c>
      <c r="W13" s="29"/>
      <c r="X13" s="29"/>
      <c r="Y13" s="29"/>
      <c r="Z13" s="29">
        <f>1 - CUSTOS!$M$26</f>
        <v>1</v>
      </c>
      <c r="AA13" s="29"/>
      <c r="AB13" s="29"/>
    </row>
    <row r="14" spans="1:28" ht="11.25" customHeight="1" x14ac:dyDescent="0.25">
      <c r="A14" s="105"/>
      <c r="B14" s="105"/>
      <c r="C14" s="105"/>
      <c r="D14" s="31" t="s">
        <v>32</v>
      </c>
      <c r="E14" s="31" t="s">
        <v>25</v>
      </c>
      <c r="F14" s="31" t="s">
        <v>25</v>
      </c>
      <c r="G14" s="32" t="s">
        <v>78</v>
      </c>
      <c r="H14" s="32" t="s">
        <v>72</v>
      </c>
      <c r="I14" s="32">
        <f>'MERCADO TE'!$U$11</f>
        <v>22.426000000000002</v>
      </c>
      <c r="J14" s="15"/>
      <c r="L14" s="29">
        <f>1 - CUSTOS!$M$27</f>
        <v>1</v>
      </c>
      <c r="M14" s="29">
        <f>1 - CUSTOS!$M$27</f>
        <v>1</v>
      </c>
      <c r="N14" s="29">
        <f>1 - CUSTOS!$M$27</f>
        <v>1</v>
      </c>
      <c r="O14" s="29">
        <f>1 - CUSTOS!$M$27</f>
        <v>1</v>
      </c>
      <c r="P14" s="29">
        <f>1 - CUSTOS!$M$27</f>
        <v>1</v>
      </c>
      <c r="Q14" s="29"/>
      <c r="R14" s="29">
        <f>(1 - CUSTOS!$M$27)*1</f>
        <v>1</v>
      </c>
      <c r="S14" s="29"/>
      <c r="T14" s="29">
        <f>1 - CUSTOS!$M$27</f>
        <v>1</v>
      </c>
      <c r="U14" s="29">
        <f>1 - CUSTOS!$M$27</f>
        <v>1</v>
      </c>
      <c r="V14" s="29">
        <f>1 - CUSTOS!$M$27</f>
        <v>1</v>
      </c>
      <c r="W14" s="29"/>
      <c r="X14" s="29"/>
      <c r="Y14" s="29"/>
      <c r="Z14" s="29">
        <f>1 - CUSTOS!$M$27</f>
        <v>1</v>
      </c>
      <c r="AA14" s="29"/>
      <c r="AB14" s="29"/>
    </row>
    <row r="15" spans="1:28" ht="11.25" customHeight="1" x14ac:dyDescent="0.25">
      <c r="A15" s="105"/>
      <c r="B15" s="105" t="s">
        <v>86</v>
      </c>
      <c r="C15" s="105" t="s">
        <v>24</v>
      </c>
      <c r="D15" s="31" t="s">
        <v>24</v>
      </c>
      <c r="E15" s="31" t="s">
        <v>25</v>
      </c>
      <c r="F15" s="31" t="s">
        <v>25</v>
      </c>
      <c r="G15" s="32" t="s">
        <v>78</v>
      </c>
      <c r="H15" s="32" t="s">
        <v>72</v>
      </c>
      <c r="I15" s="32">
        <f>'MERCADO TE'!$U$12</f>
        <v>0</v>
      </c>
      <c r="J15" s="15"/>
      <c r="L15" s="29">
        <v>1</v>
      </c>
      <c r="M15" s="29">
        <v>1</v>
      </c>
      <c r="N15" s="29">
        <v>1</v>
      </c>
      <c r="O15" s="29">
        <v>1</v>
      </c>
      <c r="P15" s="29">
        <v>1</v>
      </c>
      <c r="Q15" s="29"/>
      <c r="R15" s="29">
        <v>1</v>
      </c>
      <c r="S15" s="29"/>
      <c r="T15" s="29">
        <v>1</v>
      </c>
      <c r="U15" s="29">
        <v>1</v>
      </c>
      <c r="V15" s="29">
        <v>1</v>
      </c>
      <c r="W15" s="29"/>
      <c r="X15" s="29"/>
      <c r="Y15" s="29"/>
      <c r="Z15" s="29">
        <v>1</v>
      </c>
      <c r="AA15" s="29"/>
      <c r="AB15" s="29"/>
    </row>
    <row r="16" spans="1:28" ht="11.25" customHeight="1" x14ac:dyDescent="0.25">
      <c r="A16" s="105"/>
      <c r="B16" s="105"/>
      <c r="C16" s="105"/>
      <c r="D16" s="31" t="s">
        <v>29</v>
      </c>
      <c r="E16" s="31" t="s">
        <v>25</v>
      </c>
      <c r="F16" s="31" t="s">
        <v>25</v>
      </c>
      <c r="G16" s="32" t="s">
        <v>78</v>
      </c>
      <c r="H16" s="32" t="s">
        <v>72</v>
      </c>
      <c r="I16" s="32">
        <f>'MERCADO TE'!$U$13</f>
        <v>0</v>
      </c>
      <c r="J16" s="15"/>
      <c r="L16" s="29">
        <f>1 - CUSTOS!$M$24</f>
        <v>1</v>
      </c>
      <c r="M16" s="29">
        <f>1 - CUSTOS!$M$24</f>
        <v>1</v>
      </c>
      <c r="N16" s="29">
        <f>1 - CUSTOS!$M$24</f>
        <v>1</v>
      </c>
      <c r="O16" s="29">
        <f>1 - CUSTOS!$M$24</f>
        <v>1</v>
      </c>
      <c r="P16" s="29">
        <f>1 - CUSTOS!$M$24</f>
        <v>1</v>
      </c>
      <c r="Q16" s="29"/>
      <c r="R16" s="29">
        <f>(1 - CUSTOS!$M$24)*1</f>
        <v>1</v>
      </c>
      <c r="S16" s="29"/>
      <c r="T16" s="29">
        <f>1 - CUSTOS!$M$24</f>
        <v>1</v>
      </c>
      <c r="U16" s="29">
        <f>1 - CUSTOS!$M$24</f>
        <v>1</v>
      </c>
      <c r="V16" s="29">
        <f>1 - CUSTOS!$M$24</f>
        <v>1</v>
      </c>
      <c r="W16" s="29"/>
      <c r="X16" s="29"/>
      <c r="Y16" s="29"/>
      <c r="Z16" s="29">
        <f>1 - CUSTOS!$M$24</f>
        <v>1</v>
      </c>
      <c r="AA16" s="29"/>
      <c r="AB16" s="29"/>
    </row>
    <row r="17" spans="1:28" ht="11.25" customHeight="1" x14ac:dyDescent="0.25">
      <c r="A17" s="105"/>
      <c r="B17" s="105"/>
      <c r="C17" s="105"/>
      <c r="D17" s="31" t="s">
        <v>30</v>
      </c>
      <c r="E17" s="31" t="s">
        <v>25</v>
      </c>
      <c r="F17" s="31" t="s">
        <v>25</v>
      </c>
      <c r="G17" s="32" t="s">
        <v>78</v>
      </c>
      <c r="H17" s="32" t="s">
        <v>72</v>
      </c>
      <c r="I17" s="32">
        <f>'MERCADO TE'!$U$14</f>
        <v>0</v>
      </c>
      <c r="J17" s="15"/>
      <c r="L17" s="29">
        <f>1 - CUSTOS!$M$25</f>
        <v>1</v>
      </c>
      <c r="M17" s="29">
        <f>1 - CUSTOS!$M$25</f>
        <v>1</v>
      </c>
      <c r="N17" s="29">
        <f>1 - CUSTOS!$M$25</f>
        <v>1</v>
      </c>
      <c r="O17" s="29">
        <f>1 - CUSTOS!$M$25</f>
        <v>1</v>
      </c>
      <c r="P17" s="29">
        <f>1 - CUSTOS!$M$25</f>
        <v>1</v>
      </c>
      <c r="Q17" s="29"/>
      <c r="R17" s="29">
        <f>(1 - CUSTOS!$M$25)*1</f>
        <v>1</v>
      </c>
      <c r="S17" s="29"/>
      <c r="T17" s="29">
        <f>1 - CUSTOS!$M$25</f>
        <v>1</v>
      </c>
      <c r="U17" s="29">
        <f>1 - CUSTOS!$M$25</f>
        <v>1</v>
      </c>
      <c r="V17" s="29">
        <f>1 - CUSTOS!$M$25</f>
        <v>1</v>
      </c>
      <c r="W17" s="29"/>
      <c r="X17" s="29"/>
      <c r="Y17" s="29"/>
      <c r="Z17" s="29">
        <f>1 - CUSTOS!$M$25</f>
        <v>1</v>
      </c>
      <c r="AA17" s="29"/>
      <c r="AB17" s="29"/>
    </row>
    <row r="18" spans="1:28" ht="11.25" customHeight="1" x14ac:dyDescent="0.25">
      <c r="A18" s="105"/>
      <c r="B18" s="105"/>
      <c r="C18" s="105"/>
      <c r="D18" s="31" t="s">
        <v>31</v>
      </c>
      <c r="E18" s="31" t="s">
        <v>25</v>
      </c>
      <c r="F18" s="31" t="s">
        <v>25</v>
      </c>
      <c r="G18" s="32" t="s">
        <v>78</v>
      </c>
      <c r="H18" s="32" t="s">
        <v>72</v>
      </c>
      <c r="I18" s="32">
        <f>'MERCADO TE'!$U$15</f>
        <v>0</v>
      </c>
      <c r="J18" s="15"/>
      <c r="L18" s="29">
        <f>1 - CUSTOS!$M$26</f>
        <v>1</v>
      </c>
      <c r="M18" s="29">
        <f>1 - CUSTOS!$M$26</f>
        <v>1</v>
      </c>
      <c r="N18" s="29">
        <f>1 - CUSTOS!$M$26</f>
        <v>1</v>
      </c>
      <c r="O18" s="29">
        <f>1 - CUSTOS!$M$26</f>
        <v>1</v>
      </c>
      <c r="P18" s="29">
        <f>1 - CUSTOS!$M$26</f>
        <v>1</v>
      </c>
      <c r="Q18" s="29"/>
      <c r="R18" s="29">
        <f>(1 - CUSTOS!$M$26)*1</f>
        <v>1</v>
      </c>
      <c r="S18" s="29"/>
      <c r="T18" s="29">
        <f>1 - CUSTOS!$M$26</f>
        <v>1</v>
      </c>
      <c r="U18" s="29">
        <f>1 - CUSTOS!$M$26</f>
        <v>1</v>
      </c>
      <c r="V18" s="29">
        <f>1 - CUSTOS!$M$26</f>
        <v>1</v>
      </c>
      <c r="W18" s="29"/>
      <c r="X18" s="29"/>
      <c r="Y18" s="29"/>
      <c r="Z18" s="29">
        <f>1 - CUSTOS!$M$26</f>
        <v>1</v>
      </c>
      <c r="AA18" s="29"/>
      <c r="AB18" s="29"/>
    </row>
    <row r="19" spans="1:28" ht="11.25" customHeight="1" x14ac:dyDescent="0.25">
      <c r="A19" s="105"/>
      <c r="B19" s="105"/>
      <c r="C19" s="105"/>
      <c r="D19" s="31" t="s">
        <v>32</v>
      </c>
      <c r="E19" s="31" t="s">
        <v>25</v>
      </c>
      <c r="F19" s="31" t="s">
        <v>25</v>
      </c>
      <c r="G19" s="32" t="s">
        <v>78</v>
      </c>
      <c r="H19" s="32" t="s">
        <v>72</v>
      </c>
      <c r="I19" s="32">
        <f>'MERCADO TE'!$U$16</f>
        <v>0</v>
      </c>
      <c r="J19" s="15"/>
      <c r="L19" s="29">
        <f>1 - CUSTOS!$M$27</f>
        <v>1</v>
      </c>
      <c r="M19" s="29">
        <f>1 - CUSTOS!$M$27</f>
        <v>1</v>
      </c>
      <c r="N19" s="29">
        <f>1 - CUSTOS!$M$27</f>
        <v>1</v>
      </c>
      <c r="O19" s="29">
        <f>1 - CUSTOS!$M$27</f>
        <v>1</v>
      </c>
      <c r="P19" s="29">
        <f>1 - CUSTOS!$M$27</f>
        <v>1</v>
      </c>
      <c r="Q19" s="29"/>
      <c r="R19" s="29">
        <f>(1 - CUSTOS!$M$27)*1</f>
        <v>1</v>
      </c>
      <c r="S19" s="29"/>
      <c r="T19" s="29">
        <f>1 - CUSTOS!$M$27</f>
        <v>1</v>
      </c>
      <c r="U19" s="29">
        <f>1 - CUSTOS!$M$27</f>
        <v>1</v>
      </c>
      <c r="V19" s="29">
        <f>1 - CUSTOS!$M$27</f>
        <v>1</v>
      </c>
      <c r="W19" s="29"/>
      <c r="X19" s="29"/>
      <c r="Y19" s="29"/>
      <c r="Z19" s="29">
        <f>1 - CUSTOS!$M$27</f>
        <v>1</v>
      </c>
      <c r="AA19" s="29"/>
      <c r="AB19" s="29"/>
    </row>
    <row r="20" spans="1:28" ht="11.25" customHeight="1" x14ac:dyDescent="0.25">
      <c r="A20" s="105" t="s">
        <v>40</v>
      </c>
      <c r="B20" s="105" t="s">
        <v>71</v>
      </c>
      <c r="C20" s="105" t="s">
        <v>41</v>
      </c>
      <c r="D20" s="105" t="s">
        <v>25</v>
      </c>
      <c r="E20" s="105" t="s">
        <v>25</v>
      </c>
      <c r="F20" s="105" t="s">
        <v>25</v>
      </c>
      <c r="G20" s="32" t="s">
        <v>73</v>
      </c>
      <c r="H20" s="32" t="s">
        <v>72</v>
      </c>
      <c r="I20" s="32">
        <f>'MERCADO TE'!$U$17</f>
        <v>0</v>
      </c>
      <c r="J20" s="15"/>
      <c r="L20" s="29">
        <f>1 - CUSTOS!$M$28</f>
        <v>1</v>
      </c>
      <c r="M20" s="29">
        <f>1 - CUSTOS!$M$28</f>
        <v>1</v>
      </c>
      <c r="N20" s="29">
        <f>1 - CUSTOS!$M$28</f>
        <v>1</v>
      </c>
      <c r="O20" s="29">
        <f>1 - CUSTOS!$M$28</f>
        <v>1</v>
      </c>
      <c r="P20" s="29">
        <f>1 - CUSTOS!$M$28</f>
        <v>1</v>
      </c>
      <c r="Q20" s="29"/>
      <c r="R20" s="29">
        <f>(1 - CUSTOS!$M$28)*1</f>
        <v>1</v>
      </c>
      <c r="S20" s="29"/>
      <c r="T20" s="29">
        <f>1 - CUSTOS!$M$28</f>
        <v>1</v>
      </c>
      <c r="U20" s="29">
        <f>1 - CUSTOS!$M$28</f>
        <v>1</v>
      </c>
      <c r="V20" s="29">
        <f>1 - CUSTOS!$M$28</f>
        <v>1</v>
      </c>
      <c r="W20" s="29"/>
      <c r="X20" s="29"/>
      <c r="Y20" s="29"/>
      <c r="Z20" s="29">
        <f>1 - CUSTOS!$M$28</f>
        <v>1</v>
      </c>
      <c r="AA20" s="29"/>
      <c r="AB20" s="29"/>
    </row>
    <row r="21" spans="1:28" ht="11.25" customHeight="1" x14ac:dyDescent="0.25">
      <c r="A21" s="105"/>
      <c r="B21" s="105"/>
      <c r="C21" s="105"/>
      <c r="D21" s="105"/>
      <c r="E21" s="105"/>
      <c r="F21" s="105"/>
      <c r="G21" s="32" t="s">
        <v>83</v>
      </c>
      <c r="H21" s="32" t="s">
        <v>72</v>
      </c>
      <c r="I21" s="32">
        <f>'MERCADO TE'!$U$18</f>
        <v>0</v>
      </c>
      <c r="J21" s="15"/>
      <c r="L21" s="29">
        <f>1 - CUSTOS!$M$28</f>
        <v>1</v>
      </c>
      <c r="M21" s="29">
        <f>1 - CUSTOS!$M$28</f>
        <v>1</v>
      </c>
      <c r="N21" s="29">
        <f>1 - CUSTOS!$M$28</f>
        <v>1</v>
      </c>
      <c r="O21" s="29">
        <f>1 - CUSTOS!$M$28</f>
        <v>1</v>
      </c>
      <c r="P21" s="29">
        <f>1 - CUSTOS!$M$28</f>
        <v>1</v>
      </c>
      <c r="Q21" s="29"/>
      <c r="R21" s="29">
        <f>(1 - CUSTOS!$M$28)*1</f>
        <v>1</v>
      </c>
      <c r="S21" s="29"/>
      <c r="T21" s="29">
        <f>1 - CUSTOS!$M$28</f>
        <v>1</v>
      </c>
      <c r="U21" s="29">
        <f>1 - CUSTOS!$M$28</f>
        <v>1</v>
      </c>
      <c r="V21" s="29">
        <f>1 - CUSTOS!$M$28</f>
        <v>1</v>
      </c>
      <c r="W21" s="29"/>
      <c r="X21" s="29"/>
      <c r="Y21" s="29"/>
      <c r="Z21" s="29">
        <f>1 - CUSTOS!$M$28</f>
        <v>1</v>
      </c>
      <c r="AA21" s="29"/>
      <c r="AB21" s="29"/>
    </row>
    <row r="22" spans="1:28" ht="11.25" customHeight="1" x14ac:dyDescent="0.25">
      <c r="A22" s="105"/>
      <c r="B22" s="105"/>
      <c r="C22" s="105"/>
      <c r="D22" s="105"/>
      <c r="E22" s="105"/>
      <c r="F22" s="105"/>
      <c r="G22" s="32" t="s">
        <v>74</v>
      </c>
      <c r="H22" s="32" t="s">
        <v>72</v>
      </c>
      <c r="I22" s="32">
        <f>'MERCADO TE'!$U$19</f>
        <v>0</v>
      </c>
      <c r="J22" s="15"/>
      <c r="L22" s="29">
        <f>1 - CUSTOS!$M$28</f>
        <v>1</v>
      </c>
      <c r="M22" s="29">
        <f>1 - CUSTOS!$M$28</f>
        <v>1</v>
      </c>
      <c r="N22" s="29">
        <f>1 - CUSTOS!$M$28</f>
        <v>1</v>
      </c>
      <c r="O22" s="29">
        <f>1 - CUSTOS!$M$28</f>
        <v>1</v>
      </c>
      <c r="P22" s="29">
        <f>1 - CUSTOS!$M$28</f>
        <v>1</v>
      </c>
      <c r="Q22" s="29"/>
      <c r="R22" s="29">
        <f>(1 - CUSTOS!$M$28)*1</f>
        <v>1</v>
      </c>
      <c r="S22" s="29"/>
      <c r="T22" s="29">
        <f>1 - CUSTOS!$M$28</f>
        <v>1</v>
      </c>
      <c r="U22" s="29">
        <f>1 - CUSTOS!$M$28</f>
        <v>1</v>
      </c>
      <c r="V22" s="29">
        <f>1 - CUSTOS!$M$28</f>
        <v>1</v>
      </c>
      <c r="W22" s="29"/>
      <c r="X22" s="29"/>
      <c r="Y22" s="29"/>
      <c r="Z22" s="29">
        <f>1 - CUSTOS!$M$28</f>
        <v>1</v>
      </c>
      <c r="AA22" s="29"/>
      <c r="AB22" s="29"/>
    </row>
    <row r="23" spans="1:28" ht="11.25" customHeight="1" x14ac:dyDescent="0.25">
      <c r="A23" s="105"/>
      <c r="B23" s="31" t="s">
        <v>84</v>
      </c>
      <c r="C23" s="31" t="s">
        <v>41</v>
      </c>
      <c r="D23" s="31" t="s">
        <v>25</v>
      </c>
      <c r="E23" s="31" t="s">
        <v>25</v>
      </c>
      <c r="F23" s="31" t="s">
        <v>25</v>
      </c>
      <c r="G23" s="32" t="s">
        <v>78</v>
      </c>
      <c r="H23" s="32" t="s">
        <v>72</v>
      </c>
      <c r="I23" s="32">
        <f>'MERCADO TE'!$U$20</f>
        <v>40057.667999999998</v>
      </c>
      <c r="J23" s="15"/>
      <c r="L23" s="29">
        <f>1 - CUSTOS!$M$28</f>
        <v>1</v>
      </c>
      <c r="M23" s="29">
        <f>1 - CUSTOS!$M$28</f>
        <v>1</v>
      </c>
      <c r="N23" s="29">
        <f>1 - CUSTOS!$M$28</f>
        <v>1</v>
      </c>
      <c r="O23" s="29">
        <f>1 - CUSTOS!$M$28</f>
        <v>1</v>
      </c>
      <c r="P23" s="29">
        <f>1 - CUSTOS!$M$28</f>
        <v>1</v>
      </c>
      <c r="Q23" s="29"/>
      <c r="R23" s="29">
        <f>(1 - CUSTOS!$M$28)*1</f>
        <v>1</v>
      </c>
      <c r="S23" s="29"/>
      <c r="T23" s="29">
        <f>1 - CUSTOS!$M$28</f>
        <v>1</v>
      </c>
      <c r="U23" s="29">
        <f>1 - CUSTOS!$M$28</f>
        <v>1</v>
      </c>
      <c r="V23" s="29">
        <f>1 - CUSTOS!$M$28</f>
        <v>1</v>
      </c>
      <c r="W23" s="29"/>
      <c r="X23" s="29"/>
      <c r="Y23" s="29"/>
      <c r="Z23" s="29">
        <f>1 - CUSTOS!$M$28</f>
        <v>1</v>
      </c>
      <c r="AA23" s="29"/>
      <c r="AB23" s="29"/>
    </row>
    <row r="24" spans="1:28" ht="11.25" customHeight="1" x14ac:dyDescent="0.25">
      <c r="A24" s="105"/>
      <c r="B24" s="105" t="s">
        <v>71</v>
      </c>
      <c r="C24" s="105" t="s">
        <v>41</v>
      </c>
      <c r="D24" s="105" t="s">
        <v>88</v>
      </c>
      <c r="E24" s="105" t="s">
        <v>25</v>
      </c>
      <c r="F24" s="105" t="s">
        <v>25</v>
      </c>
      <c r="G24" s="32" t="s">
        <v>73</v>
      </c>
      <c r="H24" s="32" t="s">
        <v>72</v>
      </c>
      <c r="I24" s="32">
        <f>'MERCADO TE'!$U$21</f>
        <v>0</v>
      </c>
      <c r="J24" s="15"/>
      <c r="L24" s="29">
        <f>1 - CUSTOS!$M$29</f>
        <v>1</v>
      </c>
      <c r="M24" s="29">
        <f>1 - CUSTOS!$M$29</f>
        <v>1</v>
      </c>
      <c r="N24" s="29">
        <f>1 - CUSTOS!$M$29</f>
        <v>1</v>
      </c>
      <c r="O24" s="29">
        <f>1 - CUSTOS!$M$29</f>
        <v>1</v>
      </c>
      <c r="P24" s="29">
        <f>1 - CUSTOS!$M$29</f>
        <v>1</v>
      </c>
      <c r="Q24" s="29"/>
      <c r="R24" s="29">
        <f>(1 - CUSTOS!$M$29)*1</f>
        <v>1</v>
      </c>
      <c r="S24" s="29"/>
      <c r="T24" s="29">
        <f>1 - CUSTOS!$M$29</f>
        <v>1</v>
      </c>
      <c r="U24" s="29">
        <f>1 - CUSTOS!$M$29</f>
        <v>1</v>
      </c>
      <c r="V24" s="29">
        <f>1 - CUSTOS!$M$29</f>
        <v>1</v>
      </c>
      <c r="W24" s="29"/>
      <c r="X24" s="29"/>
      <c r="Y24" s="29"/>
      <c r="Z24" s="29">
        <f>1 - CUSTOS!$M$29</f>
        <v>1</v>
      </c>
      <c r="AA24" s="29"/>
      <c r="AB24" s="29"/>
    </row>
    <row r="25" spans="1:28" ht="11.25" customHeight="1" x14ac:dyDescent="0.25">
      <c r="A25" s="105"/>
      <c r="B25" s="105"/>
      <c r="C25" s="105"/>
      <c r="D25" s="105"/>
      <c r="E25" s="105"/>
      <c r="F25" s="105"/>
      <c r="G25" s="32" t="s">
        <v>83</v>
      </c>
      <c r="H25" s="32" t="s">
        <v>72</v>
      </c>
      <c r="I25" s="32">
        <f>'MERCADO TE'!$U$22</f>
        <v>0</v>
      </c>
      <c r="J25" s="15"/>
      <c r="L25" s="29">
        <f>1 - CUSTOS!$M$29</f>
        <v>1</v>
      </c>
      <c r="M25" s="29">
        <f>1 - CUSTOS!$M$29</f>
        <v>1</v>
      </c>
      <c r="N25" s="29">
        <f>1 - CUSTOS!$M$29</f>
        <v>1</v>
      </c>
      <c r="O25" s="29">
        <f>1 - CUSTOS!$M$29</f>
        <v>1</v>
      </c>
      <c r="P25" s="29">
        <f>1 - CUSTOS!$M$29</f>
        <v>1</v>
      </c>
      <c r="Q25" s="29"/>
      <c r="R25" s="29">
        <f>(1 - CUSTOS!$M$29)*1</f>
        <v>1</v>
      </c>
      <c r="S25" s="29"/>
      <c r="T25" s="29">
        <f>1 - CUSTOS!$M$29</f>
        <v>1</v>
      </c>
      <c r="U25" s="29">
        <f>1 - CUSTOS!$M$29</f>
        <v>1</v>
      </c>
      <c r="V25" s="29">
        <f>1 - CUSTOS!$M$29</f>
        <v>1</v>
      </c>
      <c r="W25" s="29"/>
      <c r="X25" s="29"/>
      <c r="Y25" s="29"/>
      <c r="Z25" s="29">
        <f>1 - CUSTOS!$M$29</f>
        <v>1</v>
      </c>
      <c r="AA25" s="29"/>
      <c r="AB25" s="29"/>
    </row>
    <row r="26" spans="1:28" ht="11.25" customHeight="1" x14ac:dyDescent="0.25">
      <c r="A26" s="105"/>
      <c r="B26" s="105"/>
      <c r="C26" s="105"/>
      <c r="D26" s="105"/>
      <c r="E26" s="105"/>
      <c r="F26" s="105"/>
      <c r="G26" s="32" t="s">
        <v>74</v>
      </c>
      <c r="H26" s="32" t="s">
        <v>72</v>
      </c>
      <c r="I26" s="32">
        <f>'MERCADO TE'!$U$23</f>
        <v>0</v>
      </c>
      <c r="J26" s="15"/>
      <c r="L26" s="29">
        <f>1 - CUSTOS!$M$29</f>
        <v>1</v>
      </c>
      <c r="M26" s="29">
        <f>1 - CUSTOS!$M$29</f>
        <v>1</v>
      </c>
      <c r="N26" s="29">
        <f>1 - CUSTOS!$M$29</f>
        <v>1</v>
      </c>
      <c r="O26" s="29">
        <f>1 - CUSTOS!$M$29</f>
        <v>1</v>
      </c>
      <c r="P26" s="29">
        <f>1 - CUSTOS!$M$29</f>
        <v>1</v>
      </c>
      <c r="Q26" s="29"/>
      <c r="R26" s="29">
        <f>(1 - CUSTOS!$M$29)*1</f>
        <v>1</v>
      </c>
      <c r="S26" s="29"/>
      <c r="T26" s="29">
        <f>1 - CUSTOS!$M$29</f>
        <v>1</v>
      </c>
      <c r="U26" s="29">
        <f>1 - CUSTOS!$M$29</f>
        <v>1</v>
      </c>
      <c r="V26" s="29">
        <f>1 - CUSTOS!$M$29</f>
        <v>1</v>
      </c>
      <c r="W26" s="29"/>
      <c r="X26" s="29"/>
      <c r="Y26" s="29"/>
      <c r="Z26" s="29">
        <f>1 - CUSTOS!$M$29</f>
        <v>1</v>
      </c>
      <c r="AA26" s="29"/>
      <c r="AB26" s="29"/>
    </row>
    <row r="27" spans="1:28" ht="11.25" customHeight="1" x14ac:dyDescent="0.25">
      <c r="A27" s="105"/>
      <c r="B27" s="31" t="s">
        <v>84</v>
      </c>
      <c r="C27" s="31" t="s">
        <v>41</v>
      </c>
      <c r="D27" s="31" t="s">
        <v>88</v>
      </c>
      <c r="E27" s="31" t="s">
        <v>25</v>
      </c>
      <c r="F27" s="31" t="s">
        <v>25</v>
      </c>
      <c r="G27" s="32" t="s">
        <v>78</v>
      </c>
      <c r="H27" s="32" t="s">
        <v>72</v>
      </c>
      <c r="I27" s="32">
        <f>'MERCADO TE'!$U$24</f>
        <v>0</v>
      </c>
      <c r="J27" s="15"/>
      <c r="L27" s="29">
        <f>1 - CUSTOS!$M$29</f>
        <v>1</v>
      </c>
      <c r="M27" s="29">
        <f>1 - CUSTOS!$M$29</f>
        <v>1</v>
      </c>
      <c r="N27" s="29">
        <f>1 - CUSTOS!$M$29</f>
        <v>1</v>
      </c>
      <c r="O27" s="29">
        <f>1 - CUSTOS!$M$29</f>
        <v>1</v>
      </c>
      <c r="P27" s="29">
        <f>1 - CUSTOS!$M$29</f>
        <v>1</v>
      </c>
      <c r="Q27" s="29"/>
      <c r="R27" s="29">
        <f>(1 - CUSTOS!$M$29)*1</f>
        <v>1</v>
      </c>
      <c r="S27" s="29"/>
      <c r="T27" s="29">
        <f>1 - CUSTOS!$M$29</f>
        <v>1</v>
      </c>
      <c r="U27" s="29">
        <f>1 - CUSTOS!$M$29</f>
        <v>1</v>
      </c>
      <c r="V27" s="29">
        <f>1 - CUSTOS!$M$29</f>
        <v>1</v>
      </c>
      <c r="W27" s="29"/>
      <c r="X27" s="29"/>
      <c r="Y27" s="29"/>
      <c r="Z27" s="29">
        <f>1 - CUSTOS!$M$29</f>
        <v>1</v>
      </c>
      <c r="AA27" s="29"/>
      <c r="AB27" s="29"/>
    </row>
    <row r="28" spans="1:28" ht="11.25" customHeight="1" x14ac:dyDescent="0.25">
      <c r="A28" s="105"/>
      <c r="B28" s="105" t="s">
        <v>71</v>
      </c>
      <c r="C28" s="105" t="s">
        <v>41</v>
      </c>
      <c r="D28" s="105" t="s">
        <v>89</v>
      </c>
      <c r="E28" s="105" t="s">
        <v>25</v>
      </c>
      <c r="F28" s="105" t="s">
        <v>25</v>
      </c>
      <c r="G28" s="32" t="s">
        <v>73</v>
      </c>
      <c r="H28" s="32" t="s">
        <v>72</v>
      </c>
      <c r="I28" s="32">
        <f>'MERCADO TE'!$U$25</f>
        <v>0</v>
      </c>
      <c r="J28" s="15"/>
      <c r="L28" s="29">
        <f>1 - CUSTOS!$M$30</f>
        <v>1</v>
      </c>
      <c r="M28" s="29">
        <f>1 - CUSTOS!$M$30</f>
        <v>1</v>
      </c>
      <c r="N28" s="29">
        <f>1 - CUSTOS!$M$30</f>
        <v>1</v>
      </c>
      <c r="O28" s="29">
        <f>1 - CUSTOS!$M$30</f>
        <v>1</v>
      </c>
      <c r="P28" s="29">
        <f>1 - CUSTOS!$M$30</f>
        <v>1</v>
      </c>
      <c r="Q28" s="29"/>
      <c r="R28" s="29">
        <f>(1 - CUSTOS!$M$30)*1</f>
        <v>1</v>
      </c>
      <c r="S28" s="29"/>
      <c r="T28" s="29">
        <f>1 - CUSTOS!$M$30</f>
        <v>1</v>
      </c>
      <c r="U28" s="29">
        <f>1 - CUSTOS!$M$30</f>
        <v>1</v>
      </c>
      <c r="V28" s="29">
        <f>1 - CUSTOS!$M$30</f>
        <v>1</v>
      </c>
      <c r="W28" s="29"/>
      <c r="X28" s="29"/>
      <c r="Y28" s="29"/>
      <c r="Z28" s="29">
        <f>1 - CUSTOS!$M$30</f>
        <v>1</v>
      </c>
      <c r="AA28" s="29"/>
      <c r="AB28" s="29"/>
    </row>
    <row r="29" spans="1:28" ht="11.25" customHeight="1" x14ac:dyDescent="0.25">
      <c r="A29" s="105"/>
      <c r="B29" s="105"/>
      <c r="C29" s="105"/>
      <c r="D29" s="105"/>
      <c r="E29" s="105"/>
      <c r="F29" s="105"/>
      <c r="G29" s="32" t="s">
        <v>83</v>
      </c>
      <c r="H29" s="32" t="s">
        <v>72</v>
      </c>
      <c r="I29" s="32">
        <f>'MERCADO TE'!$U$26</f>
        <v>0</v>
      </c>
      <c r="J29" s="15"/>
      <c r="L29" s="29">
        <f>1 - CUSTOS!$M$30</f>
        <v>1</v>
      </c>
      <c r="M29" s="29">
        <f>1 - CUSTOS!$M$30</f>
        <v>1</v>
      </c>
      <c r="N29" s="29">
        <f>1 - CUSTOS!$M$30</f>
        <v>1</v>
      </c>
      <c r="O29" s="29">
        <f>1 - CUSTOS!$M$30</f>
        <v>1</v>
      </c>
      <c r="P29" s="29">
        <f>1 - CUSTOS!$M$30</f>
        <v>1</v>
      </c>
      <c r="Q29" s="29"/>
      <c r="R29" s="29">
        <f>(1 - CUSTOS!$M$30)*1</f>
        <v>1</v>
      </c>
      <c r="S29" s="29"/>
      <c r="T29" s="29">
        <f>1 - CUSTOS!$M$30</f>
        <v>1</v>
      </c>
      <c r="U29" s="29">
        <f>1 - CUSTOS!$M$30</f>
        <v>1</v>
      </c>
      <c r="V29" s="29">
        <f>1 - CUSTOS!$M$30</f>
        <v>1</v>
      </c>
      <c r="W29" s="29"/>
      <c r="X29" s="29"/>
      <c r="Y29" s="29"/>
      <c r="Z29" s="29">
        <f>1 - CUSTOS!$M$30</f>
        <v>1</v>
      </c>
      <c r="AA29" s="29"/>
      <c r="AB29" s="29"/>
    </row>
    <row r="30" spans="1:28" ht="11.25" customHeight="1" x14ac:dyDescent="0.25">
      <c r="A30" s="105"/>
      <c r="B30" s="105"/>
      <c r="C30" s="105"/>
      <c r="D30" s="105"/>
      <c r="E30" s="105"/>
      <c r="F30" s="105"/>
      <c r="G30" s="32" t="s">
        <v>74</v>
      </c>
      <c r="H30" s="32" t="s">
        <v>72</v>
      </c>
      <c r="I30" s="32">
        <f>'MERCADO TE'!$U$27</f>
        <v>0</v>
      </c>
      <c r="J30" s="15"/>
      <c r="L30" s="29">
        <f>1 - CUSTOS!$M$30</f>
        <v>1</v>
      </c>
      <c r="M30" s="29">
        <f>1 - CUSTOS!$M$30</f>
        <v>1</v>
      </c>
      <c r="N30" s="29">
        <f>1 - CUSTOS!$M$30</f>
        <v>1</v>
      </c>
      <c r="O30" s="29">
        <f>1 - CUSTOS!$M$30</f>
        <v>1</v>
      </c>
      <c r="P30" s="29">
        <f>1 - CUSTOS!$M$30</f>
        <v>1</v>
      </c>
      <c r="Q30" s="29"/>
      <c r="R30" s="29">
        <f>(1 - CUSTOS!$M$30)*1</f>
        <v>1</v>
      </c>
      <c r="S30" s="29"/>
      <c r="T30" s="29">
        <f>1 - CUSTOS!$M$30</f>
        <v>1</v>
      </c>
      <c r="U30" s="29">
        <f>1 - CUSTOS!$M$30</f>
        <v>1</v>
      </c>
      <c r="V30" s="29">
        <f>1 - CUSTOS!$M$30</f>
        <v>1</v>
      </c>
      <c r="W30" s="29"/>
      <c r="X30" s="29"/>
      <c r="Y30" s="29"/>
      <c r="Z30" s="29">
        <f>1 - CUSTOS!$M$30</f>
        <v>1</v>
      </c>
      <c r="AA30" s="29"/>
      <c r="AB30" s="29"/>
    </row>
    <row r="31" spans="1:28" ht="11.25" customHeight="1" x14ac:dyDescent="0.25">
      <c r="A31" s="105"/>
      <c r="B31" s="31" t="s">
        <v>84</v>
      </c>
      <c r="C31" s="31" t="s">
        <v>41</v>
      </c>
      <c r="D31" s="31" t="s">
        <v>89</v>
      </c>
      <c r="E31" s="31" t="s">
        <v>25</v>
      </c>
      <c r="F31" s="31" t="s">
        <v>25</v>
      </c>
      <c r="G31" s="32" t="s">
        <v>78</v>
      </c>
      <c r="H31" s="32" t="s">
        <v>72</v>
      </c>
      <c r="I31" s="32">
        <f>'MERCADO TE'!$U$28</f>
        <v>0</v>
      </c>
      <c r="J31" s="15"/>
      <c r="L31" s="29">
        <f>1 - CUSTOS!$M$30</f>
        <v>1</v>
      </c>
      <c r="M31" s="29">
        <f>1 - CUSTOS!$M$30</f>
        <v>1</v>
      </c>
      <c r="N31" s="29">
        <f>1 - CUSTOS!$M$30</f>
        <v>1</v>
      </c>
      <c r="O31" s="29">
        <f>1 - CUSTOS!$M$30</f>
        <v>1</v>
      </c>
      <c r="P31" s="29">
        <f>1 - CUSTOS!$M$30</f>
        <v>1</v>
      </c>
      <c r="Q31" s="29"/>
      <c r="R31" s="29">
        <f>(1 - CUSTOS!$M$30)*1</f>
        <v>1</v>
      </c>
      <c r="S31" s="29"/>
      <c r="T31" s="29">
        <f>1 - CUSTOS!$M$30</f>
        <v>1</v>
      </c>
      <c r="U31" s="29">
        <f>1 - CUSTOS!$M$30</f>
        <v>1</v>
      </c>
      <c r="V31" s="29">
        <f>1 - CUSTOS!$M$30</f>
        <v>1</v>
      </c>
      <c r="W31" s="29"/>
      <c r="X31" s="29"/>
      <c r="Y31" s="29"/>
      <c r="Z31" s="29">
        <f>1 - CUSTOS!$M$30</f>
        <v>1</v>
      </c>
      <c r="AA31" s="29"/>
      <c r="AB31" s="29"/>
    </row>
    <row r="32" spans="1:28" ht="11.25" customHeight="1" x14ac:dyDescent="0.25">
      <c r="A32" s="105"/>
      <c r="B32" s="105" t="s">
        <v>86</v>
      </c>
      <c r="C32" s="105" t="s">
        <v>41</v>
      </c>
      <c r="D32" s="31" t="s">
        <v>25</v>
      </c>
      <c r="E32" s="31" t="s">
        <v>25</v>
      </c>
      <c r="F32" s="31" t="s">
        <v>25</v>
      </c>
      <c r="G32" s="32" t="s">
        <v>78</v>
      </c>
      <c r="H32" s="32" t="s">
        <v>72</v>
      </c>
      <c r="I32" s="32">
        <f>'MERCADO TE'!$U$29</f>
        <v>0</v>
      </c>
      <c r="J32" s="15"/>
      <c r="L32" s="29">
        <f>1 - CUSTOS!$M$28</f>
        <v>1</v>
      </c>
      <c r="M32" s="29">
        <f>1 - CUSTOS!$M$28</f>
        <v>1</v>
      </c>
      <c r="N32" s="29">
        <f>1 - CUSTOS!$M$28</f>
        <v>1</v>
      </c>
      <c r="O32" s="29">
        <f>1 - CUSTOS!$M$28</f>
        <v>1</v>
      </c>
      <c r="P32" s="29">
        <f>1 - CUSTOS!$M$28</f>
        <v>1</v>
      </c>
      <c r="Q32" s="29"/>
      <c r="R32" s="29">
        <f>(1 - CUSTOS!$M$28)*1</f>
        <v>1</v>
      </c>
      <c r="S32" s="29"/>
      <c r="T32" s="29">
        <f>1 - CUSTOS!$M$28</f>
        <v>1</v>
      </c>
      <c r="U32" s="29">
        <f>1 - CUSTOS!$M$28</f>
        <v>1</v>
      </c>
      <c r="V32" s="29">
        <f>1 - CUSTOS!$M$28</f>
        <v>1</v>
      </c>
      <c r="W32" s="29"/>
      <c r="X32" s="29"/>
      <c r="Y32" s="29"/>
      <c r="Z32" s="29">
        <f>1 - CUSTOS!$M$28</f>
        <v>1</v>
      </c>
      <c r="AA32" s="29"/>
      <c r="AB32" s="29"/>
    </row>
    <row r="33" spans="1:28" ht="11.25" customHeight="1" x14ac:dyDescent="0.25">
      <c r="A33" s="105"/>
      <c r="B33" s="105"/>
      <c r="C33" s="105"/>
      <c r="D33" s="31" t="s">
        <v>88</v>
      </c>
      <c r="E33" s="31" t="s">
        <v>25</v>
      </c>
      <c r="F33" s="31" t="s">
        <v>25</v>
      </c>
      <c r="G33" s="32" t="s">
        <v>78</v>
      </c>
      <c r="H33" s="32" t="s">
        <v>72</v>
      </c>
      <c r="I33" s="32">
        <f>'MERCADO TE'!$U$30</f>
        <v>0</v>
      </c>
      <c r="J33" s="15"/>
      <c r="L33" s="29">
        <f>1 - CUSTOS!$M$29</f>
        <v>1</v>
      </c>
      <c r="M33" s="29">
        <f>1 - CUSTOS!$M$29</f>
        <v>1</v>
      </c>
      <c r="N33" s="29">
        <f>1 - CUSTOS!$M$29</f>
        <v>1</v>
      </c>
      <c r="O33" s="29">
        <f>1 - CUSTOS!$M$29</f>
        <v>1</v>
      </c>
      <c r="P33" s="29">
        <f>1 - CUSTOS!$M$29</f>
        <v>1</v>
      </c>
      <c r="Q33" s="29"/>
      <c r="R33" s="29">
        <f>(1 - CUSTOS!$M$29)*1</f>
        <v>1</v>
      </c>
      <c r="S33" s="29"/>
      <c r="T33" s="29">
        <f>1 - CUSTOS!$M$29</f>
        <v>1</v>
      </c>
      <c r="U33" s="29">
        <f>1 - CUSTOS!$M$29</f>
        <v>1</v>
      </c>
      <c r="V33" s="29">
        <f>1 - CUSTOS!$M$29</f>
        <v>1</v>
      </c>
      <c r="W33" s="29"/>
      <c r="X33" s="29"/>
      <c r="Y33" s="29"/>
      <c r="Z33" s="29">
        <f>1 - CUSTOS!$M$29</f>
        <v>1</v>
      </c>
      <c r="AA33" s="29"/>
      <c r="AB33" s="29"/>
    </row>
    <row r="34" spans="1:28" ht="11.25" customHeight="1" x14ac:dyDescent="0.25">
      <c r="A34" s="105"/>
      <c r="B34" s="105"/>
      <c r="C34" s="105"/>
      <c r="D34" s="31" t="s">
        <v>89</v>
      </c>
      <c r="E34" s="31" t="s">
        <v>25</v>
      </c>
      <c r="F34" s="31" t="s">
        <v>25</v>
      </c>
      <c r="G34" s="32" t="s">
        <v>78</v>
      </c>
      <c r="H34" s="32" t="s">
        <v>72</v>
      </c>
      <c r="I34" s="32">
        <f>'MERCADO TE'!$U$31</f>
        <v>0</v>
      </c>
      <c r="J34" s="15"/>
      <c r="L34" s="29">
        <f>1 - CUSTOS!$M$30</f>
        <v>1</v>
      </c>
      <c r="M34" s="29">
        <f>1 - CUSTOS!$M$30</f>
        <v>1</v>
      </c>
      <c r="N34" s="29">
        <f>1 - CUSTOS!$M$30</f>
        <v>1</v>
      </c>
      <c r="O34" s="29">
        <f>1 - CUSTOS!$M$30</f>
        <v>1</v>
      </c>
      <c r="P34" s="29">
        <f>1 - CUSTOS!$M$30</f>
        <v>1</v>
      </c>
      <c r="Q34" s="29"/>
      <c r="R34" s="29">
        <f>(1 - CUSTOS!$M$30)*1</f>
        <v>1</v>
      </c>
      <c r="S34" s="29"/>
      <c r="T34" s="29">
        <f>1 - CUSTOS!$M$30</f>
        <v>1</v>
      </c>
      <c r="U34" s="29">
        <f>1 - CUSTOS!$M$30</f>
        <v>1</v>
      </c>
      <c r="V34" s="29">
        <f>1 - CUSTOS!$M$30</f>
        <v>1</v>
      </c>
      <c r="W34" s="29"/>
      <c r="X34" s="29"/>
      <c r="Y34" s="29"/>
      <c r="Z34" s="29">
        <f>1 - CUSTOS!$M$30</f>
        <v>1</v>
      </c>
      <c r="AA34" s="29"/>
      <c r="AB34" s="29"/>
    </row>
    <row r="35" spans="1:28" ht="11.25" customHeight="1" x14ac:dyDescent="0.25">
      <c r="A35" s="105" t="s">
        <v>33</v>
      </c>
      <c r="B35" s="105" t="s">
        <v>71</v>
      </c>
      <c r="C35" s="105" t="s">
        <v>25</v>
      </c>
      <c r="D35" s="105" t="s">
        <v>25</v>
      </c>
      <c r="E35" s="105" t="s">
        <v>25</v>
      </c>
      <c r="F35" s="105" t="s">
        <v>25</v>
      </c>
      <c r="G35" s="32" t="s">
        <v>73</v>
      </c>
      <c r="H35" s="32" t="s">
        <v>72</v>
      </c>
      <c r="I35" s="32">
        <f>'MERCADO TE'!$U$32</f>
        <v>0</v>
      </c>
      <c r="J35" s="15"/>
      <c r="L35" s="29">
        <f>1 - CUSTOS!$M$31</f>
        <v>1</v>
      </c>
      <c r="M35" s="29">
        <f>1 - CUSTOS!$M$31</f>
        <v>1</v>
      </c>
      <c r="N35" s="29">
        <f>1 - CUSTOS!$M$31</f>
        <v>1</v>
      </c>
      <c r="O35" s="29">
        <f>1 - CUSTOS!$M$31</f>
        <v>1</v>
      </c>
      <c r="P35" s="29">
        <f>1 - CUSTOS!$M$31</f>
        <v>1</v>
      </c>
      <c r="Q35" s="29"/>
      <c r="R35" s="29">
        <f>(1 - CUSTOS!$M$31)*1</f>
        <v>1</v>
      </c>
      <c r="S35" s="29"/>
      <c r="T35" s="29">
        <f>1 - CUSTOS!$M$31</f>
        <v>1</v>
      </c>
      <c r="U35" s="29">
        <f>1 - CUSTOS!$M$31</f>
        <v>1</v>
      </c>
      <c r="V35" s="29">
        <f>1 - CUSTOS!$M$31</f>
        <v>1</v>
      </c>
      <c r="W35" s="29"/>
      <c r="X35" s="29"/>
      <c r="Y35" s="29"/>
      <c r="Z35" s="29">
        <f>1 - CUSTOS!$M$31</f>
        <v>1</v>
      </c>
      <c r="AA35" s="29"/>
      <c r="AB35" s="29"/>
    </row>
    <row r="36" spans="1:28" ht="11.25" customHeight="1" x14ac:dyDescent="0.25">
      <c r="A36" s="105"/>
      <c r="B36" s="105"/>
      <c r="C36" s="105"/>
      <c r="D36" s="105"/>
      <c r="E36" s="105"/>
      <c r="F36" s="105"/>
      <c r="G36" s="32" t="s">
        <v>83</v>
      </c>
      <c r="H36" s="32" t="s">
        <v>72</v>
      </c>
      <c r="I36" s="32">
        <f>'MERCADO TE'!$U$33</f>
        <v>0</v>
      </c>
      <c r="J36" s="15"/>
      <c r="L36" s="29">
        <f>1 - CUSTOS!$M$31</f>
        <v>1</v>
      </c>
      <c r="M36" s="29">
        <f>1 - CUSTOS!$M$31</f>
        <v>1</v>
      </c>
      <c r="N36" s="29">
        <f>1 - CUSTOS!$M$31</f>
        <v>1</v>
      </c>
      <c r="O36" s="29">
        <f>1 - CUSTOS!$M$31</f>
        <v>1</v>
      </c>
      <c r="P36" s="29">
        <f>1 - CUSTOS!$M$31</f>
        <v>1</v>
      </c>
      <c r="Q36" s="29"/>
      <c r="R36" s="29">
        <f>(1 - CUSTOS!$M$31)*1</f>
        <v>1</v>
      </c>
      <c r="S36" s="29"/>
      <c r="T36" s="29">
        <f>1 - CUSTOS!$M$31</f>
        <v>1</v>
      </c>
      <c r="U36" s="29">
        <f>1 - CUSTOS!$M$31</f>
        <v>1</v>
      </c>
      <c r="V36" s="29">
        <f>1 - CUSTOS!$M$31</f>
        <v>1</v>
      </c>
      <c r="W36" s="29"/>
      <c r="X36" s="29"/>
      <c r="Y36" s="29"/>
      <c r="Z36" s="29">
        <f>1 - CUSTOS!$M$31</f>
        <v>1</v>
      </c>
      <c r="AA36" s="29"/>
      <c r="AB36" s="29"/>
    </row>
    <row r="37" spans="1:28" ht="11.25" customHeight="1" x14ac:dyDescent="0.25">
      <c r="A37" s="105"/>
      <c r="B37" s="105"/>
      <c r="C37" s="105"/>
      <c r="D37" s="105"/>
      <c r="E37" s="105"/>
      <c r="F37" s="105"/>
      <c r="G37" s="32" t="s">
        <v>74</v>
      </c>
      <c r="H37" s="32" t="s">
        <v>72</v>
      </c>
      <c r="I37" s="32">
        <f>'MERCADO TE'!$U$34</f>
        <v>0</v>
      </c>
      <c r="J37" s="15"/>
      <c r="L37" s="29">
        <f>1 - CUSTOS!$M$31</f>
        <v>1</v>
      </c>
      <c r="M37" s="29">
        <f>1 - CUSTOS!$M$31</f>
        <v>1</v>
      </c>
      <c r="N37" s="29">
        <f>1 - CUSTOS!$M$31</f>
        <v>1</v>
      </c>
      <c r="O37" s="29">
        <f>1 - CUSTOS!$M$31</f>
        <v>1</v>
      </c>
      <c r="P37" s="29">
        <f>1 - CUSTOS!$M$31</f>
        <v>1</v>
      </c>
      <c r="Q37" s="29"/>
      <c r="R37" s="29">
        <f>(1 - CUSTOS!$M$31)*1</f>
        <v>1</v>
      </c>
      <c r="S37" s="29"/>
      <c r="T37" s="29">
        <f>1 - CUSTOS!$M$31</f>
        <v>1</v>
      </c>
      <c r="U37" s="29">
        <f>1 - CUSTOS!$M$31</f>
        <v>1</v>
      </c>
      <c r="V37" s="29">
        <f>1 - CUSTOS!$M$31</f>
        <v>1</v>
      </c>
      <c r="W37" s="29"/>
      <c r="X37" s="29"/>
      <c r="Y37" s="29"/>
      <c r="Z37" s="29">
        <f>1 - CUSTOS!$M$31</f>
        <v>1</v>
      </c>
      <c r="AA37" s="29"/>
      <c r="AB37" s="29"/>
    </row>
    <row r="38" spans="1:28" ht="11.25" customHeight="1" x14ac:dyDescent="0.25">
      <c r="A38" s="105"/>
      <c r="B38" s="31" t="s">
        <v>84</v>
      </c>
      <c r="C38" s="31" t="s">
        <v>25</v>
      </c>
      <c r="D38" s="31" t="s">
        <v>25</v>
      </c>
      <c r="E38" s="31" t="s">
        <v>25</v>
      </c>
      <c r="F38" s="31" t="s">
        <v>25</v>
      </c>
      <c r="G38" s="32" t="s">
        <v>78</v>
      </c>
      <c r="H38" s="32" t="s">
        <v>72</v>
      </c>
      <c r="I38" s="32">
        <f>'MERCADO TE'!$U$35</f>
        <v>6621.2499999999991</v>
      </c>
      <c r="J38" s="15"/>
      <c r="L38" s="29">
        <f>1 - CUSTOS!$M$31</f>
        <v>1</v>
      </c>
      <c r="M38" s="29">
        <f>1 - CUSTOS!$M$31</f>
        <v>1</v>
      </c>
      <c r="N38" s="29">
        <f>1 - CUSTOS!$M$31</f>
        <v>1</v>
      </c>
      <c r="O38" s="29">
        <f>1 - CUSTOS!$M$31</f>
        <v>1</v>
      </c>
      <c r="P38" s="29">
        <f>1 - CUSTOS!$M$31</f>
        <v>1</v>
      </c>
      <c r="Q38" s="29"/>
      <c r="R38" s="29">
        <f>(1 - CUSTOS!$M$31)*1</f>
        <v>1</v>
      </c>
      <c r="S38" s="29"/>
      <c r="T38" s="29">
        <f>1 - CUSTOS!$M$31</f>
        <v>1</v>
      </c>
      <c r="U38" s="29">
        <f>1 - CUSTOS!$M$31</f>
        <v>1</v>
      </c>
      <c r="V38" s="29">
        <f>1 - CUSTOS!$M$31</f>
        <v>1</v>
      </c>
      <c r="W38" s="29"/>
      <c r="X38" s="29"/>
      <c r="Y38" s="29"/>
      <c r="Z38" s="29">
        <f>1 - CUSTOS!$M$31</f>
        <v>1</v>
      </c>
      <c r="AA38" s="29"/>
      <c r="AB38" s="29"/>
    </row>
    <row r="39" spans="1:28" ht="11.25" customHeight="1" x14ac:dyDescent="0.25">
      <c r="A39" s="105"/>
      <c r="B39" s="31" t="s">
        <v>86</v>
      </c>
      <c r="C39" s="31" t="s">
        <v>25</v>
      </c>
      <c r="D39" s="31" t="s">
        <v>25</v>
      </c>
      <c r="E39" s="31" t="s">
        <v>25</v>
      </c>
      <c r="F39" s="31" t="s">
        <v>25</v>
      </c>
      <c r="G39" s="32" t="s">
        <v>78</v>
      </c>
      <c r="H39" s="32" t="s">
        <v>72</v>
      </c>
      <c r="I39" s="32">
        <f>'MERCADO TE'!$U$36</f>
        <v>0</v>
      </c>
      <c r="J39" s="15"/>
      <c r="L39" s="29">
        <f>1 - CUSTOS!$M$31</f>
        <v>1</v>
      </c>
      <c r="M39" s="29">
        <f>1 - CUSTOS!$M$31</f>
        <v>1</v>
      </c>
      <c r="N39" s="29">
        <f>1 - CUSTOS!$M$31</f>
        <v>1</v>
      </c>
      <c r="O39" s="29">
        <f>1 - CUSTOS!$M$31</f>
        <v>1</v>
      </c>
      <c r="P39" s="29">
        <f>1 - CUSTOS!$M$31</f>
        <v>1</v>
      </c>
      <c r="Q39" s="29"/>
      <c r="R39" s="29">
        <f>(1 - CUSTOS!$M$31)*1</f>
        <v>1</v>
      </c>
      <c r="S39" s="29"/>
      <c r="T39" s="29">
        <f>1 - CUSTOS!$M$31</f>
        <v>1</v>
      </c>
      <c r="U39" s="29">
        <f>1 - CUSTOS!$M$31</f>
        <v>1</v>
      </c>
      <c r="V39" s="29">
        <f>1 - CUSTOS!$M$31</f>
        <v>1</v>
      </c>
      <c r="W39" s="29"/>
      <c r="X39" s="29"/>
      <c r="Y39" s="29"/>
      <c r="Z39" s="29">
        <f>1 - CUSTOS!$M$31</f>
        <v>1</v>
      </c>
      <c r="AA39" s="29"/>
      <c r="AB39" s="29"/>
    </row>
    <row r="40" spans="1:28" ht="11.25" customHeight="1" x14ac:dyDescent="0.25">
      <c r="A40" s="105" t="s">
        <v>43</v>
      </c>
      <c r="B40" s="105" t="s">
        <v>84</v>
      </c>
      <c r="C40" s="105" t="s">
        <v>44</v>
      </c>
      <c r="D40" s="31" t="s">
        <v>45</v>
      </c>
      <c r="E40" s="31" t="s">
        <v>25</v>
      </c>
      <c r="F40" s="31" t="s">
        <v>25</v>
      </c>
      <c r="G40" s="32" t="s">
        <v>78</v>
      </c>
      <c r="H40" s="32" t="s">
        <v>72</v>
      </c>
      <c r="I40" s="32">
        <f>'MERCADO TE'!$U$37</f>
        <v>930.54300000000012</v>
      </c>
      <c r="J40" s="15"/>
      <c r="L40" s="29">
        <f>1 - CUSTOS!$M$32</f>
        <v>0.55000000000000004</v>
      </c>
      <c r="M40" s="29">
        <f>1 - CUSTOS!$M$32</f>
        <v>0.55000000000000004</v>
      </c>
      <c r="N40" s="29">
        <f>1 - CUSTOS!$M$32</f>
        <v>0.55000000000000004</v>
      </c>
      <c r="O40" s="29">
        <f>1 - CUSTOS!$M$32</f>
        <v>0.55000000000000004</v>
      </c>
      <c r="P40" s="29">
        <f>1 - CUSTOS!$M$32</f>
        <v>0.55000000000000004</v>
      </c>
      <c r="Q40" s="29"/>
      <c r="R40" s="29">
        <f>(1 - CUSTOS!$M$32)*1</f>
        <v>0.55000000000000004</v>
      </c>
      <c r="S40" s="29"/>
      <c r="T40" s="29">
        <f>1 - CUSTOS!$M$32</f>
        <v>0.55000000000000004</v>
      </c>
      <c r="U40" s="29">
        <f>1 - CUSTOS!$M$32</f>
        <v>0.55000000000000004</v>
      </c>
      <c r="V40" s="29">
        <f>1 - CUSTOS!$M$32</f>
        <v>0.55000000000000004</v>
      </c>
      <c r="W40" s="29"/>
      <c r="X40" s="29"/>
      <c r="Y40" s="29"/>
      <c r="Z40" s="29">
        <f>1 - CUSTOS!$M$32</f>
        <v>0.55000000000000004</v>
      </c>
      <c r="AA40" s="29"/>
      <c r="AB40" s="29"/>
    </row>
    <row r="41" spans="1:28" ht="11.25" customHeight="1" x14ac:dyDescent="0.25">
      <c r="A41" s="105"/>
      <c r="B41" s="105"/>
      <c r="C41" s="105"/>
      <c r="D41" s="32" t="s">
        <v>90</v>
      </c>
      <c r="E41" s="32" t="s">
        <v>25</v>
      </c>
      <c r="F41" s="32" t="s">
        <v>25</v>
      </c>
      <c r="G41" s="32" t="s">
        <v>78</v>
      </c>
      <c r="H41" s="32" t="s">
        <v>72</v>
      </c>
      <c r="I41" s="32">
        <f>'MERCADO TE'!$U$38</f>
        <v>0</v>
      </c>
      <c r="J41" s="15"/>
      <c r="L41" s="29">
        <f>1 - CUSTOS!$M$33</f>
        <v>0.6</v>
      </c>
      <c r="M41" s="29">
        <f>1 - CUSTOS!$M$33</f>
        <v>0.6</v>
      </c>
      <c r="N41" s="29">
        <f>1 - CUSTOS!$M$33</f>
        <v>0.6</v>
      </c>
      <c r="O41" s="29">
        <f>1 - CUSTOS!$M$33</f>
        <v>0.6</v>
      </c>
      <c r="P41" s="29">
        <f>1 - CUSTOS!$M$33</f>
        <v>0.6</v>
      </c>
      <c r="Q41" s="29"/>
      <c r="R41" s="29">
        <f>(1 - CUSTOS!$M$33)*1</f>
        <v>0.6</v>
      </c>
      <c r="S41" s="29"/>
      <c r="T41" s="29">
        <f>1 - CUSTOS!$M$33</f>
        <v>0.6</v>
      </c>
      <c r="U41" s="29">
        <f>1 - CUSTOS!$M$33</f>
        <v>0.6</v>
      </c>
      <c r="V41" s="29">
        <f>1 - CUSTOS!$M$33</f>
        <v>0.6</v>
      </c>
      <c r="W41" s="29"/>
      <c r="X41" s="29"/>
      <c r="Y41" s="29"/>
      <c r="Z41" s="29">
        <f>1 - CUSTOS!$M$33</f>
        <v>0.6</v>
      </c>
      <c r="AA41" s="29"/>
      <c r="AB41" s="29"/>
    </row>
    <row r="43" spans="1:28" ht="11.25" customHeight="1" x14ac:dyDescent="0.25">
      <c r="K43" s="34" t="s">
        <v>503</v>
      </c>
      <c r="L43" s="29">
        <f t="shared" ref="L43:AB43" si="0">SUMPRODUCT($I$5:$I$41,L$5:L$41)</f>
        <v>91134.248649999994</v>
      </c>
      <c r="M43" s="29">
        <f t="shared" si="0"/>
        <v>91134.248649999994</v>
      </c>
      <c r="N43" s="29">
        <f t="shared" si="0"/>
        <v>91134.248649999994</v>
      </c>
      <c r="O43" s="29">
        <f t="shared" si="0"/>
        <v>91134.248649999994</v>
      </c>
      <c r="P43" s="29">
        <f t="shared" si="0"/>
        <v>91134.248649999994</v>
      </c>
      <c r="Q43" s="29">
        <f t="shared" si="0"/>
        <v>0</v>
      </c>
      <c r="R43" s="29">
        <f t="shared" si="0"/>
        <v>91134.248649999994</v>
      </c>
      <c r="S43" s="29">
        <f t="shared" si="0"/>
        <v>0</v>
      </c>
      <c r="T43" s="29">
        <f t="shared" si="0"/>
        <v>91134.248649999994</v>
      </c>
      <c r="U43" s="29">
        <f t="shared" si="0"/>
        <v>91134.248649999994</v>
      </c>
      <c r="V43" s="29">
        <f t="shared" si="0"/>
        <v>91134.248649999994</v>
      </c>
      <c r="W43" s="29">
        <f t="shared" si="0"/>
        <v>0</v>
      </c>
      <c r="X43" s="29">
        <f t="shared" si="0"/>
        <v>0</v>
      </c>
      <c r="Y43" s="29">
        <f t="shared" si="0"/>
        <v>0</v>
      </c>
      <c r="Z43" s="29">
        <f t="shared" si="0"/>
        <v>91134.248649999994</v>
      </c>
      <c r="AA43" s="29">
        <f t="shared" si="0"/>
        <v>0</v>
      </c>
      <c r="AB43" s="29">
        <f t="shared" si="0"/>
        <v>0</v>
      </c>
    </row>
    <row r="44" spans="1:28" ht="11.25" customHeight="1" x14ac:dyDescent="0.25">
      <c r="K44" s="34" t="s">
        <v>428</v>
      </c>
      <c r="L44" s="29">
        <f>CUSTOS!$D$30</f>
        <v>0</v>
      </c>
      <c r="M44" s="29">
        <f>CUSTOS!$D$31</f>
        <v>0</v>
      </c>
      <c r="N44" s="29">
        <f>CUSTOS!$D$32</f>
        <v>0</v>
      </c>
      <c r="O44" s="29">
        <f>CUSTOS!$D$33</f>
        <v>0</v>
      </c>
      <c r="P44" s="29">
        <f>CUSTOS!$D$34</f>
        <v>0</v>
      </c>
      <c r="Q44" s="29">
        <f>CUSTOS!$D$35</f>
        <v>0</v>
      </c>
      <c r="R44" s="29">
        <f>CUSTOS!$D$36</f>
        <v>11703750.588352593</v>
      </c>
      <c r="S44" s="29">
        <f>CUSTOS!$D$37</f>
        <v>11703750.588352593</v>
      </c>
      <c r="T44" s="29">
        <f>CUSTOS!$D$38</f>
        <v>0</v>
      </c>
      <c r="U44" s="29">
        <f>CUSTOS!$D$39</f>
        <v>0</v>
      </c>
      <c r="V44" s="29">
        <f>CUSTOS!$D$40</f>
        <v>0</v>
      </c>
      <c r="W44" s="29">
        <f>CUSTOS!$D$41</f>
        <v>0</v>
      </c>
      <c r="X44" s="29">
        <f>CUSTOS!$D$42</f>
        <v>0</v>
      </c>
      <c r="Y44" s="29">
        <f>CUSTOS!$D$43</f>
        <v>0</v>
      </c>
      <c r="Z44" s="29">
        <f>CUSTOS!$D$44</f>
        <v>0</v>
      </c>
      <c r="AA44" s="29">
        <f>CUSTOS!$D$45</f>
        <v>0</v>
      </c>
      <c r="AB44" s="29">
        <f>CUSTOS!$D$46</f>
        <v>11703750.588352593</v>
      </c>
    </row>
    <row r="45" spans="1:28" ht="11.25" customHeight="1" x14ac:dyDescent="0.25">
      <c r="K45" s="34" t="s">
        <v>429</v>
      </c>
      <c r="L45" s="29">
        <f>CUSTOS!$E$30</f>
        <v>0</v>
      </c>
      <c r="M45" s="29">
        <f>CUSTOS!$E$31</f>
        <v>0</v>
      </c>
      <c r="N45" s="29">
        <f>CUSTOS!$E$32</f>
        <v>0</v>
      </c>
      <c r="O45" s="29">
        <f>CUSTOS!$E$33</f>
        <v>0</v>
      </c>
      <c r="P45" s="29">
        <f>CUSTOS!$E$34</f>
        <v>0</v>
      </c>
      <c r="Q45" s="29">
        <f>CUSTOS!$E$35</f>
        <v>0</v>
      </c>
      <c r="R45" s="29">
        <f>CUSTOS!$E$36</f>
        <v>672851.01631794788</v>
      </c>
      <c r="S45" s="29">
        <f>CUSTOS!$E$37</f>
        <v>672851.01631794788</v>
      </c>
      <c r="T45" s="29">
        <f>CUSTOS!$E$38</f>
        <v>0</v>
      </c>
      <c r="U45" s="29">
        <f>CUSTOS!$E$39</f>
        <v>0</v>
      </c>
      <c r="V45" s="29">
        <f>CUSTOS!$E$40</f>
        <v>0</v>
      </c>
      <c r="W45" s="29">
        <f>CUSTOS!$E$41</f>
        <v>0</v>
      </c>
      <c r="X45" s="29">
        <f>CUSTOS!$E$42</f>
        <v>0</v>
      </c>
      <c r="Y45" s="29">
        <f>CUSTOS!$E$43</f>
        <v>0</v>
      </c>
      <c r="Z45" s="29">
        <f>CUSTOS!$E$44</f>
        <v>0</v>
      </c>
      <c r="AA45" s="29">
        <f>CUSTOS!$E$45</f>
        <v>0</v>
      </c>
      <c r="AB45" s="29">
        <f>CUSTOS!$E$46</f>
        <v>672851.01631794788</v>
      </c>
    </row>
    <row r="46" spans="1:28" ht="11.25" customHeight="1" x14ac:dyDescent="0.25">
      <c r="K46" s="34" t="s">
        <v>430</v>
      </c>
      <c r="L46" s="29">
        <f>CUSTOS!$F$30</f>
        <v>0</v>
      </c>
      <c r="M46" s="29">
        <f>CUSTOS!$F$31</f>
        <v>0</v>
      </c>
      <c r="N46" s="29">
        <f>CUSTOS!$F$32</f>
        <v>0</v>
      </c>
      <c r="O46" s="29">
        <f>CUSTOS!$F$33</f>
        <v>0</v>
      </c>
      <c r="P46" s="29">
        <f>CUSTOS!$F$34</f>
        <v>0</v>
      </c>
      <c r="Q46" s="29">
        <f>CUSTOS!$F$35</f>
        <v>0</v>
      </c>
      <c r="R46" s="29">
        <f>CUSTOS!$F$36</f>
        <v>0</v>
      </c>
      <c r="S46" s="29">
        <f>CUSTOS!$F$37</f>
        <v>0</v>
      </c>
      <c r="T46" s="29">
        <f>CUSTOS!$F$38</f>
        <v>0</v>
      </c>
      <c r="U46" s="29">
        <f>CUSTOS!$F$39</f>
        <v>0</v>
      </c>
      <c r="V46" s="29">
        <f>CUSTOS!$F$40</f>
        <v>0</v>
      </c>
      <c r="W46" s="29">
        <f>CUSTOS!$F$41</f>
        <v>0</v>
      </c>
      <c r="X46" s="29">
        <f>CUSTOS!$F$42</f>
        <v>0</v>
      </c>
      <c r="Y46" s="29">
        <f>CUSTOS!$F$43</f>
        <v>0</v>
      </c>
      <c r="Z46" s="29">
        <f>CUSTOS!$F$44</f>
        <v>0</v>
      </c>
      <c r="AA46" s="29">
        <f>CUSTOS!$F$45</f>
        <v>0</v>
      </c>
      <c r="AB46" s="29">
        <f>CUSTOS!$F$46</f>
        <v>0</v>
      </c>
    </row>
    <row r="47" spans="1:28" ht="11.25" customHeight="1" x14ac:dyDescent="0.25">
      <c r="K47" s="34" t="s">
        <v>504</v>
      </c>
      <c r="L47" s="29">
        <f>IF(SUMPRODUCT($I$5:$I$41,$L$5:$L$41)&lt;&gt;0,L44/SUMPRODUCT($I$5:$I$41,$L$5:$L$41),0)</f>
        <v>0</v>
      </c>
      <c r="M47" s="29">
        <f>IF(SUMPRODUCT($I$5:$I$41,$M$5:$M$41)&lt;&gt;0,M44/SUMPRODUCT($I$5:$I$41,$M$5:$M$41),0)</f>
        <v>0</v>
      </c>
      <c r="N47" s="29">
        <f>IF(SUMPRODUCT($I$5:$I$41,$N$5:$N$41)&lt;&gt;0,N44/SUMPRODUCT($I$5:$I$41,$N$5:$N$41),0)</f>
        <v>0</v>
      </c>
      <c r="O47" s="29">
        <f>IF(SUMPRODUCT($I$5:$I$41,$O$5:$O$41)&lt;&gt;0,O44/SUMPRODUCT($I$5:$I$41,$O$5:$O$41),0)</f>
        <v>0</v>
      </c>
      <c r="P47" s="29">
        <f>IF(SUMPRODUCT($I$5:$I$41,$P$5:$P$41)&lt;&gt;0,P44/SUMPRODUCT($I$5:$I$41,$P$5:$P$41),0)</f>
        <v>0</v>
      </c>
      <c r="Q47" s="29"/>
      <c r="R47" s="29">
        <f>IF((CUSTOS!$M$12-CUSTOS!$M$13)&lt;&gt;0,(CUSTOS!$M$12*CUSTOS!$M$14)/(CUSTOS!$M$12-CUSTOS!$M$13),0)</f>
        <v>129.926941</v>
      </c>
      <c r="S47" s="29"/>
      <c r="T47" s="29">
        <f>IF(SUMPRODUCT($I$5:$I$41,$T$5:$T$41)&lt;&gt;0,T44/SUMPRODUCT($I$5:$I$41,$T$5:$T$41),0)</f>
        <v>0</v>
      </c>
      <c r="U47" s="29">
        <f>IF(SUMPRODUCT($I$5:$I$41,$U$5:$U$41)&lt;&gt;0,U44/SUMPRODUCT($I$5:$I$41,$U$5:$U$41),0)</f>
        <v>0</v>
      </c>
      <c r="V47" s="29">
        <f>IF(SUMPRODUCT($I$5:$I$41,$V$5:$V$41)&lt;&gt;0,V44/SUMPRODUCT($I$5:$I$41,$V$5:$V$41),0)</f>
        <v>0</v>
      </c>
      <c r="W47" s="29"/>
      <c r="X47" s="29">
        <f>IF(SUMPRODUCT($I$5:$I$41,$X$5:$X$41)&lt;&gt;0,X44/SUMPRODUCT($I$5:$I$41,$X$5:$X$41),0)</f>
        <v>0</v>
      </c>
      <c r="Y47" s="29"/>
      <c r="Z47" s="29">
        <f>IF(SUMPRODUCT($I$5:$I$41,$Z$5:$Z$41)&lt;&gt;0,Z44/SUMPRODUCT($I$5:$I$41,$Z$5:$Z$41),0)</f>
        <v>0</v>
      </c>
      <c r="AA47" s="29"/>
      <c r="AB47" s="29"/>
    </row>
    <row r="48" spans="1:28" ht="11.25" customHeight="1" x14ac:dyDescent="0.25">
      <c r="K48" s="34" t="s">
        <v>505</v>
      </c>
      <c r="L48" s="29">
        <f>IF(L43&lt;&gt;0,(L44-L47*0)/(L43-0),0)</f>
        <v>0</v>
      </c>
      <c r="M48" s="29">
        <f>IF(M43&lt;&gt;0,(M44-M47*0)/(M43-0),0)</f>
        <v>0</v>
      </c>
      <c r="N48" s="29">
        <f>IF(N43&lt;&gt;0,(N44-N47*0)/(N43-0),0)</f>
        <v>0</v>
      </c>
      <c r="O48" s="29">
        <f>IF(O43&lt;&gt;0,(O44-O47*0)/(O43-0),0)</f>
        <v>0</v>
      </c>
      <c r="P48" s="29">
        <f>IF(P43&lt;&gt;0,(P44-P47*0)/(P43-0),0)</f>
        <v>0</v>
      </c>
      <c r="Q48" s="29"/>
      <c r="R48" s="29">
        <f>IF(R43&lt;&gt;0,(R44-R47*0)/(R43-0),0)</f>
        <v>128.42318625241219</v>
      </c>
      <c r="S48" s="29"/>
      <c r="T48" s="29">
        <f>IF(T43&lt;&gt;0,(T44-T47*0)/(T43-0),0)</f>
        <v>0</v>
      </c>
      <c r="U48" s="29">
        <f>IF(U43&lt;&gt;0,(U44-U47*0)/(U43-0),0)</f>
        <v>0</v>
      </c>
      <c r="V48" s="29">
        <f>IF(V43&lt;&gt;0,(V44-V47*0)/(V43-0),0)</f>
        <v>0</v>
      </c>
      <c r="W48" s="29"/>
      <c r="X48" s="29">
        <f>IF(X43&lt;&gt;0,(X44-X47*0)/(X43-0),0)</f>
        <v>0</v>
      </c>
      <c r="Y48" s="29"/>
      <c r="Z48" s="29">
        <f>IF(Z43&lt;&gt;0,(Z44-Z47*0)/(Z43-0),0)</f>
        <v>0</v>
      </c>
      <c r="AA48" s="29"/>
      <c r="AB48" s="29"/>
    </row>
    <row r="49" spans="11:28" ht="11.25" customHeight="1" x14ac:dyDescent="0.25">
      <c r="K49" s="34" t="s">
        <v>506</v>
      </c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</row>
  </sheetData>
  <mergeCells count="61">
    <mergeCell ref="F5:F6"/>
    <mergeCell ref="A5:A6"/>
    <mergeCell ref="B5:B6"/>
    <mergeCell ref="C5:C6"/>
    <mergeCell ref="D5:D6"/>
    <mergeCell ref="E5:E6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E28:E30"/>
    <mergeCell ref="F28:F30"/>
    <mergeCell ref="A20:A34"/>
    <mergeCell ref="B20:B22"/>
    <mergeCell ref="C20:C22"/>
    <mergeCell ref="D20:D22"/>
    <mergeCell ref="E20:E22"/>
    <mergeCell ref="F20:F22"/>
    <mergeCell ref="B24:B26"/>
    <mergeCell ref="C24:C26"/>
    <mergeCell ref="D24:D26"/>
    <mergeCell ref="E24:E26"/>
    <mergeCell ref="F1:F4"/>
    <mergeCell ref="E35:E37"/>
    <mergeCell ref="F35:F37"/>
    <mergeCell ref="A40:A41"/>
    <mergeCell ref="B40:B41"/>
    <mergeCell ref="C40:C41"/>
    <mergeCell ref="B32:B34"/>
    <mergeCell ref="C32:C34"/>
    <mergeCell ref="A35:A39"/>
    <mergeCell ref="B35:B37"/>
    <mergeCell ref="C35:C37"/>
    <mergeCell ref="D35:D37"/>
    <mergeCell ref="F24:F26"/>
    <mergeCell ref="B28:B30"/>
    <mergeCell ref="C28:C30"/>
    <mergeCell ref="D28:D30"/>
    <mergeCell ref="A1:A4"/>
    <mergeCell ref="B1:B4"/>
    <mergeCell ref="C1:C4"/>
    <mergeCell ref="D1:D4"/>
    <mergeCell ref="E1:E4"/>
    <mergeCell ref="Z3:AA3"/>
    <mergeCell ref="AB3:AB4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3061-F027-4E2F-863D-226F53A06FD5}">
  <sheetPr codeName="Planilha13"/>
  <dimension ref="A1:AB49"/>
  <sheetViews>
    <sheetView showGridLines="0" topLeftCell="F1" workbookViewId="0">
      <selection activeCell="AB5" sqref="G5:AB5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.85546875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04" t="s">
        <v>62</v>
      </c>
      <c r="B1" s="104" t="s">
        <v>63</v>
      </c>
      <c r="C1" s="104" t="s">
        <v>64</v>
      </c>
      <c r="D1" s="104" t="s">
        <v>65</v>
      </c>
      <c r="E1" s="104" t="s">
        <v>66</v>
      </c>
      <c r="F1" s="104" t="s">
        <v>15</v>
      </c>
      <c r="G1" s="104" t="s">
        <v>68</v>
      </c>
      <c r="H1" s="104" t="s">
        <v>69</v>
      </c>
      <c r="I1" s="104" t="s">
        <v>487</v>
      </c>
      <c r="J1" s="90"/>
      <c r="L1" s="102" t="s">
        <v>507</v>
      </c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</row>
    <row r="2" spans="1:28" ht="11.2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90"/>
      <c r="L2" s="102" t="s">
        <v>414</v>
      </c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</row>
    <row r="3" spans="1:28" ht="11.2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90"/>
      <c r="L3" s="102" t="s">
        <v>387</v>
      </c>
      <c r="M3" s="102"/>
      <c r="N3" s="102"/>
      <c r="O3" s="102"/>
      <c r="P3" s="102"/>
      <c r="Q3" s="102"/>
      <c r="R3" s="102" t="s">
        <v>418</v>
      </c>
      <c r="S3" s="102"/>
      <c r="T3" s="102" t="s">
        <v>396</v>
      </c>
      <c r="U3" s="102"/>
      <c r="V3" s="102"/>
      <c r="W3" s="102"/>
      <c r="X3" s="102" t="s">
        <v>406</v>
      </c>
      <c r="Y3" s="102"/>
      <c r="Z3" s="102" t="s">
        <v>409</v>
      </c>
      <c r="AA3" s="102"/>
      <c r="AB3" s="102" t="s">
        <v>395</v>
      </c>
    </row>
    <row r="4" spans="1:28" ht="11.25" customHeight="1" x14ac:dyDescent="0.25">
      <c r="A4" s="104"/>
      <c r="B4" s="104"/>
      <c r="C4" s="104"/>
      <c r="D4" s="104"/>
      <c r="E4" s="104"/>
      <c r="F4" s="104"/>
      <c r="G4" s="104"/>
      <c r="H4" s="104"/>
      <c r="I4" s="104"/>
      <c r="J4" s="90"/>
      <c r="L4" s="33" t="s">
        <v>389</v>
      </c>
      <c r="M4" s="33" t="s">
        <v>415</v>
      </c>
      <c r="N4" s="33" t="s">
        <v>416</v>
      </c>
      <c r="O4" s="33" t="s">
        <v>475</v>
      </c>
      <c r="P4" s="33" t="s">
        <v>417</v>
      </c>
      <c r="Q4" s="33" t="s">
        <v>395</v>
      </c>
      <c r="R4" s="33" t="s">
        <v>419</v>
      </c>
      <c r="S4" s="33" t="s">
        <v>395</v>
      </c>
      <c r="T4" s="33" t="s">
        <v>420</v>
      </c>
      <c r="U4" s="33" t="s">
        <v>421</v>
      </c>
      <c r="V4" s="33" t="s">
        <v>422</v>
      </c>
      <c r="W4" s="33" t="s">
        <v>395</v>
      </c>
      <c r="X4" s="33" t="s">
        <v>407</v>
      </c>
      <c r="Y4" s="33" t="s">
        <v>395</v>
      </c>
      <c r="Z4" s="33" t="s">
        <v>423</v>
      </c>
      <c r="AA4" s="33" t="s">
        <v>395</v>
      </c>
      <c r="AB4" s="103"/>
    </row>
    <row r="5" spans="1:28" ht="11.25" customHeight="1" x14ac:dyDescent="0.25">
      <c r="A5" s="105" t="s">
        <v>35</v>
      </c>
      <c r="B5" s="105" t="s">
        <v>71</v>
      </c>
      <c r="C5" s="105" t="s">
        <v>25</v>
      </c>
      <c r="D5" s="105" t="s">
        <v>25</v>
      </c>
      <c r="E5" s="105" t="s">
        <v>25</v>
      </c>
      <c r="F5" s="105" t="s">
        <v>25</v>
      </c>
      <c r="G5" s="32" t="s">
        <v>73</v>
      </c>
      <c r="H5" s="32" t="s">
        <v>72</v>
      </c>
      <c r="I5" s="32">
        <f>'MERCADO TE'!$U$2</f>
        <v>1276.5</v>
      </c>
      <c r="J5" s="15"/>
      <c r="L5" s="29">
        <f>'TR TE'!$L$5*'TR TE'!$L$48</f>
        <v>0</v>
      </c>
      <c r="M5" s="29">
        <f>'TR TE'!$M$5*'TR TE'!$M$48</f>
        <v>0</v>
      </c>
      <c r="N5" s="29">
        <f>'TR TE'!$N$5*'TR TE'!$N$48</f>
        <v>0</v>
      </c>
      <c r="O5" s="29">
        <f>'TR TE'!$O$5*'TR TE'!$O$48</f>
        <v>0</v>
      </c>
      <c r="P5" s="29">
        <f>'TR TE'!$P$5*'TR TE'!$P$48</f>
        <v>0</v>
      </c>
      <c r="Q5" s="29">
        <f>SUM($L$5:$P$5)</f>
        <v>0</v>
      </c>
      <c r="R5" s="29">
        <f>'TR TE'!$R$5*'TR TE'!$R$48</f>
        <v>128.42318625241219</v>
      </c>
      <c r="S5" s="29">
        <f>SUM($R$5:$R$5)</f>
        <v>128.42318625241219</v>
      </c>
      <c r="T5" s="29">
        <f>'TR TE'!$T$5*'TR TE'!$T$48</f>
        <v>0</v>
      </c>
      <c r="U5" s="29">
        <f>'TR TE'!$U$5*'TR TE'!$U$48</f>
        <v>0</v>
      </c>
      <c r="V5" s="29">
        <f>'TR TE'!$V$5*'TR TE'!$V$48</f>
        <v>0</v>
      </c>
      <c r="W5" s="29">
        <f>SUM($T$5:$V$5)</f>
        <v>0</v>
      </c>
      <c r="X5" s="29"/>
      <c r="Y5" s="29">
        <f>SUM($X$5:$X$5)</f>
        <v>0</v>
      </c>
      <c r="Z5" s="29">
        <f>'TR TE'!$Z$5*'TR TE'!$Z$48</f>
        <v>0</v>
      </c>
      <c r="AA5" s="29">
        <f>SUM($Z$5:$Z$5)</f>
        <v>0</v>
      </c>
      <c r="AB5" s="29">
        <f>SUMIF($L$4:$AA$4,"SUBTOTAL",$L$5:$AA$5)</f>
        <v>128.42318625241219</v>
      </c>
    </row>
    <row r="6" spans="1:28" ht="11.25" customHeight="1" x14ac:dyDescent="0.25">
      <c r="A6" s="105"/>
      <c r="B6" s="105"/>
      <c r="C6" s="105"/>
      <c r="D6" s="105"/>
      <c r="E6" s="105"/>
      <c r="F6" s="105"/>
      <c r="G6" s="32" t="s">
        <v>74</v>
      </c>
      <c r="H6" s="32" t="s">
        <v>72</v>
      </c>
      <c r="I6" s="32">
        <f>'MERCADO TE'!$U$3</f>
        <v>30799.609</v>
      </c>
      <c r="J6" s="15"/>
      <c r="L6" s="29">
        <f>'TR TE'!$L$6*'TR TE'!$L$48</f>
        <v>0</v>
      </c>
      <c r="M6" s="29">
        <f>'TR TE'!$M$6*'TR TE'!$M$48</f>
        <v>0</v>
      </c>
      <c r="N6" s="29">
        <f>'TR TE'!$N$6*'TR TE'!$N$48</f>
        <v>0</v>
      </c>
      <c r="O6" s="29">
        <f>'TR TE'!$O$6*'TR TE'!$O$48</f>
        <v>0</v>
      </c>
      <c r="P6" s="29">
        <f>'TR TE'!$P$6*'TR TE'!$P$48</f>
        <v>0</v>
      </c>
      <c r="Q6" s="29">
        <f>SUM($L$6:$P$6)</f>
        <v>0</v>
      </c>
      <c r="R6" s="29">
        <f>'TR TE'!$R$6*'TR TE'!$R$48</f>
        <v>128.42318625241219</v>
      </c>
      <c r="S6" s="29">
        <f>SUM($R$6:$R$6)</f>
        <v>128.42318625241219</v>
      </c>
      <c r="T6" s="29">
        <f>'TR TE'!$T$6*'TR TE'!$T$48</f>
        <v>0</v>
      </c>
      <c r="U6" s="29">
        <f>'TR TE'!$U$6*'TR TE'!$U$48</f>
        <v>0</v>
      </c>
      <c r="V6" s="29">
        <f>'TR TE'!$V$6*'TR TE'!$V$48</f>
        <v>0</v>
      </c>
      <c r="W6" s="29">
        <f>SUM($T$6:$V$6)</f>
        <v>0</v>
      </c>
      <c r="X6" s="29"/>
      <c r="Y6" s="29">
        <f>SUM($X$6:$X$6)</f>
        <v>0</v>
      </c>
      <c r="Z6" s="29">
        <f>'TR TE'!$Z$6*'TR TE'!$Z$48</f>
        <v>0</v>
      </c>
      <c r="AA6" s="29">
        <f>SUM($Z$6:$Z$6)</f>
        <v>0</v>
      </c>
      <c r="AB6" s="29">
        <f>SUMIF($L$4:$AA$4,"SUBTOTAL",$L$6:$AA$6)</f>
        <v>128.42318625241219</v>
      </c>
    </row>
    <row r="7" spans="1:28" ht="11.25" customHeight="1" x14ac:dyDescent="0.25">
      <c r="A7" s="105" t="s">
        <v>22</v>
      </c>
      <c r="B7" s="105" t="s">
        <v>71</v>
      </c>
      <c r="C7" s="105" t="s">
        <v>24</v>
      </c>
      <c r="D7" s="105" t="s">
        <v>24</v>
      </c>
      <c r="E7" s="105" t="s">
        <v>25</v>
      </c>
      <c r="F7" s="105" t="s">
        <v>25</v>
      </c>
      <c r="G7" s="32" t="s">
        <v>73</v>
      </c>
      <c r="H7" s="32" t="s">
        <v>72</v>
      </c>
      <c r="I7" s="32">
        <f>'MERCADO TE'!$U$4</f>
        <v>0</v>
      </c>
      <c r="J7" s="15"/>
      <c r="L7" s="29">
        <f>'TR TE'!$L$7*'TR TE'!$L$48</f>
        <v>0</v>
      </c>
      <c r="M7" s="29">
        <f>'TR TE'!$M$7*'TR TE'!$M$48</f>
        <v>0</v>
      </c>
      <c r="N7" s="29">
        <f>'TR TE'!$N$7*'TR TE'!$N$48</f>
        <v>0</v>
      </c>
      <c r="O7" s="29">
        <f>'TR TE'!$O$7*'TR TE'!$O$48</f>
        <v>0</v>
      </c>
      <c r="P7" s="29">
        <f>'TR TE'!$P$7*'TR TE'!$P$48</f>
        <v>0</v>
      </c>
      <c r="Q7" s="29">
        <f>SUM($L$7:$P$7)</f>
        <v>0</v>
      </c>
      <c r="R7" s="29">
        <f>'TR TE'!$R$7*'TR TE'!$R$48</f>
        <v>128.42318625241219</v>
      </c>
      <c r="S7" s="29">
        <f>SUM($R$7:$R$7)</f>
        <v>128.42318625241219</v>
      </c>
      <c r="T7" s="29">
        <f>'TR TE'!$T$7*'TR TE'!$T$48</f>
        <v>0</v>
      </c>
      <c r="U7" s="29">
        <f>'TR TE'!$U$7*'TR TE'!$U$48</f>
        <v>0</v>
      </c>
      <c r="V7" s="29">
        <f>'TR TE'!$V$7*'TR TE'!$V$48</f>
        <v>0</v>
      </c>
      <c r="W7" s="29">
        <f>SUM($T$7:$V$7)</f>
        <v>0</v>
      </c>
      <c r="X7" s="29"/>
      <c r="Y7" s="29">
        <f>SUM($X$7:$X$7)</f>
        <v>0</v>
      </c>
      <c r="Z7" s="29">
        <f>'TR TE'!$Z$7*'TR TE'!$Z$48</f>
        <v>0</v>
      </c>
      <c r="AA7" s="29">
        <f>SUM($Z$7:$Z$7)</f>
        <v>0</v>
      </c>
      <c r="AB7" s="29">
        <f>SUMIF($L$4:$AA$4,"SUBTOTAL",$L$7:$AA$7)</f>
        <v>128.42318625241219</v>
      </c>
    </row>
    <row r="8" spans="1:28" ht="11.25" customHeight="1" x14ac:dyDescent="0.25">
      <c r="A8" s="105"/>
      <c r="B8" s="105"/>
      <c r="C8" s="105"/>
      <c r="D8" s="105"/>
      <c r="E8" s="105"/>
      <c r="F8" s="105"/>
      <c r="G8" s="32" t="s">
        <v>83</v>
      </c>
      <c r="H8" s="32" t="s">
        <v>72</v>
      </c>
      <c r="I8" s="32">
        <f>'MERCADO TE'!$U$5</f>
        <v>0</v>
      </c>
      <c r="J8" s="15"/>
      <c r="L8" s="29">
        <f>'TR TE'!$L$8*'TR TE'!$L$48</f>
        <v>0</v>
      </c>
      <c r="M8" s="29">
        <f>'TR TE'!$M$8*'TR TE'!$M$48</f>
        <v>0</v>
      </c>
      <c r="N8" s="29">
        <f>'TR TE'!$N$8*'TR TE'!$N$48</f>
        <v>0</v>
      </c>
      <c r="O8" s="29">
        <f>'TR TE'!$O$8*'TR TE'!$O$48</f>
        <v>0</v>
      </c>
      <c r="P8" s="29">
        <f>'TR TE'!$P$8*'TR TE'!$P$48</f>
        <v>0</v>
      </c>
      <c r="Q8" s="29">
        <f>SUM($L$8:$P$8)</f>
        <v>0</v>
      </c>
      <c r="R8" s="29">
        <f>'TR TE'!$R$8*'TR TE'!$R$48</f>
        <v>128.42318625241219</v>
      </c>
      <c r="S8" s="29">
        <f>SUM($R$8:$R$8)</f>
        <v>128.42318625241219</v>
      </c>
      <c r="T8" s="29">
        <f>'TR TE'!$T$8*'TR TE'!$T$48</f>
        <v>0</v>
      </c>
      <c r="U8" s="29">
        <f>'TR TE'!$U$8*'TR TE'!$U$48</f>
        <v>0</v>
      </c>
      <c r="V8" s="29">
        <f>'TR TE'!$V$8*'TR TE'!$V$48</f>
        <v>0</v>
      </c>
      <c r="W8" s="29">
        <f>SUM($T$8:$V$8)</f>
        <v>0</v>
      </c>
      <c r="X8" s="29"/>
      <c r="Y8" s="29">
        <f>SUM($X$8:$X$8)</f>
        <v>0</v>
      </c>
      <c r="Z8" s="29">
        <f>'TR TE'!$Z$8*'TR TE'!$Z$48</f>
        <v>0</v>
      </c>
      <c r="AA8" s="29">
        <f>SUM($Z$8:$Z$8)</f>
        <v>0</v>
      </c>
      <c r="AB8" s="29">
        <f>SUMIF($L$4:$AA$4,"SUBTOTAL",$L$8:$AA$8)</f>
        <v>128.42318625241219</v>
      </c>
    </row>
    <row r="9" spans="1:28" ht="11.25" customHeight="1" x14ac:dyDescent="0.25">
      <c r="A9" s="105"/>
      <c r="B9" s="105"/>
      <c r="C9" s="105"/>
      <c r="D9" s="105"/>
      <c r="E9" s="105"/>
      <c r="F9" s="105"/>
      <c r="G9" s="32" t="s">
        <v>74</v>
      </c>
      <c r="H9" s="32" t="s">
        <v>72</v>
      </c>
      <c r="I9" s="32">
        <f>'MERCADO TE'!$U$6</f>
        <v>0</v>
      </c>
      <c r="J9" s="15"/>
      <c r="L9" s="29">
        <f>'TR TE'!$L$9*'TR TE'!$L$48</f>
        <v>0</v>
      </c>
      <c r="M9" s="29">
        <f>'TR TE'!$M$9*'TR TE'!$M$48</f>
        <v>0</v>
      </c>
      <c r="N9" s="29">
        <f>'TR TE'!$N$9*'TR TE'!$N$48</f>
        <v>0</v>
      </c>
      <c r="O9" s="29">
        <f>'TR TE'!$O$9*'TR TE'!$O$48</f>
        <v>0</v>
      </c>
      <c r="P9" s="29">
        <f>'TR TE'!$P$9*'TR TE'!$P$48</f>
        <v>0</v>
      </c>
      <c r="Q9" s="29">
        <f>SUM($L$9:$P$9)</f>
        <v>0</v>
      </c>
      <c r="R9" s="29">
        <f>'TR TE'!$R$9*'TR TE'!$R$48</f>
        <v>128.42318625241219</v>
      </c>
      <c r="S9" s="29">
        <f>SUM($R$9:$R$9)</f>
        <v>128.42318625241219</v>
      </c>
      <c r="T9" s="29">
        <f>'TR TE'!$T$9*'TR TE'!$T$48</f>
        <v>0</v>
      </c>
      <c r="U9" s="29">
        <f>'TR TE'!$U$9*'TR TE'!$U$48</f>
        <v>0</v>
      </c>
      <c r="V9" s="29">
        <f>'TR TE'!$V$9*'TR TE'!$V$48</f>
        <v>0</v>
      </c>
      <c r="W9" s="29">
        <f>SUM($T$9:$V$9)</f>
        <v>0</v>
      </c>
      <c r="X9" s="29"/>
      <c r="Y9" s="29">
        <f>SUM($X$9:$X$9)</f>
        <v>0</v>
      </c>
      <c r="Z9" s="29">
        <f>'TR TE'!$Z$9*'TR TE'!$Z$48</f>
        <v>0</v>
      </c>
      <c r="AA9" s="29">
        <f>SUM($Z$9:$Z$9)</f>
        <v>0</v>
      </c>
      <c r="AB9" s="29">
        <f>SUMIF($L$4:$AA$4,"SUBTOTAL",$L$9:$AA$9)</f>
        <v>128.42318625241219</v>
      </c>
    </row>
    <row r="10" spans="1:28" ht="11.25" customHeight="1" x14ac:dyDescent="0.25">
      <c r="A10" s="105"/>
      <c r="B10" s="105" t="s">
        <v>84</v>
      </c>
      <c r="C10" s="105" t="s">
        <v>24</v>
      </c>
      <c r="D10" s="31" t="s">
        <v>24</v>
      </c>
      <c r="E10" s="31" t="s">
        <v>25</v>
      </c>
      <c r="F10" s="31" t="s">
        <v>25</v>
      </c>
      <c r="G10" s="32" t="s">
        <v>78</v>
      </c>
      <c r="H10" s="32" t="s">
        <v>72</v>
      </c>
      <c r="I10" s="32">
        <f>'MERCADO TE'!$U$7</f>
        <v>11694.771999999999</v>
      </c>
      <c r="J10" s="15"/>
      <c r="L10" s="29">
        <f>'TR TE'!$L$10*'TR TE'!$L$48</f>
        <v>0</v>
      </c>
      <c r="M10" s="29">
        <f>'TR TE'!$M$10*'TR TE'!$M$48</f>
        <v>0</v>
      </c>
      <c r="N10" s="29">
        <f>'TR TE'!$N$10*'TR TE'!$N$48</f>
        <v>0</v>
      </c>
      <c r="O10" s="29">
        <f>'TR TE'!$O$10*'TR TE'!$O$48</f>
        <v>0</v>
      </c>
      <c r="P10" s="29">
        <f>'TR TE'!$P$10*'TR TE'!$P$48</f>
        <v>0</v>
      </c>
      <c r="Q10" s="29">
        <f>SUM($L$10:$P$10)</f>
        <v>0</v>
      </c>
      <c r="R10" s="29">
        <f>'TR TE'!$R$10*'TR TE'!$R$48</f>
        <v>128.42318625241219</v>
      </c>
      <c r="S10" s="29">
        <f>SUM($R$10:$R$10)</f>
        <v>128.42318625241219</v>
      </c>
      <c r="T10" s="29">
        <f>'TR TE'!$T$10*'TR TE'!$T$48</f>
        <v>0</v>
      </c>
      <c r="U10" s="29">
        <f>'TR TE'!$U$10*'TR TE'!$U$48</f>
        <v>0</v>
      </c>
      <c r="V10" s="29">
        <f>'TR TE'!$V$10*'TR TE'!$V$48</f>
        <v>0</v>
      </c>
      <c r="W10" s="29">
        <f>SUM($T$10:$V$10)</f>
        <v>0</v>
      </c>
      <c r="X10" s="29"/>
      <c r="Y10" s="29">
        <f>SUM($X$10:$X$10)</f>
        <v>0</v>
      </c>
      <c r="Z10" s="29">
        <f>'TR TE'!$Z$10*'TR TE'!$Z$48</f>
        <v>0</v>
      </c>
      <c r="AA10" s="29">
        <f>SUM($Z$10:$Z$10)</f>
        <v>0</v>
      </c>
      <c r="AB10" s="29">
        <f>SUMIF($L$4:$AA$4,"SUBTOTAL",$L$10:$AA$10)</f>
        <v>128.42318625241219</v>
      </c>
    </row>
    <row r="11" spans="1:28" ht="11.25" customHeight="1" x14ac:dyDescent="0.25">
      <c r="A11" s="105"/>
      <c r="B11" s="105"/>
      <c r="C11" s="105"/>
      <c r="D11" s="31" t="s">
        <v>29</v>
      </c>
      <c r="E11" s="31" t="s">
        <v>25</v>
      </c>
      <c r="F11" s="31" t="s">
        <v>25</v>
      </c>
      <c r="G11" s="32" t="s">
        <v>78</v>
      </c>
      <c r="H11" s="32" t="s">
        <v>72</v>
      </c>
      <c r="I11" s="32">
        <f>'MERCADO TE'!$U$8</f>
        <v>30.416</v>
      </c>
      <c r="J11" s="15"/>
      <c r="L11" s="29">
        <f>'TR TE'!$L$11*'TR TE'!$L$48</f>
        <v>0</v>
      </c>
      <c r="M11" s="29">
        <f>'TR TE'!$M$11*'TR TE'!$M$48</f>
        <v>0</v>
      </c>
      <c r="N11" s="29">
        <f>'TR TE'!$N$11*'TR TE'!$N$48</f>
        <v>0</v>
      </c>
      <c r="O11" s="29">
        <f>'TR TE'!$O$11*'TR TE'!$O$48</f>
        <v>0</v>
      </c>
      <c r="P11" s="29">
        <f>'TR TE'!$P$11*'TR TE'!$P$48</f>
        <v>0</v>
      </c>
      <c r="Q11" s="29">
        <f>SUM($L$11:$P$11)</f>
        <v>0</v>
      </c>
      <c r="R11" s="29">
        <f>'TR TE'!$R$11*'TR TE'!$R$48</f>
        <v>128.42318625241219</v>
      </c>
      <c r="S11" s="29">
        <f>SUM($R$11:$R$11)</f>
        <v>128.42318625241219</v>
      </c>
      <c r="T11" s="29">
        <f>'TR TE'!$T$11*'TR TE'!$T$48</f>
        <v>0</v>
      </c>
      <c r="U11" s="29">
        <f>'TR TE'!$U$11*'TR TE'!$U$48</f>
        <v>0</v>
      </c>
      <c r="V11" s="29">
        <f>'TR TE'!$V$11*'TR TE'!$V$48</f>
        <v>0</v>
      </c>
      <c r="W11" s="29">
        <f>SUM($T$11:$V$11)</f>
        <v>0</v>
      </c>
      <c r="X11" s="29"/>
      <c r="Y11" s="29">
        <f>SUM($X$11:$X$11)</f>
        <v>0</v>
      </c>
      <c r="Z11" s="29">
        <f>'TR TE'!$Z$11*'TR TE'!$Z$48</f>
        <v>0</v>
      </c>
      <c r="AA11" s="29">
        <f>SUM($Z$11:$Z$11)</f>
        <v>0</v>
      </c>
      <c r="AB11" s="29">
        <f>SUMIF($L$4:$AA$4,"SUBTOTAL",$L$11:$AA$11)</f>
        <v>128.42318625241219</v>
      </c>
    </row>
    <row r="12" spans="1:28" ht="11.25" customHeight="1" x14ac:dyDescent="0.25">
      <c r="A12" s="105"/>
      <c r="B12" s="105"/>
      <c r="C12" s="105"/>
      <c r="D12" s="31" t="s">
        <v>30</v>
      </c>
      <c r="E12" s="31" t="s">
        <v>25</v>
      </c>
      <c r="F12" s="31" t="s">
        <v>25</v>
      </c>
      <c r="G12" s="32" t="s">
        <v>78</v>
      </c>
      <c r="H12" s="32" t="s">
        <v>72</v>
      </c>
      <c r="I12" s="32">
        <f>'MERCADO TE'!$U$9</f>
        <v>60.935000000000002</v>
      </c>
      <c r="J12" s="15"/>
      <c r="L12" s="29">
        <f>'TR TE'!$L$12*'TR TE'!$L$48</f>
        <v>0</v>
      </c>
      <c r="M12" s="29">
        <f>'TR TE'!$M$12*'TR TE'!$M$48</f>
        <v>0</v>
      </c>
      <c r="N12" s="29">
        <f>'TR TE'!$N$12*'TR TE'!$N$48</f>
        <v>0</v>
      </c>
      <c r="O12" s="29">
        <f>'TR TE'!$O$12*'TR TE'!$O$48</f>
        <v>0</v>
      </c>
      <c r="P12" s="29">
        <f>'TR TE'!$P$12*'TR TE'!$P$48</f>
        <v>0</v>
      </c>
      <c r="Q12" s="29">
        <f>SUM($L$12:$P$12)</f>
        <v>0</v>
      </c>
      <c r="R12" s="29">
        <f>'TR TE'!$R$12*'TR TE'!$R$48</f>
        <v>128.42318625241219</v>
      </c>
      <c r="S12" s="29">
        <f>SUM($R$12:$R$12)</f>
        <v>128.42318625241219</v>
      </c>
      <c r="T12" s="29">
        <f>'TR TE'!$T$12*'TR TE'!$T$48</f>
        <v>0</v>
      </c>
      <c r="U12" s="29">
        <f>'TR TE'!$U$12*'TR TE'!$U$48</f>
        <v>0</v>
      </c>
      <c r="V12" s="29">
        <f>'TR TE'!$V$12*'TR TE'!$V$48</f>
        <v>0</v>
      </c>
      <c r="W12" s="29">
        <f>SUM($T$12:$V$12)</f>
        <v>0</v>
      </c>
      <c r="X12" s="29"/>
      <c r="Y12" s="29">
        <f>SUM($X$12:$X$12)</f>
        <v>0</v>
      </c>
      <c r="Z12" s="29">
        <f>'TR TE'!$Z$12*'TR TE'!$Z$48</f>
        <v>0</v>
      </c>
      <c r="AA12" s="29">
        <f>SUM($Z$12:$Z$12)</f>
        <v>0</v>
      </c>
      <c r="AB12" s="29">
        <f>SUMIF($L$4:$AA$4,"SUBTOTAL",$L$12:$AA$12)</f>
        <v>128.42318625241219</v>
      </c>
    </row>
    <row r="13" spans="1:28" ht="11.25" customHeight="1" x14ac:dyDescent="0.25">
      <c r="A13" s="105"/>
      <c r="B13" s="105"/>
      <c r="C13" s="105"/>
      <c r="D13" s="31" t="s">
        <v>31</v>
      </c>
      <c r="E13" s="31" t="s">
        <v>25</v>
      </c>
      <c r="F13" s="31" t="s">
        <v>25</v>
      </c>
      <c r="G13" s="32" t="s">
        <v>78</v>
      </c>
      <c r="H13" s="32" t="s">
        <v>72</v>
      </c>
      <c r="I13" s="32">
        <f>'MERCADO TE'!$U$10</f>
        <v>58.873999999999995</v>
      </c>
      <c r="J13" s="15"/>
      <c r="L13" s="29">
        <f>'TR TE'!$L$13*'TR TE'!$L$48</f>
        <v>0</v>
      </c>
      <c r="M13" s="29">
        <f>'TR TE'!$M$13*'TR TE'!$M$48</f>
        <v>0</v>
      </c>
      <c r="N13" s="29">
        <f>'TR TE'!$N$13*'TR TE'!$N$48</f>
        <v>0</v>
      </c>
      <c r="O13" s="29">
        <f>'TR TE'!$O$13*'TR TE'!$O$48</f>
        <v>0</v>
      </c>
      <c r="P13" s="29">
        <f>'TR TE'!$P$13*'TR TE'!$P$48</f>
        <v>0</v>
      </c>
      <c r="Q13" s="29">
        <f>SUM($L$13:$P$13)</f>
        <v>0</v>
      </c>
      <c r="R13" s="29">
        <f>'TR TE'!$R$13*'TR TE'!$R$48</f>
        <v>128.42318625241219</v>
      </c>
      <c r="S13" s="29">
        <f>SUM($R$13:$R$13)</f>
        <v>128.42318625241219</v>
      </c>
      <c r="T13" s="29">
        <f>'TR TE'!$T$13*'TR TE'!$T$48</f>
        <v>0</v>
      </c>
      <c r="U13" s="29">
        <f>'TR TE'!$U$13*'TR TE'!$U$48</f>
        <v>0</v>
      </c>
      <c r="V13" s="29">
        <f>'TR TE'!$V$13*'TR TE'!$V$48</f>
        <v>0</v>
      </c>
      <c r="W13" s="29">
        <f>SUM($T$13:$V$13)</f>
        <v>0</v>
      </c>
      <c r="X13" s="29"/>
      <c r="Y13" s="29">
        <f>SUM($X$13:$X$13)</f>
        <v>0</v>
      </c>
      <c r="Z13" s="29">
        <f>'TR TE'!$Z$13*'TR TE'!$Z$48</f>
        <v>0</v>
      </c>
      <c r="AA13" s="29">
        <f>SUM($Z$13:$Z$13)</f>
        <v>0</v>
      </c>
      <c r="AB13" s="29">
        <f>SUMIF($L$4:$AA$4,"SUBTOTAL",$L$13:$AA$13)</f>
        <v>128.42318625241219</v>
      </c>
    </row>
    <row r="14" spans="1:28" ht="11.25" customHeight="1" x14ac:dyDescent="0.25">
      <c r="A14" s="105"/>
      <c r="B14" s="105"/>
      <c r="C14" s="105"/>
      <c r="D14" s="31" t="s">
        <v>32</v>
      </c>
      <c r="E14" s="31" t="s">
        <v>25</v>
      </c>
      <c r="F14" s="31" t="s">
        <v>25</v>
      </c>
      <c r="G14" s="32" t="s">
        <v>78</v>
      </c>
      <c r="H14" s="32" t="s">
        <v>72</v>
      </c>
      <c r="I14" s="32">
        <f>'MERCADO TE'!$U$11</f>
        <v>22.426000000000002</v>
      </c>
      <c r="J14" s="15"/>
      <c r="L14" s="29">
        <f>'TR TE'!$L$14*'TR TE'!$L$48</f>
        <v>0</v>
      </c>
      <c r="M14" s="29">
        <f>'TR TE'!$M$14*'TR TE'!$M$48</f>
        <v>0</v>
      </c>
      <c r="N14" s="29">
        <f>'TR TE'!$N$14*'TR TE'!$N$48</f>
        <v>0</v>
      </c>
      <c r="O14" s="29">
        <f>'TR TE'!$O$14*'TR TE'!$O$48</f>
        <v>0</v>
      </c>
      <c r="P14" s="29">
        <f>'TR TE'!$P$14*'TR TE'!$P$48</f>
        <v>0</v>
      </c>
      <c r="Q14" s="29">
        <f>SUM($L$14:$P$14)</f>
        <v>0</v>
      </c>
      <c r="R14" s="29">
        <f>'TR TE'!$R$14*'TR TE'!$R$48</f>
        <v>128.42318625241219</v>
      </c>
      <c r="S14" s="29">
        <f>SUM($R$14:$R$14)</f>
        <v>128.42318625241219</v>
      </c>
      <c r="T14" s="29">
        <f>'TR TE'!$T$14*'TR TE'!$T$48</f>
        <v>0</v>
      </c>
      <c r="U14" s="29">
        <f>'TR TE'!$U$14*'TR TE'!$U$48</f>
        <v>0</v>
      </c>
      <c r="V14" s="29">
        <f>'TR TE'!$V$14*'TR TE'!$V$48</f>
        <v>0</v>
      </c>
      <c r="W14" s="29">
        <f>SUM($T$14:$V$14)</f>
        <v>0</v>
      </c>
      <c r="X14" s="29"/>
      <c r="Y14" s="29">
        <f>SUM($X$14:$X$14)</f>
        <v>0</v>
      </c>
      <c r="Z14" s="29">
        <f>'TR TE'!$Z$14*'TR TE'!$Z$48</f>
        <v>0</v>
      </c>
      <c r="AA14" s="29">
        <f>SUM($Z$14:$Z$14)</f>
        <v>0</v>
      </c>
      <c r="AB14" s="29">
        <f>SUMIF($L$4:$AA$4,"SUBTOTAL",$L$14:$AA$14)</f>
        <v>128.42318625241219</v>
      </c>
    </row>
    <row r="15" spans="1:28" ht="11.25" customHeight="1" x14ac:dyDescent="0.25">
      <c r="A15" s="105"/>
      <c r="B15" s="105" t="s">
        <v>86</v>
      </c>
      <c r="C15" s="105" t="s">
        <v>24</v>
      </c>
      <c r="D15" s="31" t="s">
        <v>24</v>
      </c>
      <c r="E15" s="31" t="s">
        <v>25</v>
      </c>
      <c r="F15" s="31" t="s">
        <v>25</v>
      </c>
      <c r="G15" s="32" t="s">
        <v>78</v>
      </c>
      <c r="H15" s="32" t="s">
        <v>72</v>
      </c>
      <c r="I15" s="32">
        <f>'MERCADO TE'!$U$12</f>
        <v>0</v>
      </c>
      <c r="J15" s="15"/>
      <c r="L15" s="29">
        <f>'TR TE'!$L$15*'TR TE'!$L$48</f>
        <v>0</v>
      </c>
      <c r="M15" s="29">
        <f>'TR TE'!$M$15*'TR TE'!$M$48</f>
        <v>0</v>
      </c>
      <c r="N15" s="29">
        <f>'TR TE'!$N$15*'TR TE'!$N$48</f>
        <v>0</v>
      </c>
      <c r="O15" s="29">
        <f>'TR TE'!$O$15*'TR TE'!$O$48</f>
        <v>0</v>
      </c>
      <c r="P15" s="29">
        <f>'TR TE'!$P$15*'TR TE'!$P$48</f>
        <v>0</v>
      </c>
      <c r="Q15" s="29">
        <f>SUM($L$15:$P$15)</f>
        <v>0</v>
      </c>
      <c r="R15" s="29">
        <f>'TR TE'!$R$15*'TR TE'!$R$48</f>
        <v>128.42318625241219</v>
      </c>
      <c r="S15" s="29">
        <f>SUM($R$15:$R$15)</f>
        <v>128.42318625241219</v>
      </c>
      <c r="T15" s="29">
        <f>'TR TE'!$T$15*'TR TE'!$T$48</f>
        <v>0</v>
      </c>
      <c r="U15" s="29">
        <f>'TR TE'!$U$15*'TR TE'!$U$48</f>
        <v>0</v>
      </c>
      <c r="V15" s="29">
        <f>'TR TE'!$V$15*'TR TE'!$V$48</f>
        <v>0</v>
      </c>
      <c r="W15" s="29">
        <f>SUM($T$15:$V$15)</f>
        <v>0</v>
      </c>
      <c r="X15" s="29"/>
      <c r="Y15" s="29">
        <f>SUM($X$15:$X$15)</f>
        <v>0</v>
      </c>
      <c r="Z15" s="29">
        <f>'TR TE'!$Z$15*'TR TE'!$Z$48</f>
        <v>0</v>
      </c>
      <c r="AA15" s="29">
        <f>SUM($Z$15:$Z$15)</f>
        <v>0</v>
      </c>
      <c r="AB15" s="29">
        <f>SUMIF($L$4:$AA$4,"SUBTOTAL",$L$15:$AA$15)</f>
        <v>128.42318625241219</v>
      </c>
    </row>
    <row r="16" spans="1:28" ht="11.25" customHeight="1" x14ac:dyDescent="0.25">
      <c r="A16" s="105"/>
      <c r="B16" s="105"/>
      <c r="C16" s="105"/>
      <c r="D16" s="31" t="s">
        <v>29</v>
      </c>
      <c r="E16" s="31" t="s">
        <v>25</v>
      </c>
      <c r="F16" s="31" t="s">
        <v>25</v>
      </c>
      <c r="G16" s="32" t="s">
        <v>78</v>
      </c>
      <c r="H16" s="32" t="s">
        <v>72</v>
      </c>
      <c r="I16" s="32">
        <f>'MERCADO TE'!$U$13</f>
        <v>0</v>
      </c>
      <c r="J16" s="15"/>
      <c r="L16" s="29">
        <f>'TR TE'!$L$16*'TR TE'!$L$48</f>
        <v>0</v>
      </c>
      <c r="M16" s="29">
        <f>'TR TE'!$M$16*'TR TE'!$M$48</f>
        <v>0</v>
      </c>
      <c r="N16" s="29">
        <f>'TR TE'!$N$16*'TR TE'!$N$48</f>
        <v>0</v>
      </c>
      <c r="O16" s="29">
        <f>'TR TE'!$O$16*'TR TE'!$O$48</f>
        <v>0</v>
      </c>
      <c r="P16" s="29">
        <f>'TR TE'!$P$16*'TR TE'!$P$48</f>
        <v>0</v>
      </c>
      <c r="Q16" s="29">
        <f>SUM($L$16:$P$16)</f>
        <v>0</v>
      </c>
      <c r="R16" s="29">
        <f>'TR TE'!$R$16*'TR TE'!$R$48</f>
        <v>128.42318625241219</v>
      </c>
      <c r="S16" s="29">
        <f>SUM($R$16:$R$16)</f>
        <v>128.42318625241219</v>
      </c>
      <c r="T16" s="29">
        <f>'TR TE'!$T$16*'TR TE'!$T$48</f>
        <v>0</v>
      </c>
      <c r="U16" s="29">
        <f>'TR TE'!$U$16*'TR TE'!$U$48</f>
        <v>0</v>
      </c>
      <c r="V16" s="29">
        <f>'TR TE'!$V$16*'TR TE'!$V$48</f>
        <v>0</v>
      </c>
      <c r="W16" s="29">
        <f>SUM($T$16:$V$16)</f>
        <v>0</v>
      </c>
      <c r="X16" s="29"/>
      <c r="Y16" s="29">
        <f>SUM($X$16:$X$16)</f>
        <v>0</v>
      </c>
      <c r="Z16" s="29">
        <f>'TR TE'!$Z$16*'TR TE'!$Z$48</f>
        <v>0</v>
      </c>
      <c r="AA16" s="29">
        <f>SUM($Z$16:$Z$16)</f>
        <v>0</v>
      </c>
      <c r="AB16" s="29">
        <f>SUMIF($L$4:$AA$4,"SUBTOTAL",$L$16:$AA$16)</f>
        <v>128.42318625241219</v>
      </c>
    </row>
    <row r="17" spans="1:28" ht="11.25" customHeight="1" x14ac:dyDescent="0.25">
      <c r="A17" s="105"/>
      <c r="B17" s="105"/>
      <c r="C17" s="105"/>
      <c r="D17" s="31" t="s">
        <v>30</v>
      </c>
      <c r="E17" s="31" t="s">
        <v>25</v>
      </c>
      <c r="F17" s="31" t="s">
        <v>25</v>
      </c>
      <c r="G17" s="32" t="s">
        <v>78</v>
      </c>
      <c r="H17" s="32" t="s">
        <v>72</v>
      </c>
      <c r="I17" s="32">
        <f>'MERCADO TE'!$U$14</f>
        <v>0</v>
      </c>
      <c r="J17" s="15"/>
      <c r="L17" s="29">
        <f>'TR TE'!$L$17*'TR TE'!$L$48</f>
        <v>0</v>
      </c>
      <c r="M17" s="29">
        <f>'TR TE'!$M$17*'TR TE'!$M$48</f>
        <v>0</v>
      </c>
      <c r="N17" s="29">
        <f>'TR TE'!$N$17*'TR TE'!$N$48</f>
        <v>0</v>
      </c>
      <c r="O17" s="29">
        <f>'TR TE'!$O$17*'TR TE'!$O$48</f>
        <v>0</v>
      </c>
      <c r="P17" s="29">
        <f>'TR TE'!$P$17*'TR TE'!$P$48</f>
        <v>0</v>
      </c>
      <c r="Q17" s="29">
        <f>SUM($L$17:$P$17)</f>
        <v>0</v>
      </c>
      <c r="R17" s="29">
        <f>'TR TE'!$R$17*'TR TE'!$R$48</f>
        <v>128.42318625241219</v>
      </c>
      <c r="S17" s="29">
        <f>SUM($R$17:$R$17)</f>
        <v>128.42318625241219</v>
      </c>
      <c r="T17" s="29">
        <f>'TR TE'!$T$17*'TR TE'!$T$48</f>
        <v>0</v>
      </c>
      <c r="U17" s="29">
        <f>'TR TE'!$U$17*'TR TE'!$U$48</f>
        <v>0</v>
      </c>
      <c r="V17" s="29">
        <f>'TR TE'!$V$17*'TR TE'!$V$48</f>
        <v>0</v>
      </c>
      <c r="W17" s="29">
        <f>SUM($T$17:$V$17)</f>
        <v>0</v>
      </c>
      <c r="X17" s="29"/>
      <c r="Y17" s="29">
        <f>SUM($X$17:$X$17)</f>
        <v>0</v>
      </c>
      <c r="Z17" s="29">
        <f>'TR TE'!$Z$17*'TR TE'!$Z$48</f>
        <v>0</v>
      </c>
      <c r="AA17" s="29">
        <f>SUM($Z$17:$Z$17)</f>
        <v>0</v>
      </c>
      <c r="AB17" s="29">
        <f>SUMIF($L$4:$AA$4,"SUBTOTAL",$L$17:$AA$17)</f>
        <v>128.42318625241219</v>
      </c>
    </row>
    <row r="18" spans="1:28" ht="11.25" customHeight="1" x14ac:dyDescent="0.25">
      <c r="A18" s="105"/>
      <c r="B18" s="105"/>
      <c r="C18" s="105"/>
      <c r="D18" s="31" t="s">
        <v>31</v>
      </c>
      <c r="E18" s="31" t="s">
        <v>25</v>
      </c>
      <c r="F18" s="31" t="s">
        <v>25</v>
      </c>
      <c r="G18" s="32" t="s">
        <v>78</v>
      </c>
      <c r="H18" s="32" t="s">
        <v>72</v>
      </c>
      <c r="I18" s="32">
        <f>'MERCADO TE'!$U$15</f>
        <v>0</v>
      </c>
      <c r="J18" s="15"/>
      <c r="L18" s="29">
        <f>'TR TE'!$L$18*'TR TE'!$L$48</f>
        <v>0</v>
      </c>
      <c r="M18" s="29">
        <f>'TR TE'!$M$18*'TR TE'!$M$48</f>
        <v>0</v>
      </c>
      <c r="N18" s="29">
        <f>'TR TE'!$N$18*'TR TE'!$N$48</f>
        <v>0</v>
      </c>
      <c r="O18" s="29">
        <f>'TR TE'!$O$18*'TR TE'!$O$48</f>
        <v>0</v>
      </c>
      <c r="P18" s="29">
        <f>'TR TE'!$P$18*'TR TE'!$P$48</f>
        <v>0</v>
      </c>
      <c r="Q18" s="29">
        <f>SUM($L$18:$P$18)</f>
        <v>0</v>
      </c>
      <c r="R18" s="29">
        <f>'TR TE'!$R$18*'TR TE'!$R$48</f>
        <v>128.42318625241219</v>
      </c>
      <c r="S18" s="29">
        <f>SUM($R$18:$R$18)</f>
        <v>128.42318625241219</v>
      </c>
      <c r="T18" s="29">
        <f>'TR TE'!$T$18*'TR TE'!$T$48</f>
        <v>0</v>
      </c>
      <c r="U18" s="29">
        <f>'TR TE'!$U$18*'TR TE'!$U$48</f>
        <v>0</v>
      </c>
      <c r="V18" s="29">
        <f>'TR TE'!$V$18*'TR TE'!$V$48</f>
        <v>0</v>
      </c>
      <c r="W18" s="29">
        <f>SUM($T$18:$V$18)</f>
        <v>0</v>
      </c>
      <c r="X18" s="29"/>
      <c r="Y18" s="29">
        <f>SUM($X$18:$X$18)</f>
        <v>0</v>
      </c>
      <c r="Z18" s="29">
        <f>'TR TE'!$Z$18*'TR TE'!$Z$48</f>
        <v>0</v>
      </c>
      <c r="AA18" s="29">
        <f>SUM($Z$18:$Z$18)</f>
        <v>0</v>
      </c>
      <c r="AB18" s="29">
        <f>SUMIF($L$4:$AA$4,"SUBTOTAL",$L$18:$AA$18)</f>
        <v>128.42318625241219</v>
      </c>
    </row>
    <row r="19" spans="1:28" ht="11.25" customHeight="1" x14ac:dyDescent="0.25">
      <c r="A19" s="105"/>
      <c r="B19" s="105"/>
      <c r="C19" s="105"/>
      <c r="D19" s="31" t="s">
        <v>32</v>
      </c>
      <c r="E19" s="31" t="s">
        <v>25</v>
      </c>
      <c r="F19" s="31" t="s">
        <v>25</v>
      </c>
      <c r="G19" s="32" t="s">
        <v>78</v>
      </c>
      <c r="H19" s="32" t="s">
        <v>72</v>
      </c>
      <c r="I19" s="32">
        <f>'MERCADO TE'!$U$16</f>
        <v>0</v>
      </c>
      <c r="J19" s="15"/>
      <c r="L19" s="29">
        <f>'TR TE'!$L$19*'TR TE'!$L$48</f>
        <v>0</v>
      </c>
      <c r="M19" s="29">
        <f>'TR TE'!$M$19*'TR TE'!$M$48</f>
        <v>0</v>
      </c>
      <c r="N19" s="29">
        <f>'TR TE'!$N$19*'TR TE'!$N$48</f>
        <v>0</v>
      </c>
      <c r="O19" s="29">
        <f>'TR TE'!$O$19*'TR TE'!$O$48</f>
        <v>0</v>
      </c>
      <c r="P19" s="29">
        <f>'TR TE'!$P$19*'TR TE'!$P$48</f>
        <v>0</v>
      </c>
      <c r="Q19" s="29">
        <f>SUM($L$19:$P$19)</f>
        <v>0</v>
      </c>
      <c r="R19" s="29">
        <f>'TR TE'!$R$19*'TR TE'!$R$48</f>
        <v>128.42318625241219</v>
      </c>
      <c r="S19" s="29">
        <f>SUM($R$19:$R$19)</f>
        <v>128.42318625241219</v>
      </c>
      <c r="T19" s="29">
        <f>'TR TE'!$T$19*'TR TE'!$T$48</f>
        <v>0</v>
      </c>
      <c r="U19" s="29">
        <f>'TR TE'!$U$19*'TR TE'!$U$48</f>
        <v>0</v>
      </c>
      <c r="V19" s="29">
        <f>'TR TE'!$V$19*'TR TE'!$V$48</f>
        <v>0</v>
      </c>
      <c r="W19" s="29">
        <f>SUM($T$19:$V$19)</f>
        <v>0</v>
      </c>
      <c r="X19" s="29"/>
      <c r="Y19" s="29">
        <f>SUM($X$19:$X$19)</f>
        <v>0</v>
      </c>
      <c r="Z19" s="29">
        <f>'TR TE'!$Z$19*'TR TE'!$Z$48</f>
        <v>0</v>
      </c>
      <c r="AA19" s="29">
        <f>SUM($Z$19:$Z$19)</f>
        <v>0</v>
      </c>
      <c r="AB19" s="29">
        <f>SUMIF($L$4:$AA$4,"SUBTOTAL",$L$19:$AA$19)</f>
        <v>128.42318625241219</v>
      </c>
    </row>
    <row r="20" spans="1:28" ht="11.25" customHeight="1" x14ac:dyDescent="0.25">
      <c r="A20" s="105" t="s">
        <v>40</v>
      </c>
      <c r="B20" s="105" t="s">
        <v>71</v>
      </c>
      <c r="C20" s="105" t="s">
        <v>41</v>
      </c>
      <c r="D20" s="105" t="s">
        <v>25</v>
      </c>
      <c r="E20" s="105" t="s">
        <v>25</v>
      </c>
      <c r="F20" s="105" t="s">
        <v>25</v>
      </c>
      <c r="G20" s="32" t="s">
        <v>73</v>
      </c>
      <c r="H20" s="32" t="s">
        <v>72</v>
      </c>
      <c r="I20" s="32">
        <f>'MERCADO TE'!$U$17</f>
        <v>0</v>
      </c>
      <c r="J20" s="15"/>
      <c r="L20" s="29">
        <f>'TR TE'!$L$20*'TR TE'!$L$48</f>
        <v>0</v>
      </c>
      <c r="M20" s="29">
        <f>'TR TE'!$M$20*'TR TE'!$M$48</f>
        <v>0</v>
      </c>
      <c r="N20" s="29">
        <f>'TR TE'!$N$20*'TR TE'!$N$48</f>
        <v>0</v>
      </c>
      <c r="O20" s="29">
        <f>'TR TE'!$O$20*'TR TE'!$O$48</f>
        <v>0</v>
      </c>
      <c r="P20" s="29">
        <f>'TR TE'!$P$20*'TR TE'!$P$48</f>
        <v>0</v>
      </c>
      <c r="Q20" s="29">
        <f>SUM($L$20:$P$20)</f>
        <v>0</v>
      </c>
      <c r="R20" s="29">
        <f>'TR TE'!$R$20*'TR TE'!$R$48</f>
        <v>128.42318625241219</v>
      </c>
      <c r="S20" s="29">
        <f>SUM($R$20:$R$20)</f>
        <v>128.42318625241219</v>
      </c>
      <c r="T20" s="29">
        <f>'TR TE'!$T$20*'TR TE'!$T$48</f>
        <v>0</v>
      </c>
      <c r="U20" s="29">
        <f>'TR TE'!$U$20*'TR TE'!$U$48</f>
        <v>0</v>
      </c>
      <c r="V20" s="29">
        <f>'TR TE'!$V$20*'TR TE'!$V$48</f>
        <v>0</v>
      </c>
      <c r="W20" s="29">
        <f>SUM($T$20:$V$20)</f>
        <v>0</v>
      </c>
      <c r="X20" s="29"/>
      <c r="Y20" s="29">
        <f>SUM($X$20:$X$20)</f>
        <v>0</v>
      </c>
      <c r="Z20" s="29">
        <f>'TR TE'!$Z$20*'TR TE'!$Z$48</f>
        <v>0</v>
      </c>
      <c r="AA20" s="29">
        <f>SUM($Z$20:$Z$20)</f>
        <v>0</v>
      </c>
      <c r="AB20" s="29">
        <f>SUMIF($L$4:$AA$4,"SUBTOTAL",$L$20:$AA$20)</f>
        <v>128.42318625241219</v>
      </c>
    </row>
    <row r="21" spans="1:28" ht="11.25" customHeight="1" x14ac:dyDescent="0.25">
      <c r="A21" s="105"/>
      <c r="B21" s="105"/>
      <c r="C21" s="105"/>
      <c r="D21" s="105"/>
      <c r="E21" s="105"/>
      <c r="F21" s="105"/>
      <c r="G21" s="32" t="s">
        <v>83</v>
      </c>
      <c r="H21" s="32" t="s">
        <v>72</v>
      </c>
      <c r="I21" s="32">
        <f>'MERCADO TE'!$U$18</f>
        <v>0</v>
      </c>
      <c r="J21" s="15"/>
      <c r="L21" s="29">
        <f>'TR TE'!$L$21*'TR TE'!$L$48</f>
        <v>0</v>
      </c>
      <c r="M21" s="29">
        <f>'TR TE'!$M$21*'TR TE'!$M$48</f>
        <v>0</v>
      </c>
      <c r="N21" s="29">
        <f>'TR TE'!$N$21*'TR TE'!$N$48</f>
        <v>0</v>
      </c>
      <c r="O21" s="29">
        <f>'TR TE'!$O$21*'TR TE'!$O$48</f>
        <v>0</v>
      </c>
      <c r="P21" s="29">
        <f>'TR TE'!$P$21*'TR TE'!$P$48</f>
        <v>0</v>
      </c>
      <c r="Q21" s="29">
        <f>SUM($L$21:$P$21)</f>
        <v>0</v>
      </c>
      <c r="R21" s="29">
        <f>'TR TE'!$R$21*'TR TE'!$R$48</f>
        <v>128.42318625241219</v>
      </c>
      <c r="S21" s="29">
        <f>SUM($R$21:$R$21)</f>
        <v>128.42318625241219</v>
      </c>
      <c r="T21" s="29">
        <f>'TR TE'!$T$21*'TR TE'!$T$48</f>
        <v>0</v>
      </c>
      <c r="U21" s="29">
        <f>'TR TE'!$U$21*'TR TE'!$U$48</f>
        <v>0</v>
      </c>
      <c r="V21" s="29">
        <f>'TR TE'!$V$21*'TR TE'!$V$48</f>
        <v>0</v>
      </c>
      <c r="W21" s="29">
        <f>SUM($T$21:$V$21)</f>
        <v>0</v>
      </c>
      <c r="X21" s="29"/>
      <c r="Y21" s="29">
        <f>SUM($X$21:$X$21)</f>
        <v>0</v>
      </c>
      <c r="Z21" s="29">
        <f>'TR TE'!$Z$21*'TR TE'!$Z$48</f>
        <v>0</v>
      </c>
      <c r="AA21" s="29">
        <f>SUM($Z$21:$Z$21)</f>
        <v>0</v>
      </c>
      <c r="AB21" s="29">
        <f>SUMIF($L$4:$AA$4,"SUBTOTAL",$L$21:$AA$21)</f>
        <v>128.42318625241219</v>
      </c>
    </row>
    <row r="22" spans="1:28" ht="11.25" customHeight="1" x14ac:dyDescent="0.25">
      <c r="A22" s="105"/>
      <c r="B22" s="105"/>
      <c r="C22" s="105"/>
      <c r="D22" s="105"/>
      <c r="E22" s="105"/>
      <c r="F22" s="105"/>
      <c r="G22" s="32" t="s">
        <v>74</v>
      </c>
      <c r="H22" s="32" t="s">
        <v>72</v>
      </c>
      <c r="I22" s="32">
        <f>'MERCADO TE'!$U$19</f>
        <v>0</v>
      </c>
      <c r="J22" s="15"/>
      <c r="L22" s="29">
        <f>'TR TE'!$L$22*'TR TE'!$L$48</f>
        <v>0</v>
      </c>
      <c r="M22" s="29">
        <f>'TR TE'!$M$22*'TR TE'!$M$48</f>
        <v>0</v>
      </c>
      <c r="N22" s="29">
        <f>'TR TE'!$N$22*'TR TE'!$N$48</f>
        <v>0</v>
      </c>
      <c r="O22" s="29">
        <f>'TR TE'!$O$22*'TR TE'!$O$48</f>
        <v>0</v>
      </c>
      <c r="P22" s="29">
        <f>'TR TE'!$P$22*'TR TE'!$P$48</f>
        <v>0</v>
      </c>
      <c r="Q22" s="29">
        <f>SUM($L$22:$P$22)</f>
        <v>0</v>
      </c>
      <c r="R22" s="29">
        <f>'TR TE'!$R$22*'TR TE'!$R$48</f>
        <v>128.42318625241219</v>
      </c>
      <c r="S22" s="29">
        <f>SUM($R$22:$R$22)</f>
        <v>128.42318625241219</v>
      </c>
      <c r="T22" s="29">
        <f>'TR TE'!$T$22*'TR TE'!$T$48</f>
        <v>0</v>
      </c>
      <c r="U22" s="29">
        <f>'TR TE'!$U$22*'TR TE'!$U$48</f>
        <v>0</v>
      </c>
      <c r="V22" s="29">
        <f>'TR TE'!$V$22*'TR TE'!$V$48</f>
        <v>0</v>
      </c>
      <c r="W22" s="29">
        <f>SUM($T$22:$V$22)</f>
        <v>0</v>
      </c>
      <c r="X22" s="29"/>
      <c r="Y22" s="29">
        <f>SUM($X$22:$X$22)</f>
        <v>0</v>
      </c>
      <c r="Z22" s="29">
        <f>'TR TE'!$Z$22*'TR TE'!$Z$48</f>
        <v>0</v>
      </c>
      <c r="AA22" s="29">
        <f>SUM($Z$22:$Z$22)</f>
        <v>0</v>
      </c>
      <c r="AB22" s="29">
        <f>SUMIF($L$4:$AA$4,"SUBTOTAL",$L$22:$AA$22)</f>
        <v>128.42318625241219</v>
      </c>
    </row>
    <row r="23" spans="1:28" ht="11.25" customHeight="1" x14ac:dyDescent="0.25">
      <c r="A23" s="105"/>
      <c r="B23" s="31" t="s">
        <v>84</v>
      </c>
      <c r="C23" s="31" t="s">
        <v>41</v>
      </c>
      <c r="D23" s="31" t="s">
        <v>25</v>
      </c>
      <c r="E23" s="31" t="s">
        <v>25</v>
      </c>
      <c r="F23" s="31" t="s">
        <v>25</v>
      </c>
      <c r="G23" s="32" t="s">
        <v>78</v>
      </c>
      <c r="H23" s="32" t="s">
        <v>72</v>
      </c>
      <c r="I23" s="32">
        <f>'MERCADO TE'!$U$20</f>
        <v>40057.667999999998</v>
      </c>
      <c r="J23" s="15"/>
      <c r="L23" s="29">
        <f>'TR TE'!$L$23*'TR TE'!$L$48</f>
        <v>0</v>
      </c>
      <c r="M23" s="29">
        <f>'TR TE'!$M$23*'TR TE'!$M$48</f>
        <v>0</v>
      </c>
      <c r="N23" s="29">
        <f>'TR TE'!$N$23*'TR TE'!$N$48</f>
        <v>0</v>
      </c>
      <c r="O23" s="29">
        <f>'TR TE'!$O$23*'TR TE'!$O$48</f>
        <v>0</v>
      </c>
      <c r="P23" s="29">
        <f>'TR TE'!$P$23*'TR TE'!$P$48</f>
        <v>0</v>
      </c>
      <c r="Q23" s="29">
        <f>SUM($L$23:$P$23)</f>
        <v>0</v>
      </c>
      <c r="R23" s="29">
        <f>'TR TE'!$R$23*'TR TE'!$R$48</f>
        <v>128.42318625241219</v>
      </c>
      <c r="S23" s="29">
        <f>SUM($R$23:$R$23)</f>
        <v>128.42318625241219</v>
      </c>
      <c r="T23" s="29">
        <f>'TR TE'!$T$23*'TR TE'!$T$48</f>
        <v>0</v>
      </c>
      <c r="U23" s="29">
        <f>'TR TE'!$U$23*'TR TE'!$U$48</f>
        <v>0</v>
      </c>
      <c r="V23" s="29">
        <f>'TR TE'!$V$23*'TR TE'!$V$48</f>
        <v>0</v>
      </c>
      <c r="W23" s="29">
        <f>SUM($T$23:$V$23)</f>
        <v>0</v>
      </c>
      <c r="X23" s="29"/>
      <c r="Y23" s="29">
        <f>SUM($X$23:$X$23)</f>
        <v>0</v>
      </c>
      <c r="Z23" s="29">
        <f>'TR TE'!$Z$23*'TR TE'!$Z$48</f>
        <v>0</v>
      </c>
      <c r="AA23" s="29">
        <f>SUM($Z$23:$Z$23)</f>
        <v>0</v>
      </c>
      <c r="AB23" s="29">
        <f>SUMIF($L$4:$AA$4,"SUBTOTAL",$L$23:$AA$23)</f>
        <v>128.42318625241219</v>
      </c>
    </row>
    <row r="24" spans="1:28" ht="11.25" customHeight="1" x14ac:dyDescent="0.25">
      <c r="A24" s="105"/>
      <c r="B24" s="105" t="s">
        <v>71</v>
      </c>
      <c r="C24" s="105" t="s">
        <v>41</v>
      </c>
      <c r="D24" s="105" t="s">
        <v>88</v>
      </c>
      <c r="E24" s="105" t="s">
        <v>25</v>
      </c>
      <c r="F24" s="105" t="s">
        <v>25</v>
      </c>
      <c r="G24" s="32" t="s">
        <v>73</v>
      </c>
      <c r="H24" s="32" t="s">
        <v>72</v>
      </c>
      <c r="I24" s="32">
        <f>'MERCADO TE'!$U$21</f>
        <v>0</v>
      </c>
      <c r="J24" s="15"/>
      <c r="L24" s="29">
        <f>'TR TE'!$L$24*'TR TE'!$L$48</f>
        <v>0</v>
      </c>
      <c r="M24" s="29">
        <f>'TR TE'!$M$24*'TR TE'!$M$48</f>
        <v>0</v>
      </c>
      <c r="N24" s="29">
        <f>'TR TE'!$N$24*'TR TE'!$N$48</f>
        <v>0</v>
      </c>
      <c r="O24" s="29">
        <f>'TR TE'!$O$24*'TR TE'!$O$48</f>
        <v>0</v>
      </c>
      <c r="P24" s="29">
        <f>'TR TE'!$P$24*'TR TE'!$P$48</f>
        <v>0</v>
      </c>
      <c r="Q24" s="29">
        <f>SUM($L$24:$P$24)</f>
        <v>0</v>
      </c>
      <c r="R24" s="29">
        <f>'TR TE'!$R$24*'TR TE'!$R$48</f>
        <v>128.42318625241219</v>
      </c>
      <c r="S24" s="29">
        <f>SUM($R$24:$R$24)</f>
        <v>128.42318625241219</v>
      </c>
      <c r="T24" s="29">
        <f>'TR TE'!$T$24*'TR TE'!$T$48</f>
        <v>0</v>
      </c>
      <c r="U24" s="29">
        <f>'TR TE'!$U$24*'TR TE'!$U$48</f>
        <v>0</v>
      </c>
      <c r="V24" s="29">
        <f>'TR TE'!$V$24*'TR TE'!$V$48</f>
        <v>0</v>
      </c>
      <c r="W24" s="29">
        <f>SUM($T$24:$V$24)</f>
        <v>0</v>
      </c>
      <c r="X24" s="29"/>
      <c r="Y24" s="29">
        <f>SUM($X$24:$X$24)</f>
        <v>0</v>
      </c>
      <c r="Z24" s="29">
        <f>'TR TE'!$Z$24*'TR TE'!$Z$48</f>
        <v>0</v>
      </c>
      <c r="AA24" s="29">
        <f>SUM($Z$24:$Z$24)</f>
        <v>0</v>
      </c>
      <c r="AB24" s="29">
        <f>SUMIF($L$4:$AA$4,"SUBTOTAL",$L$24:$AA$24)</f>
        <v>128.42318625241219</v>
      </c>
    </row>
    <row r="25" spans="1:28" ht="11.25" customHeight="1" x14ac:dyDescent="0.25">
      <c r="A25" s="105"/>
      <c r="B25" s="105"/>
      <c r="C25" s="105"/>
      <c r="D25" s="105"/>
      <c r="E25" s="105"/>
      <c r="F25" s="105"/>
      <c r="G25" s="32" t="s">
        <v>83</v>
      </c>
      <c r="H25" s="32" t="s">
        <v>72</v>
      </c>
      <c r="I25" s="32">
        <f>'MERCADO TE'!$U$22</f>
        <v>0</v>
      </c>
      <c r="J25" s="15"/>
      <c r="L25" s="29">
        <f>'TR TE'!$L$25*'TR TE'!$L$48</f>
        <v>0</v>
      </c>
      <c r="M25" s="29">
        <f>'TR TE'!$M$25*'TR TE'!$M$48</f>
        <v>0</v>
      </c>
      <c r="N25" s="29">
        <f>'TR TE'!$N$25*'TR TE'!$N$48</f>
        <v>0</v>
      </c>
      <c r="O25" s="29">
        <f>'TR TE'!$O$25*'TR TE'!$O$48</f>
        <v>0</v>
      </c>
      <c r="P25" s="29">
        <f>'TR TE'!$P$25*'TR TE'!$P$48</f>
        <v>0</v>
      </c>
      <c r="Q25" s="29">
        <f>SUM($L$25:$P$25)</f>
        <v>0</v>
      </c>
      <c r="R25" s="29">
        <f>'TR TE'!$R$25*'TR TE'!$R$48</f>
        <v>128.42318625241219</v>
      </c>
      <c r="S25" s="29">
        <f>SUM($R$25:$R$25)</f>
        <v>128.42318625241219</v>
      </c>
      <c r="T25" s="29">
        <f>'TR TE'!$T$25*'TR TE'!$T$48</f>
        <v>0</v>
      </c>
      <c r="U25" s="29">
        <f>'TR TE'!$U$25*'TR TE'!$U$48</f>
        <v>0</v>
      </c>
      <c r="V25" s="29">
        <f>'TR TE'!$V$25*'TR TE'!$V$48</f>
        <v>0</v>
      </c>
      <c r="W25" s="29">
        <f>SUM($T$25:$V$25)</f>
        <v>0</v>
      </c>
      <c r="X25" s="29"/>
      <c r="Y25" s="29">
        <f>SUM($X$25:$X$25)</f>
        <v>0</v>
      </c>
      <c r="Z25" s="29">
        <f>'TR TE'!$Z$25*'TR TE'!$Z$48</f>
        <v>0</v>
      </c>
      <c r="AA25" s="29">
        <f>SUM($Z$25:$Z$25)</f>
        <v>0</v>
      </c>
      <c r="AB25" s="29">
        <f>SUMIF($L$4:$AA$4,"SUBTOTAL",$L$25:$AA$25)</f>
        <v>128.42318625241219</v>
      </c>
    </row>
    <row r="26" spans="1:28" ht="11.25" customHeight="1" x14ac:dyDescent="0.25">
      <c r="A26" s="105"/>
      <c r="B26" s="105"/>
      <c r="C26" s="105"/>
      <c r="D26" s="105"/>
      <c r="E26" s="105"/>
      <c r="F26" s="105"/>
      <c r="G26" s="32" t="s">
        <v>74</v>
      </c>
      <c r="H26" s="32" t="s">
        <v>72</v>
      </c>
      <c r="I26" s="32">
        <f>'MERCADO TE'!$U$23</f>
        <v>0</v>
      </c>
      <c r="J26" s="15"/>
      <c r="L26" s="29">
        <f>'TR TE'!$L$26*'TR TE'!$L$48</f>
        <v>0</v>
      </c>
      <c r="M26" s="29">
        <f>'TR TE'!$M$26*'TR TE'!$M$48</f>
        <v>0</v>
      </c>
      <c r="N26" s="29">
        <f>'TR TE'!$N$26*'TR TE'!$N$48</f>
        <v>0</v>
      </c>
      <c r="O26" s="29">
        <f>'TR TE'!$O$26*'TR TE'!$O$48</f>
        <v>0</v>
      </c>
      <c r="P26" s="29">
        <f>'TR TE'!$P$26*'TR TE'!$P$48</f>
        <v>0</v>
      </c>
      <c r="Q26" s="29">
        <f>SUM($L$26:$P$26)</f>
        <v>0</v>
      </c>
      <c r="R26" s="29">
        <f>'TR TE'!$R$26*'TR TE'!$R$48</f>
        <v>128.42318625241219</v>
      </c>
      <c r="S26" s="29">
        <f>SUM($R$26:$R$26)</f>
        <v>128.42318625241219</v>
      </c>
      <c r="T26" s="29">
        <f>'TR TE'!$T$26*'TR TE'!$T$48</f>
        <v>0</v>
      </c>
      <c r="U26" s="29">
        <f>'TR TE'!$U$26*'TR TE'!$U$48</f>
        <v>0</v>
      </c>
      <c r="V26" s="29">
        <f>'TR TE'!$V$26*'TR TE'!$V$48</f>
        <v>0</v>
      </c>
      <c r="W26" s="29">
        <f>SUM($T$26:$V$26)</f>
        <v>0</v>
      </c>
      <c r="X26" s="29"/>
      <c r="Y26" s="29">
        <f>SUM($X$26:$X$26)</f>
        <v>0</v>
      </c>
      <c r="Z26" s="29">
        <f>'TR TE'!$Z$26*'TR TE'!$Z$48</f>
        <v>0</v>
      </c>
      <c r="AA26" s="29">
        <f>SUM($Z$26:$Z$26)</f>
        <v>0</v>
      </c>
      <c r="AB26" s="29">
        <f>SUMIF($L$4:$AA$4,"SUBTOTAL",$L$26:$AA$26)</f>
        <v>128.42318625241219</v>
      </c>
    </row>
    <row r="27" spans="1:28" ht="11.25" customHeight="1" x14ac:dyDescent="0.25">
      <c r="A27" s="105"/>
      <c r="B27" s="31" t="s">
        <v>84</v>
      </c>
      <c r="C27" s="31" t="s">
        <v>41</v>
      </c>
      <c r="D27" s="31" t="s">
        <v>88</v>
      </c>
      <c r="E27" s="31" t="s">
        <v>25</v>
      </c>
      <c r="F27" s="31" t="s">
        <v>25</v>
      </c>
      <c r="G27" s="32" t="s">
        <v>78</v>
      </c>
      <c r="H27" s="32" t="s">
        <v>72</v>
      </c>
      <c r="I27" s="32">
        <f>'MERCADO TE'!$U$24</f>
        <v>0</v>
      </c>
      <c r="J27" s="15"/>
      <c r="L27" s="29">
        <f>'TR TE'!$L$27*'TR TE'!$L$48</f>
        <v>0</v>
      </c>
      <c r="M27" s="29">
        <f>'TR TE'!$M$27*'TR TE'!$M$48</f>
        <v>0</v>
      </c>
      <c r="N27" s="29">
        <f>'TR TE'!$N$27*'TR TE'!$N$48</f>
        <v>0</v>
      </c>
      <c r="O27" s="29">
        <f>'TR TE'!$O$27*'TR TE'!$O$48</f>
        <v>0</v>
      </c>
      <c r="P27" s="29">
        <f>'TR TE'!$P$27*'TR TE'!$P$48</f>
        <v>0</v>
      </c>
      <c r="Q27" s="29">
        <f>SUM($L$27:$P$27)</f>
        <v>0</v>
      </c>
      <c r="R27" s="29">
        <f>'TR TE'!$R$27*'TR TE'!$R$48</f>
        <v>128.42318625241219</v>
      </c>
      <c r="S27" s="29">
        <f>SUM($R$27:$R$27)</f>
        <v>128.42318625241219</v>
      </c>
      <c r="T27" s="29">
        <f>'TR TE'!$T$27*'TR TE'!$T$48</f>
        <v>0</v>
      </c>
      <c r="U27" s="29">
        <f>'TR TE'!$U$27*'TR TE'!$U$48</f>
        <v>0</v>
      </c>
      <c r="V27" s="29">
        <f>'TR TE'!$V$27*'TR TE'!$V$48</f>
        <v>0</v>
      </c>
      <c r="W27" s="29">
        <f>SUM($T$27:$V$27)</f>
        <v>0</v>
      </c>
      <c r="X27" s="29"/>
      <c r="Y27" s="29">
        <f>SUM($X$27:$X$27)</f>
        <v>0</v>
      </c>
      <c r="Z27" s="29">
        <f>'TR TE'!$Z$27*'TR TE'!$Z$48</f>
        <v>0</v>
      </c>
      <c r="AA27" s="29">
        <f>SUM($Z$27:$Z$27)</f>
        <v>0</v>
      </c>
      <c r="AB27" s="29">
        <f>SUMIF($L$4:$AA$4,"SUBTOTAL",$L$27:$AA$27)</f>
        <v>128.42318625241219</v>
      </c>
    </row>
    <row r="28" spans="1:28" ht="11.25" customHeight="1" x14ac:dyDescent="0.25">
      <c r="A28" s="105"/>
      <c r="B28" s="105" t="s">
        <v>71</v>
      </c>
      <c r="C28" s="105" t="s">
        <v>41</v>
      </c>
      <c r="D28" s="105" t="s">
        <v>89</v>
      </c>
      <c r="E28" s="105" t="s">
        <v>25</v>
      </c>
      <c r="F28" s="105" t="s">
        <v>25</v>
      </c>
      <c r="G28" s="32" t="s">
        <v>73</v>
      </c>
      <c r="H28" s="32" t="s">
        <v>72</v>
      </c>
      <c r="I28" s="32">
        <f>'MERCADO TE'!$U$25</f>
        <v>0</v>
      </c>
      <c r="J28" s="15"/>
      <c r="L28" s="29">
        <f>'TR TE'!$L$28*'TR TE'!$L$48</f>
        <v>0</v>
      </c>
      <c r="M28" s="29">
        <f>'TR TE'!$M$28*'TR TE'!$M$48</f>
        <v>0</v>
      </c>
      <c r="N28" s="29">
        <f>'TR TE'!$N$28*'TR TE'!$N$48</f>
        <v>0</v>
      </c>
      <c r="O28" s="29">
        <f>'TR TE'!$O$28*'TR TE'!$O$48</f>
        <v>0</v>
      </c>
      <c r="P28" s="29">
        <f>'TR TE'!$P$28*'TR TE'!$P$48</f>
        <v>0</v>
      </c>
      <c r="Q28" s="29">
        <f>SUM($L$28:$P$28)</f>
        <v>0</v>
      </c>
      <c r="R28" s="29">
        <f>'TR TE'!$R$28*'TR TE'!$R$48</f>
        <v>128.42318625241219</v>
      </c>
      <c r="S28" s="29">
        <f>SUM($R$28:$R$28)</f>
        <v>128.42318625241219</v>
      </c>
      <c r="T28" s="29">
        <f>'TR TE'!$T$28*'TR TE'!$T$48</f>
        <v>0</v>
      </c>
      <c r="U28" s="29">
        <f>'TR TE'!$U$28*'TR TE'!$U$48</f>
        <v>0</v>
      </c>
      <c r="V28" s="29">
        <f>'TR TE'!$V$28*'TR TE'!$V$48</f>
        <v>0</v>
      </c>
      <c r="W28" s="29">
        <f>SUM($T$28:$V$28)</f>
        <v>0</v>
      </c>
      <c r="X28" s="29"/>
      <c r="Y28" s="29">
        <f>SUM($X$28:$X$28)</f>
        <v>0</v>
      </c>
      <c r="Z28" s="29">
        <f>'TR TE'!$Z$28*'TR TE'!$Z$48</f>
        <v>0</v>
      </c>
      <c r="AA28" s="29">
        <f>SUM($Z$28:$Z$28)</f>
        <v>0</v>
      </c>
      <c r="AB28" s="29">
        <f>SUMIF($L$4:$AA$4,"SUBTOTAL",$L$28:$AA$28)</f>
        <v>128.42318625241219</v>
      </c>
    </row>
    <row r="29" spans="1:28" ht="11.25" customHeight="1" x14ac:dyDescent="0.25">
      <c r="A29" s="105"/>
      <c r="B29" s="105"/>
      <c r="C29" s="105"/>
      <c r="D29" s="105"/>
      <c r="E29" s="105"/>
      <c r="F29" s="105"/>
      <c r="G29" s="32" t="s">
        <v>83</v>
      </c>
      <c r="H29" s="32" t="s">
        <v>72</v>
      </c>
      <c r="I29" s="32">
        <f>'MERCADO TE'!$U$26</f>
        <v>0</v>
      </c>
      <c r="J29" s="15"/>
      <c r="L29" s="29">
        <f>'TR TE'!$L$29*'TR TE'!$L$48</f>
        <v>0</v>
      </c>
      <c r="M29" s="29">
        <f>'TR TE'!$M$29*'TR TE'!$M$48</f>
        <v>0</v>
      </c>
      <c r="N29" s="29">
        <f>'TR TE'!$N$29*'TR TE'!$N$48</f>
        <v>0</v>
      </c>
      <c r="O29" s="29">
        <f>'TR TE'!$O$29*'TR TE'!$O$48</f>
        <v>0</v>
      </c>
      <c r="P29" s="29">
        <f>'TR TE'!$P$29*'TR TE'!$P$48</f>
        <v>0</v>
      </c>
      <c r="Q29" s="29">
        <f>SUM($L$29:$P$29)</f>
        <v>0</v>
      </c>
      <c r="R29" s="29">
        <f>'TR TE'!$R$29*'TR TE'!$R$48</f>
        <v>128.42318625241219</v>
      </c>
      <c r="S29" s="29">
        <f>SUM($R$29:$R$29)</f>
        <v>128.42318625241219</v>
      </c>
      <c r="T29" s="29">
        <f>'TR TE'!$T$29*'TR TE'!$T$48</f>
        <v>0</v>
      </c>
      <c r="U29" s="29">
        <f>'TR TE'!$U$29*'TR TE'!$U$48</f>
        <v>0</v>
      </c>
      <c r="V29" s="29">
        <f>'TR TE'!$V$29*'TR TE'!$V$48</f>
        <v>0</v>
      </c>
      <c r="W29" s="29">
        <f>SUM($T$29:$V$29)</f>
        <v>0</v>
      </c>
      <c r="X29" s="29"/>
      <c r="Y29" s="29">
        <f>SUM($X$29:$X$29)</f>
        <v>0</v>
      </c>
      <c r="Z29" s="29">
        <f>'TR TE'!$Z$29*'TR TE'!$Z$48</f>
        <v>0</v>
      </c>
      <c r="AA29" s="29">
        <f>SUM($Z$29:$Z$29)</f>
        <v>0</v>
      </c>
      <c r="AB29" s="29">
        <f>SUMIF($L$4:$AA$4,"SUBTOTAL",$L$29:$AA$29)</f>
        <v>128.42318625241219</v>
      </c>
    </row>
    <row r="30" spans="1:28" ht="11.25" customHeight="1" x14ac:dyDescent="0.25">
      <c r="A30" s="105"/>
      <c r="B30" s="105"/>
      <c r="C30" s="105"/>
      <c r="D30" s="105"/>
      <c r="E30" s="105"/>
      <c r="F30" s="105"/>
      <c r="G30" s="32" t="s">
        <v>74</v>
      </c>
      <c r="H30" s="32" t="s">
        <v>72</v>
      </c>
      <c r="I30" s="32">
        <f>'MERCADO TE'!$U$27</f>
        <v>0</v>
      </c>
      <c r="J30" s="15"/>
      <c r="L30" s="29">
        <f>'TR TE'!$L$30*'TR TE'!$L$48</f>
        <v>0</v>
      </c>
      <c r="M30" s="29">
        <f>'TR TE'!$M$30*'TR TE'!$M$48</f>
        <v>0</v>
      </c>
      <c r="N30" s="29">
        <f>'TR TE'!$N$30*'TR TE'!$N$48</f>
        <v>0</v>
      </c>
      <c r="O30" s="29">
        <f>'TR TE'!$O$30*'TR TE'!$O$48</f>
        <v>0</v>
      </c>
      <c r="P30" s="29">
        <f>'TR TE'!$P$30*'TR TE'!$P$48</f>
        <v>0</v>
      </c>
      <c r="Q30" s="29">
        <f>SUM($L$30:$P$30)</f>
        <v>0</v>
      </c>
      <c r="R30" s="29">
        <f>'TR TE'!$R$30*'TR TE'!$R$48</f>
        <v>128.42318625241219</v>
      </c>
      <c r="S30" s="29">
        <f>SUM($R$30:$R$30)</f>
        <v>128.42318625241219</v>
      </c>
      <c r="T30" s="29">
        <f>'TR TE'!$T$30*'TR TE'!$T$48</f>
        <v>0</v>
      </c>
      <c r="U30" s="29">
        <f>'TR TE'!$U$30*'TR TE'!$U$48</f>
        <v>0</v>
      </c>
      <c r="V30" s="29">
        <f>'TR TE'!$V$30*'TR TE'!$V$48</f>
        <v>0</v>
      </c>
      <c r="W30" s="29">
        <f>SUM($T$30:$V$30)</f>
        <v>0</v>
      </c>
      <c r="X30" s="29"/>
      <c r="Y30" s="29">
        <f>SUM($X$30:$X$30)</f>
        <v>0</v>
      </c>
      <c r="Z30" s="29">
        <f>'TR TE'!$Z$30*'TR TE'!$Z$48</f>
        <v>0</v>
      </c>
      <c r="AA30" s="29">
        <f>SUM($Z$30:$Z$30)</f>
        <v>0</v>
      </c>
      <c r="AB30" s="29">
        <f>SUMIF($L$4:$AA$4,"SUBTOTAL",$L$30:$AA$30)</f>
        <v>128.42318625241219</v>
      </c>
    </row>
    <row r="31" spans="1:28" ht="11.25" customHeight="1" x14ac:dyDescent="0.25">
      <c r="A31" s="105"/>
      <c r="B31" s="31" t="s">
        <v>84</v>
      </c>
      <c r="C31" s="31" t="s">
        <v>41</v>
      </c>
      <c r="D31" s="31" t="s">
        <v>89</v>
      </c>
      <c r="E31" s="31" t="s">
        <v>25</v>
      </c>
      <c r="F31" s="31" t="s">
        <v>25</v>
      </c>
      <c r="G31" s="32" t="s">
        <v>78</v>
      </c>
      <c r="H31" s="32" t="s">
        <v>72</v>
      </c>
      <c r="I31" s="32">
        <f>'MERCADO TE'!$U$28</f>
        <v>0</v>
      </c>
      <c r="J31" s="15"/>
      <c r="L31" s="29">
        <f>'TR TE'!$L$31*'TR TE'!$L$48</f>
        <v>0</v>
      </c>
      <c r="M31" s="29">
        <f>'TR TE'!$M$31*'TR TE'!$M$48</f>
        <v>0</v>
      </c>
      <c r="N31" s="29">
        <f>'TR TE'!$N$31*'TR TE'!$N$48</f>
        <v>0</v>
      </c>
      <c r="O31" s="29">
        <f>'TR TE'!$O$31*'TR TE'!$O$48</f>
        <v>0</v>
      </c>
      <c r="P31" s="29">
        <f>'TR TE'!$P$31*'TR TE'!$P$48</f>
        <v>0</v>
      </c>
      <c r="Q31" s="29">
        <f>SUM($L$31:$P$31)</f>
        <v>0</v>
      </c>
      <c r="R31" s="29">
        <f>'TR TE'!$R$31*'TR TE'!$R$48</f>
        <v>128.42318625241219</v>
      </c>
      <c r="S31" s="29">
        <f>SUM($R$31:$R$31)</f>
        <v>128.42318625241219</v>
      </c>
      <c r="T31" s="29">
        <f>'TR TE'!$T$31*'TR TE'!$T$48</f>
        <v>0</v>
      </c>
      <c r="U31" s="29">
        <f>'TR TE'!$U$31*'TR TE'!$U$48</f>
        <v>0</v>
      </c>
      <c r="V31" s="29">
        <f>'TR TE'!$V$31*'TR TE'!$V$48</f>
        <v>0</v>
      </c>
      <c r="W31" s="29">
        <f>SUM($T$31:$V$31)</f>
        <v>0</v>
      </c>
      <c r="X31" s="29"/>
      <c r="Y31" s="29">
        <f>SUM($X$31:$X$31)</f>
        <v>0</v>
      </c>
      <c r="Z31" s="29">
        <f>'TR TE'!$Z$31*'TR TE'!$Z$48</f>
        <v>0</v>
      </c>
      <c r="AA31" s="29">
        <f>SUM($Z$31:$Z$31)</f>
        <v>0</v>
      </c>
      <c r="AB31" s="29">
        <f>SUMIF($L$4:$AA$4,"SUBTOTAL",$L$31:$AA$31)</f>
        <v>128.42318625241219</v>
      </c>
    </row>
    <row r="32" spans="1:28" ht="11.25" customHeight="1" x14ac:dyDescent="0.25">
      <c r="A32" s="105"/>
      <c r="B32" s="105" t="s">
        <v>86</v>
      </c>
      <c r="C32" s="105" t="s">
        <v>41</v>
      </c>
      <c r="D32" s="31" t="s">
        <v>25</v>
      </c>
      <c r="E32" s="31" t="s">
        <v>25</v>
      </c>
      <c r="F32" s="31" t="s">
        <v>25</v>
      </c>
      <c r="G32" s="32" t="s">
        <v>78</v>
      </c>
      <c r="H32" s="32" t="s">
        <v>72</v>
      </c>
      <c r="I32" s="32">
        <f>'MERCADO TE'!$U$29</f>
        <v>0</v>
      </c>
      <c r="J32" s="15"/>
      <c r="L32" s="29">
        <f>'TR TE'!$L$32*'TR TE'!$L$48</f>
        <v>0</v>
      </c>
      <c r="M32" s="29">
        <f>'TR TE'!$M$32*'TR TE'!$M$48</f>
        <v>0</v>
      </c>
      <c r="N32" s="29">
        <f>'TR TE'!$N$32*'TR TE'!$N$48</f>
        <v>0</v>
      </c>
      <c r="O32" s="29">
        <f>'TR TE'!$O$32*'TR TE'!$O$48</f>
        <v>0</v>
      </c>
      <c r="P32" s="29">
        <f>'TR TE'!$P$32*'TR TE'!$P$48</f>
        <v>0</v>
      </c>
      <c r="Q32" s="29">
        <f>SUM($L$32:$P$32)</f>
        <v>0</v>
      </c>
      <c r="R32" s="29">
        <f>'TR TE'!$R$32*'TR TE'!$R$48</f>
        <v>128.42318625241219</v>
      </c>
      <c r="S32" s="29">
        <f>SUM($R$32:$R$32)</f>
        <v>128.42318625241219</v>
      </c>
      <c r="T32" s="29">
        <f>'TR TE'!$T$32*'TR TE'!$T$48</f>
        <v>0</v>
      </c>
      <c r="U32" s="29">
        <f>'TR TE'!$U$32*'TR TE'!$U$48</f>
        <v>0</v>
      </c>
      <c r="V32" s="29">
        <f>'TR TE'!$V$32*'TR TE'!$V$48</f>
        <v>0</v>
      </c>
      <c r="W32" s="29">
        <f>SUM($T$32:$V$32)</f>
        <v>0</v>
      </c>
      <c r="X32" s="29"/>
      <c r="Y32" s="29">
        <f>SUM($X$32:$X$32)</f>
        <v>0</v>
      </c>
      <c r="Z32" s="29">
        <f>'TR TE'!$Z$32*'TR TE'!$Z$48</f>
        <v>0</v>
      </c>
      <c r="AA32" s="29">
        <f>SUM($Z$32:$Z$32)</f>
        <v>0</v>
      </c>
      <c r="AB32" s="29">
        <f>SUMIF($L$4:$AA$4,"SUBTOTAL",$L$32:$AA$32)</f>
        <v>128.42318625241219</v>
      </c>
    </row>
    <row r="33" spans="1:28" ht="11.25" customHeight="1" x14ac:dyDescent="0.25">
      <c r="A33" s="105"/>
      <c r="B33" s="105"/>
      <c r="C33" s="105"/>
      <c r="D33" s="31" t="s">
        <v>88</v>
      </c>
      <c r="E33" s="31" t="s">
        <v>25</v>
      </c>
      <c r="F33" s="31" t="s">
        <v>25</v>
      </c>
      <c r="G33" s="32" t="s">
        <v>78</v>
      </c>
      <c r="H33" s="32" t="s">
        <v>72</v>
      </c>
      <c r="I33" s="32">
        <f>'MERCADO TE'!$U$30</f>
        <v>0</v>
      </c>
      <c r="J33" s="15"/>
      <c r="L33" s="29">
        <f>'TR TE'!$L$33*'TR TE'!$L$48</f>
        <v>0</v>
      </c>
      <c r="M33" s="29">
        <f>'TR TE'!$M$33*'TR TE'!$M$48</f>
        <v>0</v>
      </c>
      <c r="N33" s="29">
        <f>'TR TE'!$N$33*'TR TE'!$N$48</f>
        <v>0</v>
      </c>
      <c r="O33" s="29">
        <f>'TR TE'!$O$33*'TR TE'!$O$48</f>
        <v>0</v>
      </c>
      <c r="P33" s="29">
        <f>'TR TE'!$P$33*'TR TE'!$P$48</f>
        <v>0</v>
      </c>
      <c r="Q33" s="29">
        <f>SUM($L$33:$P$33)</f>
        <v>0</v>
      </c>
      <c r="R33" s="29">
        <f>'TR TE'!$R$33*'TR TE'!$R$48</f>
        <v>128.42318625241219</v>
      </c>
      <c r="S33" s="29">
        <f>SUM($R$33:$R$33)</f>
        <v>128.42318625241219</v>
      </c>
      <c r="T33" s="29">
        <f>'TR TE'!$T$33*'TR TE'!$T$48</f>
        <v>0</v>
      </c>
      <c r="U33" s="29">
        <f>'TR TE'!$U$33*'TR TE'!$U$48</f>
        <v>0</v>
      </c>
      <c r="V33" s="29">
        <f>'TR TE'!$V$33*'TR TE'!$V$48</f>
        <v>0</v>
      </c>
      <c r="W33" s="29">
        <f>SUM($T$33:$V$33)</f>
        <v>0</v>
      </c>
      <c r="X33" s="29"/>
      <c r="Y33" s="29">
        <f>SUM($X$33:$X$33)</f>
        <v>0</v>
      </c>
      <c r="Z33" s="29">
        <f>'TR TE'!$Z$33*'TR TE'!$Z$48</f>
        <v>0</v>
      </c>
      <c r="AA33" s="29">
        <f>SUM($Z$33:$Z$33)</f>
        <v>0</v>
      </c>
      <c r="AB33" s="29">
        <f>SUMIF($L$4:$AA$4,"SUBTOTAL",$L$33:$AA$33)</f>
        <v>128.42318625241219</v>
      </c>
    </row>
    <row r="34" spans="1:28" ht="11.25" customHeight="1" x14ac:dyDescent="0.25">
      <c r="A34" s="105"/>
      <c r="B34" s="105"/>
      <c r="C34" s="105"/>
      <c r="D34" s="31" t="s">
        <v>89</v>
      </c>
      <c r="E34" s="31" t="s">
        <v>25</v>
      </c>
      <c r="F34" s="31" t="s">
        <v>25</v>
      </c>
      <c r="G34" s="32" t="s">
        <v>78</v>
      </c>
      <c r="H34" s="32" t="s">
        <v>72</v>
      </c>
      <c r="I34" s="32">
        <f>'MERCADO TE'!$U$31</f>
        <v>0</v>
      </c>
      <c r="J34" s="15"/>
      <c r="L34" s="29">
        <f>'TR TE'!$L$34*'TR TE'!$L$48</f>
        <v>0</v>
      </c>
      <c r="M34" s="29">
        <f>'TR TE'!$M$34*'TR TE'!$M$48</f>
        <v>0</v>
      </c>
      <c r="N34" s="29">
        <f>'TR TE'!$N$34*'TR TE'!$N$48</f>
        <v>0</v>
      </c>
      <c r="O34" s="29">
        <f>'TR TE'!$O$34*'TR TE'!$O$48</f>
        <v>0</v>
      </c>
      <c r="P34" s="29">
        <f>'TR TE'!$P$34*'TR TE'!$P$48</f>
        <v>0</v>
      </c>
      <c r="Q34" s="29">
        <f>SUM($L$34:$P$34)</f>
        <v>0</v>
      </c>
      <c r="R34" s="29">
        <f>'TR TE'!$R$34*'TR TE'!$R$48</f>
        <v>128.42318625241219</v>
      </c>
      <c r="S34" s="29">
        <f>SUM($R$34:$R$34)</f>
        <v>128.42318625241219</v>
      </c>
      <c r="T34" s="29">
        <f>'TR TE'!$T$34*'TR TE'!$T$48</f>
        <v>0</v>
      </c>
      <c r="U34" s="29">
        <f>'TR TE'!$U$34*'TR TE'!$U$48</f>
        <v>0</v>
      </c>
      <c r="V34" s="29">
        <f>'TR TE'!$V$34*'TR TE'!$V$48</f>
        <v>0</v>
      </c>
      <c r="W34" s="29">
        <f>SUM($T$34:$V$34)</f>
        <v>0</v>
      </c>
      <c r="X34" s="29"/>
      <c r="Y34" s="29">
        <f>SUM($X$34:$X$34)</f>
        <v>0</v>
      </c>
      <c r="Z34" s="29">
        <f>'TR TE'!$Z$34*'TR TE'!$Z$48</f>
        <v>0</v>
      </c>
      <c r="AA34" s="29">
        <f>SUM($Z$34:$Z$34)</f>
        <v>0</v>
      </c>
      <c r="AB34" s="29">
        <f>SUMIF($L$4:$AA$4,"SUBTOTAL",$L$34:$AA$34)</f>
        <v>128.42318625241219</v>
      </c>
    </row>
    <row r="35" spans="1:28" ht="11.25" customHeight="1" x14ac:dyDescent="0.25">
      <c r="A35" s="105" t="s">
        <v>33</v>
      </c>
      <c r="B35" s="105" t="s">
        <v>71</v>
      </c>
      <c r="C35" s="105" t="s">
        <v>25</v>
      </c>
      <c r="D35" s="105" t="s">
        <v>25</v>
      </c>
      <c r="E35" s="105" t="s">
        <v>25</v>
      </c>
      <c r="F35" s="105" t="s">
        <v>25</v>
      </c>
      <c r="G35" s="32" t="s">
        <v>73</v>
      </c>
      <c r="H35" s="32" t="s">
        <v>72</v>
      </c>
      <c r="I35" s="32">
        <f>'MERCADO TE'!$U$32</f>
        <v>0</v>
      </c>
      <c r="J35" s="15"/>
      <c r="L35" s="29">
        <f>'TR TE'!$L$35*'TR TE'!$L$48</f>
        <v>0</v>
      </c>
      <c r="M35" s="29">
        <f>'TR TE'!$M$35*'TR TE'!$M$48</f>
        <v>0</v>
      </c>
      <c r="N35" s="29">
        <f>'TR TE'!$N$35*'TR TE'!$N$48</f>
        <v>0</v>
      </c>
      <c r="O35" s="29">
        <f>'TR TE'!$O$35*'TR TE'!$O$48</f>
        <v>0</v>
      </c>
      <c r="P35" s="29">
        <f>'TR TE'!$P$35*'TR TE'!$P$48</f>
        <v>0</v>
      </c>
      <c r="Q35" s="29">
        <f>SUM($L$35:$P$35)</f>
        <v>0</v>
      </c>
      <c r="R35" s="29">
        <f>'TR TE'!$R$35*'TR TE'!$R$48</f>
        <v>128.42318625241219</v>
      </c>
      <c r="S35" s="29">
        <f>SUM($R$35:$R$35)</f>
        <v>128.42318625241219</v>
      </c>
      <c r="T35" s="29">
        <f>'TR TE'!$T$35*'TR TE'!$T$48</f>
        <v>0</v>
      </c>
      <c r="U35" s="29">
        <f>'TR TE'!$U$35*'TR TE'!$U$48</f>
        <v>0</v>
      </c>
      <c r="V35" s="29">
        <f>'TR TE'!$V$35*'TR TE'!$V$48</f>
        <v>0</v>
      </c>
      <c r="W35" s="29">
        <f>SUM($T$35:$V$35)</f>
        <v>0</v>
      </c>
      <c r="X35" s="29"/>
      <c r="Y35" s="29">
        <f>SUM($X$35:$X$35)</f>
        <v>0</v>
      </c>
      <c r="Z35" s="29">
        <f>'TR TE'!$Z$35*'TR TE'!$Z$48</f>
        <v>0</v>
      </c>
      <c r="AA35" s="29">
        <f>SUM($Z$35:$Z$35)</f>
        <v>0</v>
      </c>
      <c r="AB35" s="29">
        <f>SUMIF($L$4:$AA$4,"SUBTOTAL",$L$35:$AA$35)</f>
        <v>128.42318625241219</v>
      </c>
    </row>
    <row r="36" spans="1:28" ht="11.25" customHeight="1" x14ac:dyDescent="0.25">
      <c r="A36" s="105"/>
      <c r="B36" s="105"/>
      <c r="C36" s="105"/>
      <c r="D36" s="105"/>
      <c r="E36" s="105"/>
      <c r="F36" s="105"/>
      <c r="G36" s="32" t="s">
        <v>83</v>
      </c>
      <c r="H36" s="32" t="s">
        <v>72</v>
      </c>
      <c r="I36" s="32">
        <f>'MERCADO TE'!$U$33</f>
        <v>0</v>
      </c>
      <c r="J36" s="15"/>
      <c r="L36" s="29">
        <f>'TR TE'!$L$36*'TR TE'!$L$48</f>
        <v>0</v>
      </c>
      <c r="M36" s="29">
        <f>'TR TE'!$M$36*'TR TE'!$M$48</f>
        <v>0</v>
      </c>
      <c r="N36" s="29">
        <f>'TR TE'!$N$36*'TR TE'!$N$48</f>
        <v>0</v>
      </c>
      <c r="O36" s="29">
        <f>'TR TE'!$O$36*'TR TE'!$O$48</f>
        <v>0</v>
      </c>
      <c r="P36" s="29">
        <f>'TR TE'!$P$36*'TR TE'!$P$48</f>
        <v>0</v>
      </c>
      <c r="Q36" s="29">
        <f>SUM($L$36:$P$36)</f>
        <v>0</v>
      </c>
      <c r="R36" s="29">
        <f>'TR TE'!$R$36*'TR TE'!$R$48</f>
        <v>128.42318625241219</v>
      </c>
      <c r="S36" s="29">
        <f>SUM($R$36:$R$36)</f>
        <v>128.42318625241219</v>
      </c>
      <c r="T36" s="29">
        <f>'TR TE'!$T$36*'TR TE'!$T$48</f>
        <v>0</v>
      </c>
      <c r="U36" s="29">
        <f>'TR TE'!$U$36*'TR TE'!$U$48</f>
        <v>0</v>
      </c>
      <c r="V36" s="29">
        <f>'TR TE'!$V$36*'TR TE'!$V$48</f>
        <v>0</v>
      </c>
      <c r="W36" s="29">
        <f>SUM($T$36:$V$36)</f>
        <v>0</v>
      </c>
      <c r="X36" s="29"/>
      <c r="Y36" s="29">
        <f>SUM($X$36:$X$36)</f>
        <v>0</v>
      </c>
      <c r="Z36" s="29">
        <f>'TR TE'!$Z$36*'TR TE'!$Z$48</f>
        <v>0</v>
      </c>
      <c r="AA36" s="29">
        <f>SUM($Z$36:$Z$36)</f>
        <v>0</v>
      </c>
      <c r="AB36" s="29">
        <f>SUMIF($L$4:$AA$4,"SUBTOTAL",$L$36:$AA$36)</f>
        <v>128.42318625241219</v>
      </c>
    </row>
    <row r="37" spans="1:28" ht="11.25" customHeight="1" x14ac:dyDescent="0.25">
      <c r="A37" s="105"/>
      <c r="B37" s="105"/>
      <c r="C37" s="105"/>
      <c r="D37" s="105"/>
      <c r="E37" s="105"/>
      <c r="F37" s="105"/>
      <c r="G37" s="32" t="s">
        <v>74</v>
      </c>
      <c r="H37" s="32" t="s">
        <v>72</v>
      </c>
      <c r="I37" s="32">
        <f>'MERCADO TE'!$U$34</f>
        <v>0</v>
      </c>
      <c r="J37" s="15"/>
      <c r="L37" s="29">
        <f>'TR TE'!$L$37*'TR TE'!$L$48</f>
        <v>0</v>
      </c>
      <c r="M37" s="29">
        <f>'TR TE'!$M$37*'TR TE'!$M$48</f>
        <v>0</v>
      </c>
      <c r="N37" s="29">
        <f>'TR TE'!$N$37*'TR TE'!$N$48</f>
        <v>0</v>
      </c>
      <c r="O37" s="29">
        <f>'TR TE'!$O$37*'TR TE'!$O$48</f>
        <v>0</v>
      </c>
      <c r="P37" s="29">
        <f>'TR TE'!$P$37*'TR TE'!$P$48</f>
        <v>0</v>
      </c>
      <c r="Q37" s="29">
        <f>SUM($L$37:$P$37)</f>
        <v>0</v>
      </c>
      <c r="R37" s="29">
        <f>'TR TE'!$R$37*'TR TE'!$R$48</f>
        <v>128.42318625241219</v>
      </c>
      <c r="S37" s="29">
        <f>SUM($R$37:$R$37)</f>
        <v>128.42318625241219</v>
      </c>
      <c r="T37" s="29">
        <f>'TR TE'!$T$37*'TR TE'!$T$48</f>
        <v>0</v>
      </c>
      <c r="U37" s="29">
        <f>'TR TE'!$U$37*'TR TE'!$U$48</f>
        <v>0</v>
      </c>
      <c r="V37" s="29">
        <f>'TR TE'!$V$37*'TR TE'!$V$48</f>
        <v>0</v>
      </c>
      <c r="W37" s="29">
        <f>SUM($T$37:$V$37)</f>
        <v>0</v>
      </c>
      <c r="X37" s="29"/>
      <c r="Y37" s="29">
        <f>SUM($X$37:$X$37)</f>
        <v>0</v>
      </c>
      <c r="Z37" s="29">
        <f>'TR TE'!$Z$37*'TR TE'!$Z$48</f>
        <v>0</v>
      </c>
      <c r="AA37" s="29">
        <f>SUM($Z$37:$Z$37)</f>
        <v>0</v>
      </c>
      <c r="AB37" s="29">
        <f>SUMIF($L$4:$AA$4,"SUBTOTAL",$L$37:$AA$37)</f>
        <v>128.42318625241219</v>
      </c>
    </row>
    <row r="38" spans="1:28" ht="11.25" customHeight="1" x14ac:dyDescent="0.25">
      <c r="A38" s="105"/>
      <c r="B38" s="31" t="s">
        <v>84</v>
      </c>
      <c r="C38" s="31" t="s">
        <v>25</v>
      </c>
      <c r="D38" s="31" t="s">
        <v>25</v>
      </c>
      <c r="E38" s="31" t="s">
        <v>25</v>
      </c>
      <c r="F38" s="31" t="s">
        <v>25</v>
      </c>
      <c r="G38" s="32" t="s">
        <v>78</v>
      </c>
      <c r="H38" s="32" t="s">
        <v>72</v>
      </c>
      <c r="I38" s="32">
        <f>'MERCADO TE'!$U$35</f>
        <v>6621.2499999999991</v>
      </c>
      <c r="J38" s="15"/>
      <c r="L38" s="29">
        <f>'TR TE'!$L$38*'TR TE'!$L$48</f>
        <v>0</v>
      </c>
      <c r="M38" s="29">
        <f>'TR TE'!$M$38*'TR TE'!$M$48</f>
        <v>0</v>
      </c>
      <c r="N38" s="29">
        <f>'TR TE'!$N$38*'TR TE'!$N$48</f>
        <v>0</v>
      </c>
      <c r="O38" s="29">
        <f>'TR TE'!$O$38*'TR TE'!$O$48</f>
        <v>0</v>
      </c>
      <c r="P38" s="29">
        <f>'TR TE'!$P$38*'TR TE'!$P$48</f>
        <v>0</v>
      </c>
      <c r="Q38" s="29">
        <f>SUM($L$38:$P$38)</f>
        <v>0</v>
      </c>
      <c r="R38" s="29">
        <f>'TR TE'!$R$38*'TR TE'!$R$48</f>
        <v>128.42318625241219</v>
      </c>
      <c r="S38" s="29">
        <f>SUM($R$38:$R$38)</f>
        <v>128.42318625241219</v>
      </c>
      <c r="T38" s="29">
        <f>'TR TE'!$T$38*'TR TE'!$T$48</f>
        <v>0</v>
      </c>
      <c r="U38" s="29">
        <f>'TR TE'!$U$38*'TR TE'!$U$48</f>
        <v>0</v>
      </c>
      <c r="V38" s="29">
        <f>'TR TE'!$V$38*'TR TE'!$V$48</f>
        <v>0</v>
      </c>
      <c r="W38" s="29">
        <f>SUM($T$38:$V$38)</f>
        <v>0</v>
      </c>
      <c r="X38" s="29"/>
      <c r="Y38" s="29">
        <f>SUM($X$38:$X$38)</f>
        <v>0</v>
      </c>
      <c r="Z38" s="29">
        <f>'TR TE'!$Z$38*'TR TE'!$Z$48</f>
        <v>0</v>
      </c>
      <c r="AA38" s="29">
        <f>SUM($Z$38:$Z$38)</f>
        <v>0</v>
      </c>
      <c r="AB38" s="29">
        <f>SUMIF($L$4:$AA$4,"SUBTOTAL",$L$38:$AA$38)</f>
        <v>128.42318625241219</v>
      </c>
    </row>
    <row r="39" spans="1:28" ht="11.25" customHeight="1" x14ac:dyDescent="0.25">
      <c r="A39" s="105"/>
      <c r="B39" s="31" t="s">
        <v>86</v>
      </c>
      <c r="C39" s="31" t="s">
        <v>25</v>
      </c>
      <c r="D39" s="31" t="s">
        <v>25</v>
      </c>
      <c r="E39" s="31" t="s">
        <v>25</v>
      </c>
      <c r="F39" s="31" t="s">
        <v>25</v>
      </c>
      <c r="G39" s="32" t="s">
        <v>78</v>
      </c>
      <c r="H39" s="32" t="s">
        <v>72</v>
      </c>
      <c r="I39" s="32">
        <f>'MERCADO TE'!$U$36</f>
        <v>0</v>
      </c>
      <c r="J39" s="15"/>
      <c r="L39" s="29">
        <f>'TR TE'!$L$39*'TR TE'!$L$48</f>
        <v>0</v>
      </c>
      <c r="M39" s="29">
        <f>'TR TE'!$M$39*'TR TE'!$M$48</f>
        <v>0</v>
      </c>
      <c r="N39" s="29">
        <f>'TR TE'!$N$39*'TR TE'!$N$48</f>
        <v>0</v>
      </c>
      <c r="O39" s="29">
        <f>'TR TE'!$O$39*'TR TE'!$O$48</f>
        <v>0</v>
      </c>
      <c r="P39" s="29">
        <f>'TR TE'!$P$39*'TR TE'!$P$48</f>
        <v>0</v>
      </c>
      <c r="Q39" s="29">
        <f>SUM($L$39:$P$39)</f>
        <v>0</v>
      </c>
      <c r="R39" s="29">
        <f>'TR TE'!$R$39*'TR TE'!$R$48</f>
        <v>128.42318625241219</v>
      </c>
      <c r="S39" s="29">
        <f>SUM($R$39:$R$39)</f>
        <v>128.42318625241219</v>
      </c>
      <c r="T39" s="29">
        <f>'TR TE'!$T$39*'TR TE'!$T$48</f>
        <v>0</v>
      </c>
      <c r="U39" s="29">
        <f>'TR TE'!$U$39*'TR TE'!$U$48</f>
        <v>0</v>
      </c>
      <c r="V39" s="29">
        <f>'TR TE'!$V$39*'TR TE'!$V$48</f>
        <v>0</v>
      </c>
      <c r="W39" s="29">
        <f>SUM($T$39:$V$39)</f>
        <v>0</v>
      </c>
      <c r="X39" s="29"/>
      <c r="Y39" s="29">
        <f>SUM($X$39:$X$39)</f>
        <v>0</v>
      </c>
      <c r="Z39" s="29">
        <f>'TR TE'!$Z$39*'TR TE'!$Z$48</f>
        <v>0</v>
      </c>
      <c r="AA39" s="29">
        <f>SUM($Z$39:$Z$39)</f>
        <v>0</v>
      </c>
      <c r="AB39" s="29">
        <f>SUMIF($L$4:$AA$4,"SUBTOTAL",$L$39:$AA$39)</f>
        <v>128.42318625241219</v>
      </c>
    </row>
    <row r="40" spans="1:28" ht="11.25" customHeight="1" x14ac:dyDescent="0.25">
      <c r="A40" s="105" t="s">
        <v>43</v>
      </c>
      <c r="B40" s="105" t="s">
        <v>84</v>
      </c>
      <c r="C40" s="105" t="s">
        <v>44</v>
      </c>
      <c r="D40" s="31" t="s">
        <v>45</v>
      </c>
      <c r="E40" s="31" t="s">
        <v>25</v>
      </c>
      <c r="F40" s="31" t="s">
        <v>25</v>
      </c>
      <c r="G40" s="32" t="s">
        <v>78</v>
      </c>
      <c r="H40" s="32" t="s">
        <v>72</v>
      </c>
      <c r="I40" s="32">
        <f>'MERCADO TE'!$U$37</f>
        <v>930.54300000000012</v>
      </c>
      <c r="J40" s="15"/>
      <c r="L40" s="29">
        <f>'TR TE'!$L$40*'TR TE'!$L$48</f>
        <v>0</v>
      </c>
      <c r="M40" s="29">
        <f>'TR TE'!$M$40*'TR TE'!$M$48</f>
        <v>0</v>
      </c>
      <c r="N40" s="29">
        <f>'TR TE'!$N$40*'TR TE'!$N$48</f>
        <v>0</v>
      </c>
      <c r="O40" s="29">
        <f>'TR TE'!$O$40*'TR TE'!$O$48</f>
        <v>0</v>
      </c>
      <c r="P40" s="29">
        <f>'TR TE'!$P$40*'TR TE'!$P$48</f>
        <v>0</v>
      </c>
      <c r="Q40" s="29">
        <f>SUM($L$40:$P$40)</f>
        <v>0</v>
      </c>
      <c r="R40" s="29">
        <f>'TR TE'!$R$40*'TR TE'!$R$48</f>
        <v>70.632752438826714</v>
      </c>
      <c r="S40" s="29">
        <f>SUM($R$40:$R$40)</f>
        <v>70.632752438826714</v>
      </c>
      <c r="T40" s="29">
        <f>'TR TE'!$T$40*'TR TE'!$T$48</f>
        <v>0</v>
      </c>
      <c r="U40" s="29">
        <f>'TR TE'!$U$40*'TR TE'!$U$48</f>
        <v>0</v>
      </c>
      <c r="V40" s="29">
        <f>'TR TE'!$V$40*'TR TE'!$V$48</f>
        <v>0</v>
      </c>
      <c r="W40" s="29">
        <f>SUM($T$40:$V$40)</f>
        <v>0</v>
      </c>
      <c r="X40" s="29"/>
      <c r="Y40" s="29">
        <f>SUM($X$40:$X$40)</f>
        <v>0</v>
      </c>
      <c r="Z40" s="29">
        <f>'TR TE'!$Z$40*'TR TE'!$Z$48</f>
        <v>0</v>
      </c>
      <c r="AA40" s="29">
        <f>SUM($Z$40:$Z$40)</f>
        <v>0</v>
      </c>
      <c r="AB40" s="29">
        <f>SUMIF($L$4:$AA$4,"SUBTOTAL",$L$40:$AA$40)</f>
        <v>70.632752438826714</v>
      </c>
    </row>
    <row r="41" spans="1:28" ht="11.25" customHeight="1" x14ac:dyDescent="0.25">
      <c r="A41" s="105"/>
      <c r="B41" s="105"/>
      <c r="C41" s="105"/>
      <c r="D41" s="32" t="s">
        <v>90</v>
      </c>
      <c r="E41" s="32" t="s">
        <v>25</v>
      </c>
      <c r="F41" s="32" t="s">
        <v>25</v>
      </c>
      <c r="G41" s="32" t="s">
        <v>78</v>
      </c>
      <c r="H41" s="32" t="s">
        <v>72</v>
      </c>
      <c r="I41" s="32">
        <f>'MERCADO TE'!$U$38</f>
        <v>0</v>
      </c>
      <c r="J41" s="15"/>
      <c r="L41" s="29">
        <f>'TR TE'!$L$41*'TR TE'!$L$48</f>
        <v>0</v>
      </c>
      <c r="M41" s="29">
        <f>'TR TE'!$M$41*'TR TE'!$M$48</f>
        <v>0</v>
      </c>
      <c r="N41" s="29">
        <f>'TR TE'!$N$41*'TR TE'!$N$48</f>
        <v>0</v>
      </c>
      <c r="O41" s="29">
        <f>'TR TE'!$O$41*'TR TE'!$O$48</f>
        <v>0</v>
      </c>
      <c r="P41" s="29">
        <f>'TR TE'!$P$41*'TR TE'!$P$48</f>
        <v>0</v>
      </c>
      <c r="Q41" s="29">
        <f>SUM($L$41:$P$41)</f>
        <v>0</v>
      </c>
      <c r="R41" s="29">
        <f>'TR TE'!$R$41*'TR TE'!$R$48</f>
        <v>77.053911751447316</v>
      </c>
      <c r="S41" s="29">
        <f>SUM($R$41:$R$41)</f>
        <v>77.053911751447316</v>
      </c>
      <c r="T41" s="29">
        <f>'TR TE'!$T$41*'TR TE'!$T$48</f>
        <v>0</v>
      </c>
      <c r="U41" s="29">
        <f>'TR TE'!$U$41*'TR TE'!$U$48</f>
        <v>0</v>
      </c>
      <c r="V41" s="29">
        <f>'TR TE'!$V$41*'TR TE'!$V$48</f>
        <v>0</v>
      </c>
      <c r="W41" s="29">
        <f>SUM($T$41:$V$41)</f>
        <v>0</v>
      </c>
      <c r="X41" s="29"/>
      <c r="Y41" s="29">
        <f>SUM($X$41:$X$41)</f>
        <v>0</v>
      </c>
      <c r="Z41" s="29">
        <f>'TR TE'!$Z$41*'TR TE'!$Z$48</f>
        <v>0</v>
      </c>
      <c r="AA41" s="29">
        <f>SUM($Z$41:$Z$41)</f>
        <v>0</v>
      </c>
      <c r="AB41" s="29">
        <f>SUMIF($L$4:$AA$4,"SUBTOTAL",$L$41:$AA$41)</f>
        <v>77.053911751447316</v>
      </c>
    </row>
    <row r="43" spans="1:28" ht="11.25" customHeight="1" x14ac:dyDescent="0.25">
      <c r="K43" s="34" t="s">
        <v>503</v>
      </c>
      <c r="L43" s="29">
        <f t="shared" ref="L43:AB43" si="0">SUMPRODUCT($I$5:$I$41,L$5:L$41)</f>
        <v>0</v>
      </c>
      <c r="M43" s="29">
        <f t="shared" si="0"/>
        <v>0</v>
      </c>
      <c r="N43" s="29">
        <f t="shared" si="0"/>
        <v>0</v>
      </c>
      <c r="O43" s="29">
        <f t="shared" si="0"/>
        <v>0</v>
      </c>
      <c r="P43" s="29">
        <f t="shared" si="0"/>
        <v>0</v>
      </c>
      <c r="Q43" s="29">
        <f t="shared" si="0"/>
        <v>0</v>
      </c>
      <c r="R43" s="29">
        <f t="shared" si="0"/>
        <v>11703750.588352596</v>
      </c>
      <c r="S43" s="29">
        <f t="shared" si="0"/>
        <v>11703750.588352596</v>
      </c>
      <c r="T43" s="29">
        <f t="shared" si="0"/>
        <v>0</v>
      </c>
      <c r="U43" s="29">
        <f t="shared" si="0"/>
        <v>0</v>
      </c>
      <c r="V43" s="29">
        <f t="shared" si="0"/>
        <v>0</v>
      </c>
      <c r="W43" s="29">
        <f t="shared" si="0"/>
        <v>0</v>
      </c>
      <c r="X43" s="29">
        <f t="shared" si="0"/>
        <v>0</v>
      </c>
      <c r="Y43" s="29">
        <f t="shared" si="0"/>
        <v>0</v>
      </c>
      <c r="Z43" s="29">
        <f t="shared" si="0"/>
        <v>0</v>
      </c>
      <c r="AA43" s="29">
        <f t="shared" si="0"/>
        <v>0</v>
      </c>
      <c r="AB43" s="29">
        <f t="shared" si="0"/>
        <v>11703750.588352596</v>
      </c>
    </row>
    <row r="44" spans="1:28" ht="11.25" customHeight="1" x14ac:dyDescent="0.25">
      <c r="K44" s="34" t="s">
        <v>428</v>
      </c>
      <c r="L44" s="29">
        <f>CUSTOS!$D$30</f>
        <v>0</v>
      </c>
      <c r="M44" s="29">
        <f>CUSTOS!$D$31</f>
        <v>0</v>
      </c>
      <c r="N44" s="29">
        <f>CUSTOS!$D$32</f>
        <v>0</v>
      </c>
      <c r="O44" s="29">
        <f>CUSTOS!$D$33</f>
        <v>0</v>
      </c>
      <c r="P44" s="29">
        <f>CUSTOS!$D$34</f>
        <v>0</v>
      </c>
      <c r="Q44" s="29">
        <f>CUSTOS!$D$35</f>
        <v>0</v>
      </c>
      <c r="R44" s="29">
        <f>CUSTOS!$D$36</f>
        <v>11703750.588352593</v>
      </c>
      <c r="S44" s="29">
        <f>CUSTOS!$D$37</f>
        <v>11703750.588352593</v>
      </c>
      <c r="T44" s="29">
        <f>CUSTOS!$D$38</f>
        <v>0</v>
      </c>
      <c r="U44" s="29">
        <f>CUSTOS!$D$39</f>
        <v>0</v>
      </c>
      <c r="V44" s="29">
        <f>CUSTOS!$D$40</f>
        <v>0</v>
      </c>
      <c r="W44" s="29">
        <f>CUSTOS!$D$41</f>
        <v>0</v>
      </c>
      <c r="X44" s="29">
        <f>CUSTOS!$D$42</f>
        <v>0</v>
      </c>
      <c r="Y44" s="29">
        <f>CUSTOS!$D$43</f>
        <v>0</v>
      </c>
      <c r="Z44" s="29">
        <f>CUSTOS!$D$44</f>
        <v>0</v>
      </c>
      <c r="AA44" s="29">
        <f>CUSTOS!$D$45</f>
        <v>0</v>
      </c>
      <c r="AB44" s="29">
        <f>CUSTOS!$D$46</f>
        <v>11703750.588352593</v>
      </c>
    </row>
    <row r="45" spans="1:28" ht="11.25" customHeight="1" x14ac:dyDescent="0.25">
      <c r="K45" s="34" t="s">
        <v>429</v>
      </c>
      <c r="L45" s="29">
        <f>CUSTOS!$E$30</f>
        <v>0</v>
      </c>
      <c r="M45" s="29">
        <f>CUSTOS!$E$31</f>
        <v>0</v>
      </c>
      <c r="N45" s="29">
        <f>CUSTOS!$E$32</f>
        <v>0</v>
      </c>
      <c r="O45" s="29">
        <f>CUSTOS!$E$33</f>
        <v>0</v>
      </c>
      <c r="P45" s="29">
        <f>CUSTOS!$E$34</f>
        <v>0</v>
      </c>
      <c r="Q45" s="29">
        <f>CUSTOS!$E$35</f>
        <v>0</v>
      </c>
      <c r="R45" s="29">
        <f>CUSTOS!$E$36</f>
        <v>672851.01631794788</v>
      </c>
      <c r="S45" s="29">
        <f>CUSTOS!$E$37</f>
        <v>672851.01631794788</v>
      </c>
      <c r="T45" s="29">
        <f>CUSTOS!$E$38</f>
        <v>0</v>
      </c>
      <c r="U45" s="29">
        <f>CUSTOS!$E$39</f>
        <v>0</v>
      </c>
      <c r="V45" s="29">
        <f>CUSTOS!$E$40</f>
        <v>0</v>
      </c>
      <c r="W45" s="29">
        <f>CUSTOS!$E$41</f>
        <v>0</v>
      </c>
      <c r="X45" s="29">
        <f>CUSTOS!$E$42</f>
        <v>0</v>
      </c>
      <c r="Y45" s="29">
        <f>CUSTOS!$E$43</f>
        <v>0</v>
      </c>
      <c r="Z45" s="29">
        <f>CUSTOS!$E$44</f>
        <v>0</v>
      </c>
      <c r="AA45" s="29">
        <f>CUSTOS!$E$45</f>
        <v>0</v>
      </c>
      <c r="AB45" s="29">
        <f>CUSTOS!$E$46</f>
        <v>672851.01631794788</v>
      </c>
    </row>
    <row r="46" spans="1:28" ht="11.25" customHeight="1" x14ac:dyDescent="0.25">
      <c r="K46" s="34" t="s">
        <v>430</v>
      </c>
      <c r="L46" s="29">
        <f>CUSTOS!$F$30</f>
        <v>0</v>
      </c>
      <c r="M46" s="29">
        <f>CUSTOS!$F$31</f>
        <v>0</v>
      </c>
      <c r="N46" s="29">
        <f>CUSTOS!$F$32</f>
        <v>0</v>
      </c>
      <c r="O46" s="29">
        <f>CUSTOS!$F$33</f>
        <v>0</v>
      </c>
      <c r="P46" s="29">
        <f>CUSTOS!$F$34</f>
        <v>0</v>
      </c>
      <c r="Q46" s="29">
        <f>CUSTOS!$F$35</f>
        <v>0</v>
      </c>
      <c r="R46" s="29">
        <f>CUSTOS!$F$36</f>
        <v>0</v>
      </c>
      <c r="S46" s="29">
        <f>CUSTOS!$F$37</f>
        <v>0</v>
      </c>
      <c r="T46" s="29">
        <f>CUSTOS!$F$38</f>
        <v>0</v>
      </c>
      <c r="U46" s="29">
        <f>CUSTOS!$F$39</f>
        <v>0</v>
      </c>
      <c r="V46" s="29">
        <f>CUSTOS!$F$40</f>
        <v>0</v>
      </c>
      <c r="W46" s="29">
        <f>CUSTOS!$F$41</f>
        <v>0</v>
      </c>
      <c r="X46" s="29">
        <f>CUSTOS!$F$42</f>
        <v>0</v>
      </c>
      <c r="Y46" s="29">
        <f>CUSTOS!$F$43</f>
        <v>0</v>
      </c>
      <c r="Z46" s="29">
        <f>CUSTOS!$F$44</f>
        <v>0</v>
      </c>
      <c r="AA46" s="29">
        <f>CUSTOS!$F$45</f>
        <v>0</v>
      </c>
      <c r="AB46" s="29">
        <f>CUSTOS!$F$46</f>
        <v>0</v>
      </c>
    </row>
    <row r="47" spans="1:28" ht="11.25" customHeight="1" x14ac:dyDescent="0.25">
      <c r="K47" s="34" t="s">
        <v>504</v>
      </c>
      <c r="L47" s="29">
        <f>'TR TE'!$L$47*L48</f>
        <v>0</v>
      </c>
      <c r="M47" s="29">
        <f>'TR TE'!$M$47*M48</f>
        <v>0</v>
      </c>
      <c r="N47" s="29">
        <f>'TR TE'!$N$47*N48</f>
        <v>0</v>
      </c>
      <c r="O47" s="29">
        <f>'TR TE'!$O$47*O48</f>
        <v>0</v>
      </c>
      <c r="P47" s="29">
        <f>'TR TE'!$P$47*P48</f>
        <v>0</v>
      </c>
      <c r="Q47" s="29"/>
      <c r="R47" s="29">
        <f>'TR TE'!$R$47*R48</f>
        <v>7.4695264256513347</v>
      </c>
      <c r="S47" s="29"/>
      <c r="T47" s="29">
        <f>'TR TE'!$T$47*T48</f>
        <v>0</v>
      </c>
      <c r="U47" s="29">
        <f>'TR TE'!$U$47*U48</f>
        <v>0</v>
      </c>
      <c r="V47" s="29">
        <f>'TR TE'!$V$47*V48</f>
        <v>0</v>
      </c>
      <c r="W47" s="29"/>
      <c r="X47" s="29"/>
      <c r="Y47" s="29"/>
      <c r="Z47" s="29">
        <f>'TR TE'!$Z$47*Z48</f>
        <v>0</v>
      </c>
      <c r="AA47" s="29"/>
      <c r="AB47" s="29"/>
    </row>
    <row r="48" spans="1:28" ht="11.25" customHeight="1" x14ac:dyDescent="0.25">
      <c r="K48" s="34" t="s">
        <v>497</v>
      </c>
      <c r="L48" s="29">
        <f>IF(L44&lt;&gt;0,L45/L44,0)</f>
        <v>0</v>
      </c>
      <c r="M48" s="29">
        <f>IF(M44&lt;&gt;0,M45/M44,0)</f>
        <v>0</v>
      </c>
      <c r="N48" s="29">
        <f>IF(N44&lt;&gt;0,N45/N44,0)</f>
        <v>0</v>
      </c>
      <c r="O48" s="29">
        <f>IF(O44&lt;&gt;0,O45/O44,0)</f>
        <v>0</v>
      </c>
      <c r="P48" s="29">
        <f>IF(P44&lt;&gt;0,P45/P44,0)</f>
        <v>0</v>
      </c>
      <c r="Q48" s="29"/>
      <c r="R48" s="29">
        <f>IF(R44&lt;&gt;0,R45/R44,0)</f>
        <v>5.7490204634705708E-2</v>
      </c>
      <c r="S48" s="29"/>
      <c r="T48" s="29">
        <f>IF(T44&lt;&gt;0,T45/T44,0)</f>
        <v>0</v>
      </c>
      <c r="U48" s="29">
        <f>IF(U44&lt;&gt;0,U45/U44,0)</f>
        <v>0</v>
      </c>
      <c r="V48" s="29">
        <f>IF(V44&lt;&gt;0,V45/V44,0)</f>
        <v>0</v>
      </c>
      <c r="W48" s="29"/>
      <c r="X48" s="29">
        <f>IF(($AB44-0)&lt;&gt;0,X45/($AB44-0),0)</f>
        <v>0</v>
      </c>
      <c r="Y48" s="29"/>
      <c r="Z48" s="29">
        <f>IF(Z44&lt;&gt;0,Z45/Z44,0)</f>
        <v>0</v>
      </c>
      <c r="AA48" s="29"/>
      <c r="AB48" s="29"/>
    </row>
    <row r="49" spans="11:28" ht="11.25" customHeight="1" x14ac:dyDescent="0.25">
      <c r="K49" s="34" t="s">
        <v>506</v>
      </c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</row>
  </sheetData>
  <mergeCells count="61">
    <mergeCell ref="E35:E37"/>
    <mergeCell ref="F35:F37"/>
    <mergeCell ref="A40:A41"/>
    <mergeCell ref="B40:B41"/>
    <mergeCell ref="C40:C41"/>
    <mergeCell ref="D35:D37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3">
    <cfRule type="cellIs" dxfId="628" priority="33" operator="notEqual">
      <formula>$L$44</formula>
    </cfRule>
    <cfRule type="cellIs" dxfId="627" priority="34" operator="equal">
      <formula>$L$44</formula>
    </cfRule>
  </conditionalFormatting>
  <conditionalFormatting sqref="M43">
    <cfRule type="cellIs" dxfId="626" priority="31" operator="notEqual">
      <formula>$M$44</formula>
    </cfRule>
    <cfRule type="cellIs" dxfId="625" priority="32" operator="equal">
      <formula>$M$44</formula>
    </cfRule>
  </conditionalFormatting>
  <conditionalFormatting sqref="N43">
    <cfRule type="cellIs" dxfId="624" priority="29" operator="notEqual">
      <formula>$N$44</formula>
    </cfRule>
    <cfRule type="cellIs" dxfId="623" priority="30" operator="equal">
      <formula>$N$44</formula>
    </cfRule>
  </conditionalFormatting>
  <conditionalFormatting sqref="O43">
    <cfRule type="cellIs" dxfId="622" priority="27" operator="notEqual">
      <formula>$O$44</formula>
    </cfRule>
    <cfRule type="cellIs" dxfId="621" priority="28" operator="equal">
      <formula>$O$44</formula>
    </cfRule>
  </conditionalFormatting>
  <conditionalFormatting sqref="P43">
    <cfRule type="cellIs" dxfId="620" priority="25" operator="notEqual">
      <formula>$P$44</formula>
    </cfRule>
    <cfRule type="cellIs" dxfId="619" priority="26" operator="equal">
      <formula>$P$44</formula>
    </cfRule>
  </conditionalFormatting>
  <conditionalFormatting sqref="Q43">
    <cfRule type="cellIs" dxfId="618" priority="23" operator="notEqual">
      <formula>$Q$44</formula>
    </cfRule>
    <cfRule type="cellIs" dxfId="617" priority="24" operator="equal">
      <formula>$Q$44</formula>
    </cfRule>
  </conditionalFormatting>
  <conditionalFormatting sqref="R43">
    <cfRule type="cellIs" dxfId="616" priority="21" operator="notEqual">
      <formula>$R$44</formula>
    </cfRule>
    <cfRule type="cellIs" dxfId="615" priority="22" operator="equal">
      <formula>$R$44</formula>
    </cfRule>
  </conditionalFormatting>
  <conditionalFormatting sqref="S43">
    <cfRule type="cellIs" dxfId="614" priority="19" operator="notEqual">
      <formula>$S$44</formula>
    </cfRule>
    <cfRule type="cellIs" dxfId="613" priority="20" operator="equal">
      <formula>$S$44</formula>
    </cfRule>
  </conditionalFormatting>
  <conditionalFormatting sqref="T43">
    <cfRule type="cellIs" dxfId="612" priority="17" operator="notEqual">
      <formula>$T$44</formula>
    </cfRule>
    <cfRule type="cellIs" dxfId="611" priority="18" operator="equal">
      <formula>$T$44</formula>
    </cfRule>
  </conditionalFormatting>
  <conditionalFormatting sqref="U43">
    <cfRule type="cellIs" dxfId="610" priority="15" operator="notEqual">
      <formula>$U$44</formula>
    </cfRule>
    <cfRule type="cellIs" dxfId="609" priority="16" operator="equal">
      <formula>$U$44</formula>
    </cfRule>
  </conditionalFormatting>
  <conditionalFormatting sqref="V43">
    <cfRule type="cellIs" dxfId="608" priority="13" operator="notEqual">
      <formula>$V$44</formula>
    </cfRule>
    <cfRule type="cellIs" dxfId="607" priority="14" operator="equal">
      <formula>$V$44</formula>
    </cfRule>
  </conditionalFormatting>
  <conditionalFormatting sqref="W43">
    <cfRule type="cellIs" dxfId="606" priority="11" operator="notEqual">
      <formula>$W$44</formula>
    </cfRule>
    <cfRule type="cellIs" dxfId="605" priority="12" operator="equal">
      <formula>$W$44</formula>
    </cfRule>
  </conditionalFormatting>
  <conditionalFormatting sqref="X43">
    <cfRule type="cellIs" dxfId="604" priority="9" operator="notEqual">
      <formula>$X$44</formula>
    </cfRule>
    <cfRule type="cellIs" dxfId="603" priority="10" operator="equal">
      <formula>$X$44</formula>
    </cfRule>
  </conditionalFormatting>
  <conditionalFormatting sqref="Y43">
    <cfRule type="cellIs" dxfId="602" priority="7" operator="notEqual">
      <formula>$Y$44</formula>
    </cfRule>
    <cfRule type="cellIs" dxfId="601" priority="8" operator="equal">
      <formula>$Y$44</formula>
    </cfRule>
  </conditionalFormatting>
  <conditionalFormatting sqref="Z43">
    <cfRule type="cellIs" dxfId="600" priority="5" operator="notEqual">
      <formula>$Z$44</formula>
    </cfRule>
    <cfRule type="cellIs" dxfId="599" priority="6" operator="equal">
      <formula>$Z$44</formula>
    </cfRule>
  </conditionalFormatting>
  <conditionalFormatting sqref="AA43">
    <cfRule type="cellIs" dxfId="598" priority="3" operator="notEqual">
      <formula>$AA$44</formula>
    </cfRule>
    <cfRule type="cellIs" dxfId="597" priority="4" operator="equal">
      <formula>$AA$44</formula>
    </cfRule>
  </conditionalFormatting>
  <conditionalFormatting sqref="AB43">
    <cfRule type="cellIs" dxfId="596" priority="1" operator="notEqual">
      <formula>$AB$44</formula>
    </cfRule>
    <cfRule type="cellIs" dxfId="595" priority="2" operator="equal">
      <formula>$AB$44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58FD-05A7-4AA4-A8D8-0F72D76AB8D8}">
  <sheetPr codeName="Planilha14"/>
  <dimension ref="A1:AB49"/>
  <sheetViews>
    <sheetView showGridLines="0" workbookViewId="0">
      <selection activeCell="I5" sqref="I5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.85546875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04" t="s">
        <v>62</v>
      </c>
      <c r="B1" s="104" t="s">
        <v>63</v>
      </c>
      <c r="C1" s="104" t="s">
        <v>64</v>
      </c>
      <c r="D1" s="104" t="s">
        <v>65</v>
      </c>
      <c r="E1" s="104" t="s">
        <v>66</v>
      </c>
      <c r="F1" s="104" t="s">
        <v>15</v>
      </c>
      <c r="G1" s="104" t="s">
        <v>68</v>
      </c>
      <c r="H1" s="104" t="s">
        <v>69</v>
      </c>
      <c r="I1" s="104" t="s">
        <v>487</v>
      </c>
      <c r="J1" s="90"/>
      <c r="L1" s="102" t="s">
        <v>508</v>
      </c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</row>
    <row r="2" spans="1:28" ht="11.2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90"/>
      <c r="L2" s="102" t="s">
        <v>414</v>
      </c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</row>
    <row r="3" spans="1:28" ht="11.2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90"/>
      <c r="L3" s="102" t="s">
        <v>387</v>
      </c>
      <c r="M3" s="102"/>
      <c r="N3" s="102"/>
      <c r="O3" s="102"/>
      <c r="P3" s="102"/>
      <c r="Q3" s="102"/>
      <c r="R3" s="102" t="s">
        <v>418</v>
      </c>
      <c r="S3" s="102"/>
      <c r="T3" s="102" t="s">
        <v>396</v>
      </c>
      <c r="U3" s="102"/>
      <c r="V3" s="102"/>
      <c r="W3" s="102"/>
      <c r="X3" s="102" t="s">
        <v>406</v>
      </c>
      <c r="Y3" s="102"/>
      <c r="Z3" s="102" t="s">
        <v>409</v>
      </c>
      <c r="AA3" s="102"/>
      <c r="AB3" s="102" t="s">
        <v>395</v>
      </c>
    </row>
    <row r="4" spans="1:28" ht="11.25" customHeight="1" x14ac:dyDescent="0.25">
      <c r="A4" s="104"/>
      <c r="B4" s="104"/>
      <c r="C4" s="104"/>
      <c r="D4" s="104"/>
      <c r="E4" s="104"/>
      <c r="F4" s="104"/>
      <c r="G4" s="104"/>
      <c r="H4" s="104"/>
      <c r="I4" s="104"/>
      <c r="J4" s="90"/>
      <c r="L4" s="33" t="s">
        <v>389</v>
      </c>
      <c r="M4" s="33" t="s">
        <v>415</v>
      </c>
      <c r="N4" s="33" t="s">
        <v>416</v>
      </c>
      <c r="O4" s="33" t="s">
        <v>475</v>
      </c>
      <c r="P4" s="33" t="s">
        <v>417</v>
      </c>
      <c r="Q4" s="33" t="s">
        <v>395</v>
      </c>
      <c r="R4" s="33" t="s">
        <v>419</v>
      </c>
      <c r="S4" s="33" t="s">
        <v>395</v>
      </c>
      <c r="T4" s="33" t="s">
        <v>420</v>
      </c>
      <c r="U4" s="33" t="s">
        <v>421</v>
      </c>
      <c r="V4" s="33" t="s">
        <v>422</v>
      </c>
      <c r="W4" s="33" t="s">
        <v>395</v>
      </c>
      <c r="X4" s="33" t="s">
        <v>407</v>
      </c>
      <c r="Y4" s="33" t="s">
        <v>395</v>
      </c>
      <c r="Z4" s="33" t="s">
        <v>423</v>
      </c>
      <c r="AA4" s="33" t="s">
        <v>395</v>
      </c>
      <c r="AB4" s="103"/>
    </row>
    <row r="5" spans="1:28" ht="11.25" customHeight="1" x14ac:dyDescent="0.25">
      <c r="A5" s="105" t="s">
        <v>35</v>
      </c>
      <c r="B5" s="105" t="s">
        <v>71</v>
      </c>
      <c r="C5" s="105" t="s">
        <v>25</v>
      </c>
      <c r="D5" s="105" t="s">
        <v>25</v>
      </c>
      <c r="E5" s="105" t="s">
        <v>25</v>
      </c>
      <c r="F5" s="105" t="s">
        <v>25</v>
      </c>
      <c r="G5" s="32" t="s">
        <v>73</v>
      </c>
      <c r="H5" s="32" t="s">
        <v>72</v>
      </c>
      <c r="I5" s="32">
        <f>'MERCADO TE'!$U$2</f>
        <v>1276.5</v>
      </c>
      <c r="J5" s="15"/>
      <c r="L5" s="29">
        <f>'TE BE'!$L$5*'TE BE'!$L$48</f>
        <v>0</v>
      </c>
      <c r="M5" s="29">
        <f>'TE BE'!$M$5*'TE BE'!$M$48</f>
        <v>0</v>
      </c>
      <c r="N5" s="29">
        <f>'TE BE'!$N$5*'TE BE'!$N$48</f>
        <v>0</v>
      </c>
      <c r="O5" s="29">
        <f>'TE BE'!$O$5*'TE BE'!$O$48</f>
        <v>0</v>
      </c>
      <c r="P5" s="29">
        <f>'TE BE'!$P$5*'TE BE'!$P$48</f>
        <v>0</v>
      </c>
      <c r="Q5" s="29">
        <f>SUM($L$5:$P$5)</f>
        <v>0</v>
      </c>
      <c r="R5" s="29">
        <f>'TE BE'!$R$5*'TE BE'!$R$48</f>
        <v>7.3830752574921021</v>
      </c>
      <c r="S5" s="29">
        <f>SUM($R$5:$R$5)</f>
        <v>7.3830752574921021</v>
      </c>
      <c r="T5" s="29">
        <f>'TE BE'!$T$5*'TE BE'!$T$48</f>
        <v>0</v>
      </c>
      <c r="U5" s="29">
        <f>'TE BE'!$U$5*'TE BE'!$U$48</f>
        <v>0</v>
      </c>
      <c r="V5" s="29">
        <f>'TE BE'!$V$5*'TE BE'!$V$48</f>
        <v>0</v>
      </c>
      <c r="W5" s="29">
        <f>SUM($T$5:$V$5)</f>
        <v>0</v>
      </c>
      <c r="X5" s="29">
        <f>'TE BE'!$AB$5*'TE BE'!$X$48</f>
        <v>0</v>
      </c>
      <c r="Y5" s="29">
        <f>SUM($X$5:$X$5)</f>
        <v>0</v>
      </c>
      <c r="Z5" s="29">
        <f>'TE BE'!$Z$5*'TE BE'!$Z$48</f>
        <v>0</v>
      </c>
      <c r="AA5" s="29">
        <f>SUM($Z$5:$Z$5)</f>
        <v>0</v>
      </c>
      <c r="AB5" s="29">
        <f>SUMIF($L$4:$AA$4,"SUBTOTAL",$L$5:$AA$5)</f>
        <v>7.3830752574921021</v>
      </c>
    </row>
    <row r="6" spans="1:28" ht="11.25" customHeight="1" x14ac:dyDescent="0.25">
      <c r="A6" s="105"/>
      <c r="B6" s="105"/>
      <c r="C6" s="105"/>
      <c r="D6" s="105"/>
      <c r="E6" s="105"/>
      <c r="F6" s="105"/>
      <c r="G6" s="32" t="s">
        <v>74</v>
      </c>
      <c r="H6" s="32" t="s">
        <v>72</v>
      </c>
      <c r="I6" s="32">
        <f>'MERCADO TE'!$U$3</f>
        <v>30799.609</v>
      </c>
      <c r="J6" s="15"/>
      <c r="L6" s="29">
        <f>'TE BE'!$L$6*'TE BE'!$L$48</f>
        <v>0</v>
      </c>
      <c r="M6" s="29">
        <f>'TE BE'!$M$6*'TE BE'!$M$48</f>
        <v>0</v>
      </c>
      <c r="N6" s="29">
        <f>'TE BE'!$N$6*'TE BE'!$N$48</f>
        <v>0</v>
      </c>
      <c r="O6" s="29">
        <f>'TE BE'!$O$6*'TE BE'!$O$48</f>
        <v>0</v>
      </c>
      <c r="P6" s="29">
        <f>'TE BE'!$P$6*'TE BE'!$P$48</f>
        <v>0</v>
      </c>
      <c r="Q6" s="29">
        <f>SUM($L$6:$P$6)</f>
        <v>0</v>
      </c>
      <c r="R6" s="29">
        <f>'TE BE'!$R$6*'TE BE'!$R$48</f>
        <v>7.3830752574921021</v>
      </c>
      <c r="S6" s="29">
        <f>SUM($R$6:$R$6)</f>
        <v>7.3830752574921021</v>
      </c>
      <c r="T6" s="29">
        <f>'TE BE'!$T$6*'TE BE'!$T$48</f>
        <v>0</v>
      </c>
      <c r="U6" s="29">
        <f>'TE BE'!$U$6*'TE BE'!$U$48</f>
        <v>0</v>
      </c>
      <c r="V6" s="29">
        <f>'TE BE'!$V$6*'TE BE'!$V$48</f>
        <v>0</v>
      </c>
      <c r="W6" s="29">
        <f>SUM($T$6:$V$6)</f>
        <v>0</v>
      </c>
      <c r="X6" s="29">
        <f>'TE BE'!$AB$6*'TE BE'!$X$48</f>
        <v>0</v>
      </c>
      <c r="Y6" s="29">
        <f>SUM($X$6:$X$6)</f>
        <v>0</v>
      </c>
      <c r="Z6" s="29">
        <f>'TE BE'!$Z$6*'TE BE'!$Z$48</f>
        <v>0</v>
      </c>
      <c r="AA6" s="29">
        <f>SUM($Z$6:$Z$6)</f>
        <v>0</v>
      </c>
      <c r="AB6" s="29">
        <f>SUMIF($L$4:$AA$4,"SUBTOTAL",$L$6:$AA$6)</f>
        <v>7.3830752574921021</v>
      </c>
    </row>
    <row r="7" spans="1:28" ht="11.25" customHeight="1" x14ac:dyDescent="0.25">
      <c r="A7" s="105" t="s">
        <v>22</v>
      </c>
      <c r="B7" s="105" t="s">
        <v>71</v>
      </c>
      <c r="C7" s="105" t="s">
        <v>24</v>
      </c>
      <c r="D7" s="105" t="s">
        <v>24</v>
      </c>
      <c r="E7" s="105" t="s">
        <v>25</v>
      </c>
      <c r="F7" s="105" t="s">
        <v>25</v>
      </c>
      <c r="G7" s="32" t="s">
        <v>73</v>
      </c>
      <c r="H7" s="32" t="s">
        <v>72</v>
      </c>
      <c r="I7" s="32">
        <f>'MERCADO TE'!$U$4</f>
        <v>0</v>
      </c>
      <c r="J7" s="15"/>
      <c r="L7" s="29">
        <f>'TE BE'!$L$7*'TE BE'!$L$48</f>
        <v>0</v>
      </c>
      <c r="M7" s="29">
        <f>'TE BE'!$M$7*'TE BE'!$M$48</f>
        <v>0</v>
      </c>
      <c r="N7" s="29">
        <f>'TE BE'!$N$7*'TE BE'!$N$48</f>
        <v>0</v>
      </c>
      <c r="O7" s="29">
        <f>'TE BE'!$O$7*'TE BE'!$O$48</f>
        <v>0</v>
      </c>
      <c r="P7" s="29">
        <f>'TE BE'!$P$7*'TE BE'!$P$48</f>
        <v>0</v>
      </c>
      <c r="Q7" s="29">
        <f>SUM($L$7:$P$7)</f>
        <v>0</v>
      </c>
      <c r="R7" s="29">
        <f>'TE BE'!$R$7*'TE BE'!$R$48</f>
        <v>7.3830752574921021</v>
      </c>
      <c r="S7" s="29">
        <f>SUM($R$7:$R$7)</f>
        <v>7.3830752574921021</v>
      </c>
      <c r="T7" s="29">
        <f>'TE BE'!$T$7*'TE BE'!$T$48</f>
        <v>0</v>
      </c>
      <c r="U7" s="29">
        <f>'TE BE'!$U$7*'TE BE'!$U$48</f>
        <v>0</v>
      </c>
      <c r="V7" s="29">
        <f>'TE BE'!$V$7*'TE BE'!$V$48</f>
        <v>0</v>
      </c>
      <c r="W7" s="29">
        <f>SUM($T$7:$V$7)</f>
        <v>0</v>
      </c>
      <c r="X7" s="29">
        <f>'TE BE'!$AB$7*'TE BE'!$X$48</f>
        <v>0</v>
      </c>
      <c r="Y7" s="29">
        <f>SUM($X$7:$X$7)</f>
        <v>0</v>
      </c>
      <c r="Z7" s="29">
        <f>'TE BE'!$Z$7*'TE BE'!$Z$48</f>
        <v>0</v>
      </c>
      <c r="AA7" s="29">
        <f>SUM($Z$7:$Z$7)</f>
        <v>0</v>
      </c>
      <c r="AB7" s="29">
        <f>SUMIF($L$4:$AA$4,"SUBTOTAL",$L$7:$AA$7)</f>
        <v>7.3830752574921021</v>
      </c>
    </row>
    <row r="8" spans="1:28" ht="11.25" customHeight="1" x14ac:dyDescent="0.25">
      <c r="A8" s="105"/>
      <c r="B8" s="105"/>
      <c r="C8" s="105"/>
      <c r="D8" s="105"/>
      <c r="E8" s="105"/>
      <c r="F8" s="105"/>
      <c r="G8" s="32" t="s">
        <v>83</v>
      </c>
      <c r="H8" s="32" t="s">
        <v>72</v>
      </c>
      <c r="I8" s="32">
        <f>'MERCADO TE'!$U$5</f>
        <v>0</v>
      </c>
      <c r="J8" s="15"/>
      <c r="L8" s="29">
        <f>'TE BE'!$L$8*'TE BE'!$L$48</f>
        <v>0</v>
      </c>
      <c r="M8" s="29">
        <f>'TE BE'!$M$8*'TE BE'!$M$48</f>
        <v>0</v>
      </c>
      <c r="N8" s="29">
        <f>'TE BE'!$N$8*'TE BE'!$N$48</f>
        <v>0</v>
      </c>
      <c r="O8" s="29">
        <f>'TE BE'!$O$8*'TE BE'!$O$48</f>
        <v>0</v>
      </c>
      <c r="P8" s="29">
        <f>'TE BE'!$P$8*'TE BE'!$P$48</f>
        <v>0</v>
      </c>
      <c r="Q8" s="29">
        <f>SUM($L$8:$P$8)</f>
        <v>0</v>
      </c>
      <c r="R8" s="29">
        <f>'TE BE'!$R$8*'TE BE'!$R$48</f>
        <v>7.3830752574921021</v>
      </c>
      <c r="S8" s="29">
        <f>SUM($R$8:$R$8)</f>
        <v>7.3830752574921021</v>
      </c>
      <c r="T8" s="29">
        <f>'TE BE'!$T$8*'TE BE'!$T$48</f>
        <v>0</v>
      </c>
      <c r="U8" s="29">
        <f>'TE BE'!$U$8*'TE BE'!$U$48</f>
        <v>0</v>
      </c>
      <c r="V8" s="29">
        <f>'TE BE'!$V$8*'TE BE'!$V$48</f>
        <v>0</v>
      </c>
      <c r="W8" s="29">
        <f>SUM($T$8:$V$8)</f>
        <v>0</v>
      </c>
      <c r="X8" s="29">
        <f>'TE BE'!$AB$8*'TE BE'!$X$48</f>
        <v>0</v>
      </c>
      <c r="Y8" s="29">
        <f>SUM($X$8:$X$8)</f>
        <v>0</v>
      </c>
      <c r="Z8" s="29">
        <f>'TE BE'!$Z$8*'TE BE'!$Z$48</f>
        <v>0</v>
      </c>
      <c r="AA8" s="29">
        <f>SUM($Z$8:$Z$8)</f>
        <v>0</v>
      </c>
      <c r="AB8" s="29">
        <f>SUMIF($L$4:$AA$4,"SUBTOTAL",$L$8:$AA$8)</f>
        <v>7.3830752574921021</v>
      </c>
    </row>
    <row r="9" spans="1:28" ht="11.25" customHeight="1" x14ac:dyDescent="0.25">
      <c r="A9" s="105"/>
      <c r="B9" s="105"/>
      <c r="C9" s="105"/>
      <c r="D9" s="105"/>
      <c r="E9" s="105"/>
      <c r="F9" s="105"/>
      <c r="G9" s="32" t="s">
        <v>74</v>
      </c>
      <c r="H9" s="32" t="s">
        <v>72</v>
      </c>
      <c r="I9" s="32">
        <f>'MERCADO TE'!$U$6</f>
        <v>0</v>
      </c>
      <c r="J9" s="15"/>
      <c r="L9" s="29">
        <f>'TE BE'!$L$9*'TE BE'!$L$48</f>
        <v>0</v>
      </c>
      <c r="M9" s="29">
        <f>'TE BE'!$M$9*'TE BE'!$M$48</f>
        <v>0</v>
      </c>
      <c r="N9" s="29">
        <f>'TE BE'!$N$9*'TE BE'!$N$48</f>
        <v>0</v>
      </c>
      <c r="O9" s="29">
        <f>'TE BE'!$O$9*'TE BE'!$O$48</f>
        <v>0</v>
      </c>
      <c r="P9" s="29">
        <f>'TE BE'!$P$9*'TE BE'!$P$48</f>
        <v>0</v>
      </c>
      <c r="Q9" s="29">
        <f>SUM($L$9:$P$9)</f>
        <v>0</v>
      </c>
      <c r="R9" s="29">
        <f>'TE BE'!$R$9*'TE BE'!$R$48</f>
        <v>7.3830752574921021</v>
      </c>
      <c r="S9" s="29">
        <f>SUM($R$9:$R$9)</f>
        <v>7.3830752574921021</v>
      </c>
      <c r="T9" s="29">
        <f>'TE BE'!$T$9*'TE BE'!$T$48</f>
        <v>0</v>
      </c>
      <c r="U9" s="29">
        <f>'TE BE'!$U$9*'TE BE'!$U$48</f>
        <v>0</v>
      </c>
      <c r="V9" s="29">
        <f>'TE BE'!$V$9*'TE BE'!$V$48</f>
        <v>0</v>
      </c>
      <c r="W9" s="29">
        <f>SUM($T$9:$V$9)</f>
        <v>0</v>
      </c>
      <c r="X9" s="29">
        <f>'TE BE'!$AB$9*'TE BE'!$X$48</f>
        <v>0</v>
      </c>
      <c r="Y9" s="29">
        <f>SUM($X$9:$X$9)</f>
        <v>0</v>
      </c>
      <c r="Z9" s="29">
        <f>'TE BE'!$Z$9*'TE BE'!$Z$48</f>
        <v>0</v>
      </c>
      <c r="AA9" s="29">
        <f>SUM($Z$9:$Z$9)</f>
        <v>0</v>
      </c>
      <c r="AB9" s="29">
        <f>SUMIF($L$4:$AA$4,"SUBTOTAL",$L$9:$AA$9)</f>
        <v>7.3830752574921021</v>
      </c>
    </row>
    <row r="10" spans="1:28" ht="11.25" customHeight="1" x14ac:dyDescent="0.25">
      <c r="A10" s="105"/>
      <c r="B10" s="105" t="s">
        <v>84</v>
      </c>
      <c r="C10" s="105" t="s">
        <v>24</v>
      </c>
      <c r="D10" s="31" t="s">
        <v>24</v>
      </c>
      <c r="E10" s="31" t="s">
        <v>25</v>
      </c>
      <c r="F10" s="31" t="s">
        <v>25</v>
      </c>
      <c r="G10" s="32" t="s">
        <v>78</v>
      </c>
      <c r="H10" s="32" t="s">
        <v>72</v>
      </c>
      <c r="I10" s="32">
        <f>'MERCADO TE'!$U$7</f>
        <v>11694.771999999999</v>
      </c>
      <c r="J10" s="15"/>
      <c r="L10" s="29">
        <f>'TE BE'!$L$10*'TE BE'!$L$48</f>
        <v>0</v>
      </c>
      <c r="M10" s="29">
        <f>'TE BE'!$M$10*'TE BE'!$M$48</f>
        <v>0</v>
      </c>
      <c r="N10" s="29">
        <f>'TE BE'!$N$10*'TE BE'!$N$48</f>
        <v>0</v>
      </c>
      <c r="O10" s="29">
        <f>'TE BE'!$O$10*'TE BE'!$O$48</f>
        <v>0</v>
      </c>
      <c r="P10" s="29">
        <f>'TE BE'!$P$10*'TE BE'!$P$48</f>
        <v>0</v>
      </c>
      <c r="Q10" s="29">
        <f>SUM($L$10:$P$10)</f>
        <v>0</v>
      </c>
      <c r="R10" s="29">
        <f>'TE BE'!$R$10*'TE BE'!$R$48</f>
        <v>7.3830752574921021</v>
      </c>
      <c r="S10" s="29">
        <f>SUM($R$10:$R$10)</f>
        <v>7.3830752574921021</v>
      </c>
      <c r="T10" s="29">
        <f>'TE BE'!$T$10*'TE BE'!$T$48</f>
        <v>0</v>
      </c>
      <c r="U10" s="29">
        <f>'TE BE'!$U$10*'TE BE'!$U$48</f>
        <v>0</v>
      </c>
      <c r="V10" s="29">
        <f>'TE BE'!$V$10*'TE BE'!$V$48</f>
        <v>0</v>
      </c>
      <c r="W10" s="29">
        <f>SUM($T$10:$V$10)</f>
        <v>0</v>
      </c>
      <c r="X10" s="29">
        <f>'TE BE'!$AB$10*'TE BE'!$X$48</f>
        <v>0</v>
      </c>
      <c r="Y10" s="29">
        <f>SUM($X$10:$X$10)</f>
        <v>0</v>
      </c>
      <c r="Z10" s="29">
        <f>'TE BE'!$Z$10*'TE BE'!$Z$48</f>
        <v>0</v>
      </c>
      <c r="AA10" s="29">
        <f>SUM($Z$10:$Z$10)</f>
        <v>0</v>
      </c>
      <c r="AB10" s="29">
        <f>SUMIF($L$4:$AA$4,"SUBTOTAL",$L$10:$AA$10)</f>
        <v>7.3830752574921021</v>
      </c>
    </row>
    <row r="11" spans="1:28" ht="11.25" customHeight="1" x14ac:dyDescent="0.25">
      <c r="A11" s="105"/>
      <c r="B11" s="105"/>
      <c r="C11" s="105"/>
      <c r="D11" s="31" t="s">
        <v>29</v>
      </c>
      <c r="E11" s="31" t="s">
        <v>25</v>
      </c>
      <c r="F11" s="31" t="s">
        <v>25</v>
      </c>
      <c r="G11" s="32" t="s">
        <v>78</v>
      </c>
      <c r="H11" s="32" t="s">
        <v>72</v>
      </c>
      <c r="I11" s="32">
        <f>'MERCADO TE'!$U$8</f>
        <v>30.416</v>
      </c>
      <c r="J11" s="15"/>
      <c r="L11" s="29">
        <f>'TE BE'!$L$11*'TE BE'!$L$48</f>
        <v>0</v>
      </c>
      <c r="M11" s="29">
        <f>'TE BE'!$M$11*'TE BE'!$M$48</f>
        <v>0</v>
      </c>
      <c r="N11" s="29">
        <f>'TE BE'!$N$11*'TE BE'!$N$48</f>
        <v>0</v>
      </c>
      <c r="O11" s="29">
        <f>'TE BE'!$O$11*'TE BE'!$O$48</f>
        <v>0</v>
      </c>
      <c r="P11" s="29">
        <f>'TE BE'!$P$11*'TE BE'!$P$48</f>
        <v>0</v>
      </c>
      <c r="Q11" s="29">
        <f>SUM($L$11:$P$11)</f>
        <v>0</v>
      </c>
      <c r="R11" s="29">
        <f>'TE BE'!$R$11*'TE BE'!$R$48</f>
        <v>7.3830752574921021</v>
      </c>
      <c r="S11" s="29">
        <f>SUM($R$11:$R$11)</f>
        <v>7.3830752574921021</v>
      </c>
      <c r="T11" s="29">
        <f>'TE BE'!$T$11*'TE BE'!$T$48</f>
        <v>0</v>
      </c>
      <c r="U11" s="29">
        <f>'TE BE'!$U$11*'TE BE'!$U$48</f>
        <v>0</v>
      </c>
      <c r="V11" s="29">
        <f>'TE BE'!$V$11*'TE BE'!$V$48</f>
        <v>0</v>
      </c>
      <c r="W11" s="29">
        <f>SUM($T$11:$V$11)</f>
        <v>0</v>
      </c>
      <c r="X11" s="29">
        <f>'TE BE'!$AB$11*'TE BE'!$X$48</f>
        <v>0</v>
      </c>
      <c r="Y11" s="29">
        <f>SUM($X$11:$X$11)</f>
        <v>0</v>
      </c>
      <c r="Z11" s="29">
        <f>'TE BE'!$Z$11*'TE BE'!$Z$48</f>
        <v>0</v>
      </c>
      <c r="AA11" s="29">
        <f>SUM($Z$11:$Z$11)</f>
        <v>0</v>
      </c>
      <c r="AB11" s="29">
        <f>SUMIF($L$4:$AA$4,"SUBTOTAL",$L$11:$AA$11)</f>
        <v>7.3830752574921021</v>
      </c>
    </row>
    <row r="12" spans="1:28" ht="11.25" customHeight="1" x14ac:dyDescent="0.25">
      <c r="A12" s="105"/>
      <c r="B12" s="105"/>
      <c r="C12" s="105"/>
      <c r="D12" s="31" t="s">
        <v>30</v>
      </c>
      <c r="E12" s="31" t="s">
        <v>25</v>
      </c>
      <c r="F12" s="31" t="s">
        <v>25</v>
      </c>
      <c r="G12" s="32" t="s">
        <v>78</v>
      </c>
      <c r="H12" s="32" t="s">
        <v>72</v>
      </c>
      <c r="I12" s="32">
        <f>'MERCADO TE'!$U$9</f>
        <v>60.935000000000002</v>
      </c>
      <c r="J12" s="15"/>
      <c r="L12" s="29">
        <f>'TE BE'!$L$12*'TE BE'!$L$48</f>
        <v>0</v>
      </c>
      <c r="M12" s="29">
        <f>'TE BE'!$M$12*'TE BE'!$M$48</f>
        <v>0</v>
      </c>
      <c r="N12" s="29">
        <f>'TE BE'!$N$12*'TE BE'!$N$48</f>
        <v>0</v>
      </c>
      <c r="O12" s="29">
        <f>'TE BE'!$O$12*'TE BE'!$O$48</f>
        <v>0</v>
      </c>
      <c r="P12" s="29">
        <f>'TE BE'!$P$12*'TE BE'!$P$48</f>
        <v>0</v>
      </c>
      <c r="Q12" s="29">
        <f>SUM($L$12:$P$12)</f>
        <v>0</v>
      </c>
      <c r="R12" s="29">
        <f>'TE BE'!$R$12*'TE BE'!$R$48</f>
        <v>7.3830752574921021</v>
      </c>
      <c r="S12" s="29">
        <f>SUM($R$12:$R$12)</f>
        <v>7.3830752574921021</v>
      </c>
      <c r="T12" s="29">
        <f>'TE BE'!$T$12*'TE BE'!$T$48</f>
        <v>0</v>
      </c>
      <c r="U12" s="29">
        <f>'TE BE'!$U$12*'TE BE'!$U$48</f>
        <v>0</v>
      </c>
      <c r="V12" s="29">
        <f>'TE BE'!$V$12*'TE BE'!$V$48</f>
        <v>0</v>
      </c>
      <c r="W12" s="29">
        <f>SUM($T$12:$V$12)</f>
        <v>0</v>
      </c>
      <c r="X12" s="29">
        <f>'TE BE'!$AB$12*'TE BE'!$X$48</f>
        <v>0</v>
      </c>
      <c r="Y12" s="29">
        <f>SUM($X$12:$X$12)</f>
        <v>0</v>
      </c>
      <c r="Z12" s="29">
        <f>'TE BE'!$Z$12*'TE BE'!$Z$48</f>
        <v>0</v>
      </c>
      <c r="AA12" s="29">
        <f>SUM($Z$12:$Z$12)</f>
        <v>0</v>
      </c>
      <c r="AB12" s="29">
        <f>SUMIF($L$4:$AA$4,"SUBTOTAL",$L$12:$AA$12)</f>
        <v>7.3830752574921021</v>
      </c>
    </row>
    <row r="13" spans="1:28" ht="11.25" customHeight="1" x14ac:dyDescent="0.25">
      <c r="A13" s="105"/>
      <c r="B13" s="105"/>
      <c r="C13" s="105"/>
      <c r="D13" s="31" t="s">
        <v>31</v>
      </c>
      <c r="E13" s="31" t="s">
        <v>25</v>
      </c>
      <c r="F13" s="31" t="s">
        <v>25</v>
      </c>
      <c r="G13" s="32" t="s">
        <v>78</v>
      </c>
      <c r="H13" s="32" t="s">
        <v>72</v>
      </c>
      <c r="I13" s="32">
        <f>'MERCADO TE'!$U$10</f>
        <v>58.873999999999995</v>
      </c>
      <c r="J13" s="15"/>
      <c r="L13" s="29">
        <f>'TE BE'!$L$13*'TE BE'!$L$48</f>
        <v>0</v>
      </c>
      <c r="M13" s="29">
        <f>'TE BE'!$M$13*'TE BE'!$M$48</f>
        <v>0</v>
      </c>
      <c r="N13" s="29">
        <f>'TE BE'!$N$13*'TE BE'!$N$48</f>
        <v>0</v>
      </c>
      <c r="O13" s="29">
        <f>'TE BE'!$O$13*'TE BE'!$O$48</f>
        <v>0</v>
      </c>
      <c r="P13" s="29">
        <f>'TE BE'!$P$13*'TE BE'!$P$48</f>
        <v>0</v>
      </c>
      <c r="Q13" s="29">
        <f>SUM($L$13:$P$13)</f>
        <v>0</v>
      </c>
      <c r="R13" s="29">
        <f>'TE BE'!$R$13*'TE BE'!$R$48</f>
        <v>7.3830752574921021</v>
      </c>
      <c r="S13" s="29">
        <f>SUM($R$13:$R$13)</f>
        <v>7.3830752574921021</v>
      </c>
      <c r="T13" s="29">
        <f>'TE BE'!$T$13*'TE BE'!$T$48</f>
        <v>0</v>
      </c>
      <c r="U13" s="29">
        <f>'TE BE'!$U$13*'TE BE'!$U$48</f>
        <v>0</v>
      </c>
      <c r="V13" s="29">
        <f>'TE BE'!$V$13*'TE BE'!$V$48</f>
        <v>0</v>
      </c>
      <c r="W13" s="29">
        <f>SUM($T$13:$V$13)</f>
        <v>0</v>
      </c>
      <c r="X13" s="29">
        <f>'TE BE'!$AB$13*'TE BE'!$X$48</f>
        <v>0</v>
      </c>
      <c r="Y13" s="29">
        <f>SUM($X$13:$X$13)</f>
        <v>0</v>
      </c>
      <c r="Z13" s="29">
        <f>'TE BE'!$Z$13*'TE BE'!$Z$48</f>
        <v>0</v>
      </c>
      <c r="AA13" s="29">
        <f>SUM($Z$13:$Z$13)</f>
        <v>0</v>
      </c>
      <c r="AB13" s="29">
        <f>SUMIF($L$4:$AA$4,"SUBTOTAL",$L$13:$AA$13)</f>
        <v>7.3830752574921021</v>
      </c>
    </row>
    <row r="14" spans="1:28" ht="11.25" customHeight="1" x14ac:dyDescent="0.25">
      <c r="A14" s="105"/>
      <c r="B14" s="105"/>
      <c r="C14" s="105"/>
      <c r="D14" s="31" t="s">
        <v>32</v>
      </c>
      <c r="E14" s="31" t="s">
        <v>25</v>
      </c>
      <c r="F14" s="31" t="s">
        <v>25</v>
      </c>
      <c r="G14" s="32" t="s">
        <v>78</v>
      </c>
      <c r="H14" s="32" t="s">
        <v>72</v>
      </c>
      <c r="I14" s="32">
        <f>'MERCADO TE'!$U$11</f>
        <v>22.426000000000002</v>
      </c>
      <c r="J14" s="15"/>
      <c r="L14" s="29">
        <f>'TE BE'!$L$14*'TE BE'!$L$48</f>
        <v>0</v>
      </c>
      <c r="M14" s="29">
        <f>'TE BE'!$M$14*'TE BE'!$M$48</f>
        <v>0</v>
      </c>
      <c r="N14" s="29">
        <f>'TE BE'!$N$14*'TE BE'!$N$48</f>
        <v>0</v>
      </c>
      <c r="O14" s="29">
        <f>'TE BE'!$O$14*'TE BE'!$O$48</f>
        <v>0</v>
      </c>
      <c r="P14" s="29">
        <f>'TE BE'!$P$14*'TE BE'!$P$48</f>
        <v>0</v>
      </c>
      <c r="Q14" s="29">
        <f>SUM($L$14:$P$14)</f>
        <v>0</v>
      </c>
      <c r="R14" s="29">
        <f>'TE BE'!$R$14*'TE BE'!$R$48</f>
        <v>7.3830752574921021</v>
      </c>
      <c r="S14" s="29">
        <f>SUM($R$14:$R$14)</f>
        <v>7.3830752574921021</v>
      </c>
      <c r="T14" s="29">
        <f>'TE BE'!$T$14*'TE BE'!$T$48</f>
        <v>0</v>
      </c>
      <c r="U14" s="29">
        <f>'TE BE'!$U$14*'TE BE'!$U$48</f>
        <v>0</v>
      </c>
      <c r="V14" s="29">
        <f>'TE BE'!$V$14*'TE BE'!$V$48</f>
        <v>0</v>
      </c>
      <c r="W14" s="29">
        <f>SUM($T$14:$V$14)</f>
        <v>0</v>
      </c>
      <c r="X14" s="29">
        <f>'TE BE'!$AB$14*'TE BE'!$X$48</f>
        <v>0</v>
      </c>
      <c r="Y14" s="29">
        <f>SUM($X$14:$X$14)</f>
        <v>0</v>
      </c>
      <c r="Z14" s="29">
        <f>'TE BE'!$Z$14*'TE BE'!$Z$48</f>
        <v>0</v>
      </c>
      <c r="AA14" s="29">
        <f>SUM($Z$14:$Z$14)</f>
        <v>0</v>
      </c>
      <c r="AB14" s="29">
        <f>SUMIF($L$4:$AA$4,"SUBTOTAL",$L$14:$AA$14)</f>
        <v>7.3830752574921021</v>
      </c>
    </row>
    <row r="15" spans="1:28" ht="11.25" customHeight="1" x14ac:dyDescent="0.25">
      <c r="A15" s="105"/>
      <c r="B15" s="105" t="s">
        <v>86</v>
      </c>
      <c r="C15" s="105" t="s">
        <v>24</v>
      </c>
      <c r="D15" s="31" t="s">
        <v>24</v>
      </c>
      <c r="E15" s="31" t="s">
        <v>25</v>
      </c>
      <c r="F15" s="31" t="s">
        <v>25</v>
      </c>
      <c r="G15" s="32" t="s">
        <v>78</v>
      </c>
      <c r="H15" s="32" t="s">
        <v>72</v>
      </c>
      <c r="I15" s="32">
        <f>'MERCADO TE'!$U$12</f>
        <v>0</v>
      </c>
      <c r="J15" s="15"/>
      <c r="L15" s="29">
        <f>'TE BE'!$L$15*'TE BE'!$L$48</f>
        <v>0</v>
      </c>
      <c r="M15" s="29">
        <f>'TE BE'!$M$15*'TE BE'!$M$48</f>
        <v>0</v>
      </c>
      <c r="N15" s="29">
        <f>'TE BE'!$N$15*'TE BE'!$N$48</f>
        <v>0</v>
      </c>
      <c r="O15" s="29">
        <f>'TE BE'!$O$15*'TE BE'!$O$48</f>
        <v>0</v>
      </c>
      <c r="P15" s="29">
        <f>'TE BE'!$P$15*'TE BE'!$P$48</f>
        <v>0</v>
      </c>
      <c r="Q15" s="29">
        <f>SUM($L$15:$P$15)</f>
        <v>0</v>
      </c>
      <c r="R15" s="29">
        <f>'TE BE'!$R$15*'TE BE'!$R$48</f>
        <v>7.3830752574921021</v>
      </c>
      <c r="S15" s="29">
        <f>SUM($R$15:$R$15)</f>
        <v>7.3830752574921021</v>
      </c>
      <c r="T15" s="29">
        <f>'TE BE'!$T$15*'TE BE'!$T$48</f>
        <v>0</v>
      </c>
      <c r="U15" s="29">
        <f>'TE BE'!$U$15*'TE BE'!$U$48</f>
        <v>0</v>
      </c>
      <c r="V15" s="29">
        <f>'TE BE'!$V$15*'TE BE'!$V$48</f>
        <v>0</v>
      </c>
      <c r="W15" s="29">
        <f>SUM($T$15:$V$15)</f>
        <v>0</v>
      </c>
      <c r="X15" s="29">
        <f>'TE BE'!$AB$15*'TE BE'!$X$48</f>
        <v>0</v>
      </c>
      <c r="Y15" s="29">
        <f>SUM($X$15:$X$15)</f>
        <v>0</v>
      </c>
      <c r="Z15" s="29">
        <f>'TE BE'!$Z$15*'TE BE'!$Z$48</f>
        <v>0</v>
      </c>
      <c r="AA15" s="29">
        <f>SUM($Z$15:$Z$15)</f>
        <v>0</v>
      </c>
      <c r="AB15" s="29">
        <f>SUMIF($L$4:$AA$4,"SUBTOTAL",$L$15:$AA$15)</f>
        <v>7.3830752574921021</v>
      </c>
    </row>
    <row r="16" spans="1:28" ht="11.25" customHeight="1" x14ac:dyDescent="0.25">
      <c r="A16" s="105"/>
      <c r="B16" s="105"/>
      <c r="C16" s="105"/>
      <c r="D16" s="31" t="s">
        <v>29</v>
      </c>
      <c r="E16" s="31" t="s">
        <v>25</v>
      </c>
      <c r="F16" s="31" t="s">
        <v>25</v>
      </c>
      <c r="G16" s="32" t="s">
        <v>78</v>
      </c>
      <c r="H16" s="32" t="s">
        <v>72</v>
      </c>
      <c r="I16" s="32">
        <f>'MERCADO TE'!$U$13</f>
        <v>0</v>
      </c>
      <c r="J16" s="15"/>
      <c r="L16" s="29">
        <f>'TE BE'!$L$16*'TE BE'!$L$48</f>
        <v>0</v>
      </c>
      <c r="M16" s="29">
        <f>'TE BE'!$M$16*'TE BE'!$M$48</f>
        <v>0</v>
      </c>
      <c r="N16" s="29">
        <f>'TE BE'!$N$16*'TE BE'!$N$48</f>
        <v>0</v>
      </c>
      <c r="O16" s="29">
        <f>'TE BE'!$O$16*'TE BE'!$O$48</f>
        <v>0</v>
      </c>
      <c r="P16" s="29">
        <f>'TE BE'!$P$16*'TE BE'!$P$48</f>
        <v>0</v>
      </c>
      <c r="Q16" s="29">
        <f>SUM($L$16:$P$16)</f>
        <v>0</v>
      </c>
      <c r="R16" s="29">
        <f>'TE BE'!$R$16*'TE BE'!$R$48</f>
        <v>7.3830752574921021</v>
      </c>
      <c r="S16" s="29">
        <f>SUM($R$16:$R$16)</f>
        <v>7.3830752574921021</v>
      </c>
      <c r="T16" s="29">
        <f>'TE BE'!$T$16*'TE BE'!$T$48</f>
        <v>0</v>
      </c>
      <c r="U16" s="29">
        <f>'TE BE'!$U$16*'TE BE'!$U$48</f>
        <v>0</v>
      </c>
      <c r="V16" s="29">
        <f>'TE BE'!$V$16*'TE BE'!$V$48</f>
        <v>0</v>
      </c>
      <c r="W16" s="29">
        <f>SUM($T$16:$V$16)</f>
        <v>0</v>
      </c>
      <c r="X16" s="29">
        <f>'TE BE'!$AB$16*'TE BE'!$X$48</f>
        <v>0</v>
      </c>
      <c r="Y16" s="29">
        <f>SUM($X$16:$X$16)</f>
        <v>0</v>
      </c>
      <c r="Z16" s="29">
        <f>'TE BE'!$Z$16*'TE BE'!$Z$48</f>
        <v>0</v>
      </c>
      <c r="AA16" s="29">
        <f>SUM($Z$16:$Z$16)</f>
        <v>0</v>
      </c>
      <c r="AB16" s="29">
        <f>SUMIF($L$4:$AA$4,"SUBTOTAL",$L$16:$AA$16)</f>
        <v>7.3830752574921021</v>
      </c>
    </row>
    <row r="17" spans="1:28" ht="11.25" customHeight="1" x14ac:dyDescent="0.25">
      <c r="A17" s="105"/>
      <c r="B17" s="105"/>
      <c r="C17" s="105"/>
      <c r="D17" s="31" t="s">
        <v>30</v>
      </c>
      <c r="E17" s="31" t="s">
        <v>25</v>
      </c>
      <c r="F17" s="31" t="s">
        <v>25</v>
      </c>
      <c r="G17" s="32" t="s">
        <v>78</v>
      </c>
      <c r="H17" s="32" t="s">
        <v>72</v>
      </c>
      <c r="I17" s="32">
        <f>'MERCADO TE'!$U$14</f>
        <v>0</v>
      </c>
      <c r="J17" s="15"/>
      <c r="L17" s="29">
        <f>'TE BE'!$L$17*'TE BE'!$L$48</f>
        <v>0</v>
      </c>
      <c r="M17" s="29">
        <f>'TE BE'!$M$17*'TE BE'!$M$48</f>
        <v>0</v>
      </c>
      <c r="N17" s="29">
        <f>'TE BE'!$N$17*'TE BE'!$N$48</f>
        <v>0</v>
      </c>
      <c r="O17" s="29">
        <f>'TE BE'!$O$17*'TE BE'!$O$48</f>
        <v>0</v>
      </c>
      <c r="P17" s="29">
        <f>'TE BE'!$P$17*'TE BE'!$P$48</f>
        <v>0</v>
      </c>
      <c r="Q17" s="29">
        <f>SUM($L$17:$P$17)</f>
        <v>0</v>
      </c>
      <c r="R17" s="29">
        <f>'TE BE'!$R$17*'TE BE'!$R$48</f>
        <v>7.3830752574921021</v>
      </c>
      <c r="S17" s="29">
        <f>SUM($R$17:$R$17)</f>
        <v>7.3830752574921021</v>
      </c>
      <c r="T17" s="29">
        <f>'TE BE'!$T$17*'TE BE'!$T$48</f>
        <v>0</v>
      </c>
      <c r="U17" s="29">
        <f>'TE BE'!$U$17*'TE BE'!$U$48</f>
        <v>0</v>
      </c>
      <c r="V17" s="29">
        <f>'TE BE'!$V$17*'TE BE'!$V$48</f>
        <v>0</v>
      </c>
      <c r="W17" s="29">
        <f>SUM($T$17:$V$17)</f>
        <v>0</v>
      </c>
      <c r="X17" s="29">
        <f>'TE BE'!$AB$17*'TE BE'!$X$48</f>
        <v>0</v>
      </c>
      <c r="Y17" s="29">
        <f>SUM($X$17:$X$17)</f>
        <v>0</v>
      </c>
      <c r="Z17" s="29">
        <f>'TE BE'!$Z$17*'TE BE'!$Z$48</f>
        <v>0</v>
      </c>
      <c r="AA17" s="29">
        <f>SUM($Z$17:$Z$17)</f>
        <v>0</v>
      </c>
      <c r="AB17" s="29">
        <f>SUMIF($L$4:$AA$4,"SUBTOTAL",$L$17:$AA$17)</f>
        <v>7.3830752574921021</v>
      </c>
    </row>
    <row r="18" spans="1:28" ht="11.25" customHeight="1" x14ac:dyDescent="0.25">
      <c r="A18" s="105"/>
      <c r="B18" s="105"/>
      <c r="C18" s="105"/>
      <c r="D18" s="31" t="s">
        <v>31</v>
      </c>
      <c r="E18" s="31" t="s">
        <v>25</v>
      </c>
      <c r="F18" s="31" t="s">
        <v>25</v>
      </c>
      <c r="G18" s="32" t="s">
        <v>78</v>
      </c>
      <c r="H18" s="32" t="s">
        <v>72</v>
      </c>
      <c r="I18" s="32">
        <f>'MERCADO TE'!$U$15</f>
        <v>0</v>
      </c>
      <c r="J18" s="15"/>
      <c r="L18" s="29">
        <f>'TE BE'!$L$18*'TE BE'!$L$48</f>
        <v>0</v>
      </c>
      <c r="M18" s="29">
        <f>'TE BE'!$M$18*'TE BE'!$M$48</f>
        <v>0</v>
      </c>
      <c r="N18" s="29">
        <f>'TE BE'!$N$18*'TE BE'!$N$48</f>
        <v>0</v>
      </c>
      <c r="O18" s="29">
        <f>'TE BE'!$O$18*'TE BE'!$O$48</f>
        <v>0</v>
      </c>
      <c r="P18" s="29">
        <f>'TE BE'!$P$18*'TE BE'!$P$48</f>
        <v>0</v>
      </c>
      <c r="Q18" s="29">
        <f>SUM($L$18:$P$18)</f>
        <v>0</v>
      </c>
      <c r="R18" s="29">
        <f>'TE BE'!$R$18*'TE BE'!$R$48</f>
        <v>7.3830752574921021</v>
      </c>
      <c r="S18" s="29">
        <f>SUM($R$18:$R$18)</f>
        <v>7.3830752574921021</v>
      </c>
      <c r="T18" s="29">
        <f>'TE BE'!$T$18*'TE BE'!$T$48</f>
        <v>0</v>
      </c>
      <c r="U18" s="29">
        <f>'TE BE'!$U$18*'TE BE'!$U$48</f>
        <v>0</v>
      </c>
      <c r="V18" s="29">
        <f>'TE BE'!$V$18*'TE BE'!$V$48</f>
        <v>0</v>
      </c>
      <c r="W18" s="29">
        <f>SUM($T$18:$V$18)</f>
        <v>0</v>
      </c>
      <c r="X18" s="29">
        <f>'TE BE'!$AB$18*'TE BE'!$X$48</f>
        <v>0</v>
      </c>
      <c r="Y18" s="29">
        <f>SUM($X$18:$X$18)</f>
        <v>0</v>
      </c>
      <c r="Z18" s="29">
        <f>'TE BE'!$Z$18*'TE BE'!$Z$48</f>
        <v>0</v>
      </c>
      <c r="AA18" s="29">
        <f>SUM($Z$18:$Z$18)</f>
        <v>0</v>
      </c>
      <c r="AB18" s="29">
        <f>SUMIF($L$4:$AA$4,"SUBTOTAL",$L$18:$AA$18)</f>
        <v>7.3830752574921021</v>
      </c>
    </row>
    <row r="19" spans="1:28" ht="11.25" customHeight="1" x14ac:dyDescent="0.25">
      <c r="A19" s="105"/>
      <c r="B19" s="105"/>
      <c r="C19" s="105"/>
      <c r="D19" s="31" t="s">
        <v>32</v>
      </c>
      <c r="E19" s="31" t="s">
        <v>25</v>
      </c>
      <c r="F19" s="31" t="s">
        <v>25</v>
      </c>
      <c r="G19" s="32" t="s">
        <v>78</v>
      </c>
      <c r="H19" s="32" t="s">
        <v>72</v>
      </c>
      <c r="I19" s="32">
        <f>'MERCADO TE'!$U$16</f>
        <v>0</v>
      </c>
      <c r="J19" s="15"/>
      <c r="L19" s="29">
        <f>'TE BE'!$L$19*'TE BE'!$L$48</f>
        <v>0</v>
      </c>
      <c r="M19" s="29">
        <f>'TE BE'!$M$19*'TE BE'!$M$48</f>
        <v>0</v>
      </c>
      <c r="N19" s="29">
        <f>'TE BE'!$N$19*'TE BE'!$N$48</f>
        <v>0</v>
      </c>
      <c r="O19" s="29">
        <f>'TE BE'!$O$19*'TE BE'!$O$48</f>
        <v>0</v>
      </c>
      <c r="P19" s="29">
        <f>'TE BE'!$P$19*'TE BE'!$P$48</f>
        <v>0</v>
      </c>
      <c r="Q19" s="29">
        <f>SUM($L$19:$P$19)</f>
        <v>0</v>
      </c>
      <c r="R19" s="29">
        <f>'TE BE'!$R$19*'TE BE'!$R$48</f>
        <v>7.3830752574921021</v>
      </c>
      <c r="S19" s="29">
        <f>SUM($R$19:$R$19)</f>
        <v>7.3830752574921021</v>
      </c>
      <c r="T19" s="29">
        <f>'TE BE'!$T$19*'TE BE'!$T$48</f>
        <v>0</v>
      </c>
      <c r="U19" s="29">
        <f>'TE BE'!$U$19*'TE BE'!$U$48</f>
        <v>0</v>
      </c>
      <c r="V19" s="29">
        <f>'TE BE'!$V$19*'TE BE'!$V$48</f>
        <v>0</v>
      </c>
      <c r="W19" s="29">
        <f>SUM($T$19:$V$19)</f>
        <v>0</v>
      </c>
      <c r="X19" s="29">
        <f>'TE BE'!$AB$19*'TE BE'!$X$48</f>
        <v>0</v>
      </c>
      <c r="Y19" s="29">
        <f>SUM($X$19:$X$19)</f>
        <v>0</v>
      </c>
      <c r="Z19" s="29">
        <f>'TE BE'!$Z$19*'TE BE'!$Z$48</f>
        <v>0</v>
      </c>
      <c r="AA19" s="29">
        <f>SUM($Z$19:$Z$19)</f>
        <v>0</v>
      </c>
      <c r="AB19" s="29">
        <f>SUMIF($L$4:$AA$4,"SUBTOTAL",$L$19:$AA$19)</f>
        <v>7.3830752574921021</v>
      </c>
    </row>
    <row r="20" spans="1:28" ht="11.25" customHeight="1" x14ac:dyDescent="0.25">
      <c r="A20" s="105" t="s">
        <v>40</v>
      </c>
      <c r="B20" s="105" t="s">
        <v>71</v>
      </c>
      <c r="C20" s="105" t="s">
        <v>41</v>
      </c>
      <c r="D20" s="105" t="s">
        <v>25</v>
      </c>
      <c r="E20" s="105" t="s">
        <v>25</v>
      </c>
      <c r="F20" s="105" t="s">
        <v>25</v>
      </c>
      <c r="G20" s="32" t="s">
        <v>73</v>
      </c>
      <c r="H20" s="32" t="s">
        <v>72</v>
      </c>
      <c r="I20" s="32">
        <f>'MERCADO TE'!$U$17</f>
        <v>0</v>
      </c>
      <c r="J20" s="15"/>
      <c r="L20" s="29">
        <f>'TE BE'!$L$20*'TE BE'!$L$48</f>
        <v>0</v>
      </c>
      <c r="M20" s="29">
        <f>'TE BE'!$M$20*'TE BE'!$M$48</f>
        <v>0</v>
      </c>
      <c r="N20" s="29">
        <f>'TE BE'!$N$20*'TE BE'!$N$48</f>
        <v>0</v>
      </c>
      <c r="O20" s="29">
        <f>'TE BE'!$O$20*'TE BE'!$O$48</f>
        <v>0</v>
      </c>
      <c r="P20" s="29">
        <f>'TE BE'!$P$20*'TE BE'!$P$48</f>
        <v>0</v>
      </c>
      <c r="Q20" s="29">
        <f>SUM($L$20:$P$20)</f>
        <v>0</v>
      </c>
      <c r="R20" s="29">
        <f>'TE BE'!$R$20*'TE BE'!$R$48</f>
        <v>7.3830752574921021</v>
      </c>
      <c r="S20" s="29">
        <f>SUM($R$20:$R$20)</f>
        <v>7.3830752574921021</v>
      </c>
      <c r="T20" s="29">
        <f>'TE BE'!$T$20*'TE BE'!$T$48</f>
        <v>0</v>
      </c>
      <c r="U20" s="29">
        <f>'TE BE'!$U$20*'TE BE'!$U$48</f>
        <v>0</v>
      </c>
      <c r="V20" s="29">
        <f>'TE BE'!$V$20*'TE BE'!$V$48</f>
        <v>0</v>
      </c>
      <c r="W20" s="29">
        <f>SUM($T$20:$V$20)</f>
        <v>0</v>
      </c>
      <c r="X20" s="29">
        <f>'TE BE'!$AB$20*'TE BE'!$X$48</f>
        <v>0</v>
      </c>
      <c r="Y20" s="29">
        <f>SUM($X$20:$X$20)</f>
        <v>0</v>
      </c>
      <c r="Z20" s="29">
        <f>'TE BE'!$Z$20*'TE BE'!$Z$48</f>
        <v>0</v>
      </c>
      <c r="AA20" s="29">
        <f>SUM($Z$20:$Z$20)</f>
        <v>0</v>
      </c>
      <c r="AB20" s="29">
        <f>SUMIF($L$4:$AA$4,"SUBTOTAL",$L$20:$AA$20)</f>
        <v>7.3830752574921021</v>
      </c>
    </row>
    <row r="21" spans="1:28" ht="11.25" customHeight="1" x14ac:dyDescent="0.25">
      <c r="A21" s="105"/>
      <c r="B21" s="105"/>
      <c r="C21" s="105"/>
      <c r="D21" s="105"/>
      <c r="E21" s="105"/>
      <c r="F21" s="105"/>
      <c r="G21" s="32" t="s">
        <v>83</v>
      </c>
      <c r="H21" s="32" t="s">
        <v>72</v>
      </c>
      <c r="I21" s="32">
        <f>'MERCADO TE'!$U$18</f>
        <v>0</v>
      </c>
      <c r="J21" s="15"/>
      <c r="L21" s="29">
        <f>'TE BE'!$L$21*'TE BE'!$L$48</f>
        <v>0</v>
      </c>
      <c r="M21" s="29">
        <f>'TE BE'!$M$21*'TE BE'!$M$48</f>
        <v>0</v>
      </c>
      <c r="N21" s="29">
        <f>'TE BE'!$N$21*'TE BE'!$N$48</f>
        <v>0</v>
      </c>
      <c r="O21" s="29">
        <f>'TE BE'!$O$21*'TE BE'!$O$48</f>
        <v>0</v>
      </c>
      <c r="P21" s="29">
        <f>'TE BE'!$P$21*'TE BE'!$P$48</f>
        <v>0</v>
      </c>
      <c r="Q21" s="29">
        <f>SUM($L$21:$P$21)</f>
        <v>0</v>
      </c>
      <c r="R21" s="29">
        <f>'TE BE'!$R$21*'TE BE'!$R$48</f>
        <v>7.3830752574921021</v>
      </c>
      <c r="S21" s="29">
        <f>SUM($R$21:$R$21)</f>
        <v>7.3830752574921021</v>
      </c>
      <c r="T21" s="29">
        <f>'TE BE'!$T$21*'TE BE'!$T$48</f>
        <v>0</v>
      </c>
      <c r="U21" s="29">
        <f>'TE BE'!$U$21*'TE BE'!$U$48</f>
        <v>0</v>
      </c>
      <c r="V21" s="29">
        <f>'TE BE'!$V$21*'TE BE'!$V$48</f>
        <v>0</v>
      </c>
      <c r="W21" s="29">
        <f>SUM($T$21:$V$21)</f>
        <v>0</v>
      </c>
      <c r="X21" s="29">
        <f>'TE BE'!$AB$21*'TE BE'!$X$48</f>
        <v>0</v>
      </c>
      <c r="Y21" s="29">
        <f>SUM($X$21:$X$21)</f>
        <v>0</v>
      </c>
      <c r="Z21" s="29">
        <f>'TE BE'!$Z$21*'TE BE'!$Z$48</f>
        <v>0</v>
      </c>
      <c r="AA21" s="29">
        <f>SUM($Z$21:$Z$21)</f>
        <v>0</v>
      </c>
      <c r="AB21" s="29">
        <f>SUMIF($L$4:$AA$4,"SUBTOTAL",$L$21:$AA$21)</f>
        <v>7.3830752574921021</v>
      </c>
    </row>
    <row r="22" spans="1:28" ht="11.25" customHeight="1" x14ac:dyDescent="0.25">
      <c r="A22" s="105"/>
      <c r="B22" s="105"/>
      <c r="C22" s="105"/>
      <c r="D22" s="105"/>
      <c r="E22" s="105"/>
      <c r="F22" s="105"/>
      <c r="G22" s="32" t="s">
        <v>74</v>
      </c>
      <c r="H22" s="32" t="s">
        <v>72</v>
      </c>
      <c r="I22" s="32">
        <f>'MERCADO TE'!$U$19</f>
        <v>0</v>
      </c>
      <c r="J22" s="15"/>
      <c r="L22" s="29">
        <f>'TE BE'!$L$22*'TE BE'!$L$48</f>
        <v>0</v>
      </c>
      <c r="M22" s="29">
        <f>'TE BE'!$M$22*'TE BE'!$M$48</f>
        <v>0</v>
      </c>
      <c r="N22" s="29">
        <f>'TE BE'!$N$22*'TE BE'!$N$48</f>
        <v>0</v>
      </c>
      <c r="O22" s="29">
        <f>'TE BE'!$O$22*'TE BE'!$O$48</f>
        <v>0</v>
      </c>
      <c r="P22" s="29">
        <f>'TE BE'!$P$22*'TE BE'!$P$48</f>
        <v>0</v>
      </c>
      <c r="Q22" s="29">
        <f>SUM($L$22:$P$22)</f>
        <v>0</v>
      </c>
      <c r="R22" s="29">
        <f>'TE BE'!$R$22*'TE BE'!$R$48</f>
        <v>7.3830752574921021</v>
      </c>
      <c r="S22" s="29">
        <f>SUM($R$22:$R$22)</f>
        <v>7.3830752574921021</v>
      </c>
      <c r="T22" s="29">
        <f>'TE BE'!$T$22*'TE BE'!$T$48</f>
        <v>0</v>
      </c>
      <c r="U22" s="29">
        <f>'TE BE'!$U$22*'TE BE'!$U$48</f>
        <v>0</v>
      </c>
      <c r="V22" s="29">
        <f>'TE BE'!$V$22*'TE BE'!$V$48</f>
        <v>0</v>
      </c>
      <c r="W22" s="29">
        <f>SUM($T$22:$V$22)</f>
        <v>0</v>
      </c>
      <c r="X22" s="29">
        <f>'TE BE'!$AB$22*'TE BE'!$X$48</f>
        <v>0</v>
      </c>
      <c r="Y22" s="29">
        <f>SUM($X$22:$X$22)</f>
        <v>0</v>
      </c>
      <c r="Z22" s="29">
        <f>'TE BE'!$Z$22*'TE BE'!$Z$48</f>
        <v>0</v>
      </c>
      <c r="AA22" s="29">
        <f>SUM($Z$22:$Z$22)</f>
        <v>0</v>
      </c>
      <c r="AB22" s="29">
        <f>SUMIF($L$4:$AA$4,"SUBTOTAL",$L$22:$AA$22)</f>
        <v>7.3830752574921021</v>
      </c>
    </row>
    <row r="23" spans="1:28" ht="11.25" customHeight="1" x14ac:dyDescent="0.25">
      <c r="A23" s="105"/>
      <c r="B23" s="31" t="s">
        <v>84</v>
      </c>
      <c r="C23" s="31" t="s">
        <v>41</v>
      </c>
      <c r="D23" s="31" t="s">
        <v>25</v>
      </c>
      <c r="E23" s="31" t="s">
        <v>25</v>
      </c>
      <c r="F23" s="31" t="s">
        <v>25</v>
      </c>
      <c r="G23" s="32" t="s">
        <v>78</v>
      </c>
      <c r="H23" s="32" t="s">
        <v>72</v>
      </c>
      <c r="I23" s="32">
        <f>'MERCADO TE'!$U$20</f>
        <v>40057.667999999998</v>
      </c>
      <c r="J23" s="15"/>
      <c r="L23" s="29">
        <f>'TE BE'!$L$23*'TE BE'!$L$48</f>
        <v>0</v>
      </c>
      <c r="M23" s="29">
        <f>'TE BE'!$M$23*'TE BE'!$M$48</f>
        <v>0</v>
      </c>
      <c r="N23" s="29">
        <f>'TE BE'!$N$23*'TE BE'!$N$48</f>
        <v>0</v>
      </c>
      <c r="O23" s="29">
        <f>'TE BE'!$O$23*'TE BE'!$O$48</f>
        <v>0</v>
      </c>
      <c r="P23" s="29">
        <f>'TE BE'!$P$23*'TE BE'!$P$48</f>
        <v>0</v>
      </c>
      <c r="Q23" s="29">
        <f>SUM($L$23:$P$23)</f>
        <v>0</v>
      </c>
      <c r="R23" s="29">
        <f>'TE BE'!$R$23*'TE BE'!$R$48</f>
        <v>7.3830752574921021</v>
      </c>
      <c r="S23" s="29">
        <f>SUM($R$23:$R$23)</f>
        <v>7.3830752574921021</v>
      </c>
      <c r="T23" s="29">
        <f>'TE BE'!$T$23*'TE BE'!$T$48</f>
        <v>0</v>
      </c>
      <c r="U23" s="29">
        <f>'TE BE'!$U$23*'TE BE'!$U$48</f>
        <v>0</v>
      </c>
      <c r="V23" s="29">
        <f>'TE BE'!$V$23*'TE BE'!$V$48</f>
        <v>0</v>
      </c>
      <c r="W23" s="29">
        <f>SUM($T$23:$V$23)</f>
        <v>0</v>
      </c>
      <c r="X23" s="29">
        <f>'TE BE'!$AB$23*'TE BE'!$X$48</f>
        <v>0</v>
      </c>
      <c r="Y23" s="29">
        <f>SUM($X$23:$X$23)</f>
        <v>0</v>
      </c>
      <c r="Z23" s="29">
        <f>'TE BE'!$Z$23*'TE BE'!$Z$48</f>
        <v>0</v>
      </c>
      <c r="AA23" s="29">
        <f>SUM($Z$23:$Z$23)</f>
        <v>0</v>
      </c>
      <c r="AB23" s="29">
        <f>SUMIF($L$4:$AA$4,"SUBTOTAL",$L$23:$AA$23)</f>
        <v>7.3830752574921021</v>
      </c>
    </row>
    <row r="24" spans="1:28" ht="11.25" customHeight="1" x14ac:dyDescent="0.25">
      <c r="A24" s="105"/>
      <c r="B24" s="105" t="s">
        <v>71</v>
      </c>
      <c r="C24" s="105" t="s">
        <v>41</v>
      </c>
      <c r="D24" s="105" t="s">
        <v>88</v>
      </c>
      <c r="E24" s="105" t="s">
        <v>25</v>
      </c>
      <c r="F24" s="105" t="s">
        <v>25</v>
      </c>
      <c r="G24" s="32" t="s">
        <v>73</v>
      </c>
      <c r="H24" s="32" t="s">
        <v>72</v>
      </c>
      <c r="I24" s="32">
        <f>'MERCADO TE'!$U$21</f>
        <v>0</v>
      </c>
      <c r="J24" s="15"/>
      <c r="L24" s="29">
        <f>'TE BE'!$L$24*'TE BE'!$L$48</f>
        <v>0</v>
      </c>
      <c r="M24" s="29">
        <f>'TE BE'!$M$24*'TE BE'!$M$48</f>
        <v>0</v>
      </c>
      <c r="N24" s="29">
        <f>'TE BE'!$N$24*'TE BE'!$N$48</f>
        <v>0</v>
      </c>
      <c r="O24" s="29">
        <f>'TE BE'!$O$24*'TE BE'!$O$48</f>
        <v>0</v>
      </c>
      <c r="P24" s="29">
        <f>'TE BE'!$P$24*'TE BE'!$P$48</f>
        <v>0</v>
      </c>
      <c r="Q24" s="29">
        <f>SUM($L$24:$P$24)</f>
        <v>0</v>
      </c>
      <c r="R24" s="29">
        <f>'TE BE'!$R$24*'TE BE'!$R$48</f>
        <v>7.3830752574921021</v>
      </c>
      <c r="S24" s="29">
        <f>SUM($R$24:$R$24)</f>
        <v>7.3830752574921021</v>
      </c>
      <c r="T24" s="29">
        <f>'TE BE'!$T$24*'TE BE'!$T$48</f>
        <v>0</v>
      </c>
      <c r="U24" s="29">
        <f>'TE BE'!$U$24*'TE BE'!$U$48</f>
        <v>0</v>
      </c>
      <c r="V24" s="29">
        <f>'TE BE'!$V$24*'TE BE'!$V$48</f>
        <v>0</v>
      </c>
      <c r="W24" s="29">
        <f>SUM($T$24:$V$24)</f>
        <v>0</v>
      </c>
      <c r="X24" s="29">
        <f>'TE BE'!$AB$24*'TE BE'!$X$48</f>
        <v>0</v>
      </c>
      <c r="Y24" s="29">
        <f>SUM($X$24:$X$24)</f>
        <v>0</v>
      </c>
      <c r="Z24" s="29">
        <f>'TE BE'!$Z$24*'TE BE'!$Z$48</f>
        <v>0</v>
      </c>
      <c r="AA24" s="29">
        <f>SUM($Z$24:$Z$24)</f>
        <v>0</v>
      </c>
      <c r="AB24" s="29">
        <f>SUMIF($L$4:$AA$4,"SUBTOTAL",$L$24:$AA$24)</f>
        <v>7.3830752574921021</v>
      </c>
    </row>
    <row r="25" spans="1:28" ht="11.25" customHeight="1" x14ac:dyDescent="0.25">
      <c r="A25" s="105"/>
      <c r="B25" s="105"/>
      <c r="C25" s="105"/>
      <c r="D25" s="105"/>
      <c r="E25" s="105"/>
      <c r="F25" s="105"/>
      <c r="G25" s="32" t="s">
        <v>83</v>
      </c>
      <c r="H25" s="32" t="s">
        <v>72</v>
      </c>
      <c r="I25" s="32">
        <f>'MERCADO TE'!$U$22</f>
        <v>0</v>
      </c>
      <c r="J25" s="15"/>
      <c r="L25" s="29">
        <f>'TE BE'!$L$25*'TE BE'!$L$48</f>
        <v>0</v>
      </c>
      <c r="M25" s="29">
        <f>'TE BE'!$M$25*'TE BE'!$M$48</f>
        <v>0</v>
      </c>
      <c r="N25" s="29">
        <f>'TE BE'!$N$25*'TE BE'!$N$48</f>
        <v>0</v>
      </c>
      <c r="O25" s="29">
        <f>'TE BE'!$O$25*'TE BE'!$O$48</f>
        <v>0</v>
      </c>
      <c r="P25" s="29">
        <f>'TE BE'!$P$25*'TE BE'!$P$48</f>
        <v>0</v>
      </c>
      <c r="Q25" s="29">
        <f>SUM($L$25:$P$25)</f>
        <v>0</v>
      </c>
      <c r="R25" s="29">
        <f>'TE BE'!$R$25*'TE BE'!$R$48</f>
        <v>7.3830752574921021</v>
      </c>
      <c r="S25" s="29">
        <f>SUM($R$25:$R$25)</f>
        <v>7.3830752574921021</v>
      </c>
      <c r="T25" s="29">
        <f>'TE BE'!$T$25*'TE BE'!$T$48</f>
        <v>0</v>
      </c>
      <c r="U25" s="29">
        <f>'TE BE'!$U$25*'TE BE'!$U$48</f>
        <v>0</v>
      </c>
      <c r="V25" s="29">
        <f>'TE BE'!$V$25*'TE BE'!$V$48</f>
        <v>0</v>
      </c>
      <c r="W25" s="29">
        <f>SUM($T$25:$V$25)</f>
        <v>0</v>
      </c>
      <c r="X25" s="29">
        <f>'TE BE'!$AB$25*'TE BE'!$X$48</f>
        <v>0</v>
      </c>
      <c r="Y25" s="29">
        <f>SUM($X$25:$X$25)</f>
        <v>0</v>
      </c>
      <c r="Z25" s="29">
        <f>'TE BE'!$Z$25*'TE BE'!$Z$48</f>
        <v>0</v>
      </c>
      <c r="AA25" s="29">
        <f>SUM($Z$25:$Z$25)</f>
        <v>0</v>
      </c>
      <c r="AB25" s="29">
        <f>SUMIF($L$4:$AA$4,"SUBTOTAL",$L$25:$AA$25)</f>
        <v>7.3830752574921021</v>
      </c>
    </row>
    <row r="26" spans="1:28" ht="11.25" customHeight="1" x14ac:dyDescent="0.25">
      <c r="A26" s="105"/>
      <c r="B26" s="105"/>
      <c r="C26" s="105"/>
      <c r="D26" s="105"/>
      <c r="E26" s="105"/>
      <c r="F26" s="105"/>
      <c r="G26" s="32" t="s">
        <v>74</v>
      </c>
      <c r="H26" s="32" t="s">
        <v>72</v>
      </c>
      <c r="I26" s="32">
        <f>'MERCADO TE'!$U$23</f>
        <v>0</v>
      </c>
      <c r="J26" s="15"/>
      <c r="L26" s="29">
        <f>'TE BE'!$L$26*'TE BE'!$L$48</f>
        <v>0</v>
      </c>
      <c r="M26" s="29">
        <f>'TE BE'!$M$26*'TE BE'!$M$48</f>
        <v>0</v>
      </c>
      <c r="N26" s="29">
        <f>'TE BE'!$N$26*'TE BE'!$N$48</f>
        <v>0</v>
      </c>
      <c r="O26" s="29">
        <f>'TE BE'!$O$26*'TE BE'!$O$48</f>
        <v>0</v>
      </c>
      <c r="P26" s="29">
        <f>'TE BE'!$P$26*'TE BE'!$P$48</f>
        <v>0</v>
      </c>
      <c r="Q26" s="29">
        <f>SUM($L$26:$P$26)</f>
        <v>0</v>
      </c>
      <c r="R26" s="29">
        <f>'TE BE'!$R$26*'TE BE'!$R$48</f>
        <v>7.3830752574921021</v>
      </c>
      <c r="S26" s="29">
        <f>SUM($R$26:$R$26)</f>
        <v>7.3830752574921021</v>
      </c>
      <c r="T26" s="29">
        <f>'TE BE'!$T$26*'TE BE'!$T$48</f>
        <v>0</v>
      </c>
      <c r="U26" s="29">
        <f>'TE BE'!$U$26*'TE BE'!$U$48</f>
        <v>0</v>
      </c>
      <c r="V26" s="29">
        <f>'TE BE'!$V$26*'TE BE'!$V$48</f>
        <v>0</v>
      </c>
      <c r="W26" s="29">
        <f>SUM($T$26:$V$26)</f>
        <v>0</v>
      </c>
      <c r="X26" s="29">
        <f>'TE BE'!$AB$26*'TE BE'!$X$48</f>
        <v>0</v>
      </c>
      <c r="Y26" s="29">
        <f>SUM($X$26:$X$26)</f>
        <v>0</v>
      </c>
      <c r="Z26" s="29">
        <f>'TE BE'!$Z$26*'TE BE'!$Z$48</f>
        <v>0</v>
      </c>
      <c r="AA26" s="29">
        <f>SUM($Z$26:$Z$26)</f>
        <v>0</v>
      </c>
      <c r="AB26" s="29">
        <f>SUMIF($L$4:$AA$4,"SUBTOTAL",$L$26:$AA$26)</f>
        <v>7.3830752574921021</v>
      </c>
    </row>
    <row r="27" spans="1:28" ht="11.25" customHeight="1" x14ac:dyDescent="0.25">
      <c r="A27" s="105"/>
      <c r="B27" s="31" t="s">
        <v>84</v>
      </c>
      <c r="C27" s="31" t="s">
        <v>41</v>
      </c>
      <c r="D27" s="31" t="s">
        <v>88</v>
      </c>
      <c r="E27" s="31" t="s">
        <v>25</v>
      </c>
      <c r="F27" s="31" t="s">
        <v>25</v>
      </c>
      <c r="G27" s="32" t="s">
        <v>78</v>
      </c>
      <c r="H27" s="32" t="s">
        <v>72</v>
      </c>
      <c r="I27" s="32">
        <f>'MERCADO TE'!$U$24</f>
        <v>0</v>
      </c>
      <c r="J27" s="15"/>
      <c r="L27" s="29">
        <f>'TE BE'!$L$27*'TE BE'!$L$48</f>
        <v>0</v>
      </c>
      <c r="M27" s="29">
        <f>'TE BE'!$M$27*'TE BE'!$M$48</f>
        <v>0</v>
      </c>
      <c r="N27" s="29">
        <f>'TE BE'!$N$27*'TE BE'!$N$48</f>
        <v>0</v>
      </c>
      <c r="O27" s="29">
        <f>'TE BE'!$O$27*'TE BE'!$O$48</f>
        <v>0</v>
      </c>
      <c r="P27" s="29">
        <f>'TE BE'!$P$27*'TE BE'!$P$48</f>
        <v>0</v>
      </c>
      <c r="Q27" s="29">
        <f>SUM($L$27:$P$27)</f>
        <v>0</v>
      </c>
      <c r="R27" s="29">
        <f>'TE BE'!$R$27*'TE BE'!$R$48</f>
        <v>7.3830752574921021</v>
      </c>
      <c r="S27" s="29">
        <f>SUM($R$27:$R$27)</f>
        <v>7.3830752574921021</v>
      </c>
      <c r="T27" s="29">
        <f>'TE BE'!$T$27*'TE BE'!$T$48</f>
        <v>0</v>
      </c>
      <c r="U27" s="29">
        <f>'TE BE'!$U$27*'TE BE'!$U$48</f>
        <v>0</v>
      </c>
      <c r="V27" s="29">
        <f>'TE BE'!$V$27*'TE BE'!$V$48</f>
        <v>0</v>
      </c>
      <c r="W27" s="29">
        <f>SUM($T$27:$V$27)</f>
        <v>0</v>
      </c>
      <c r="X27" s="29">
        <f>'TE BE'!$AB$27*'TE BE'!$X$48</f>
        <v>0</v>
      </c>
      <c r="Y27" s="29">
        <f>SUM($X$27:$X$27)</f>
        <v>0</v>
      </c>
      <c r="Z27" s="29">
        <f>'TE BE'!$Z$27*'TE BE'!$Z$48</f>
        <v>0</v>
      </c>
      <c r="AA27" s="29">
        <f>SUM($Z$27:$Z$27)</f>
        <v>0</v>
      </c>
      <c r="AB27" s="29">
        <f>SUMIF($L$4:$AA$4,"SUBTOTAL",$L$27:$AA$27)</f>
        <v>7.3830752574921021</v>
      </c>
    </row>
    <row r="28" spans="1:28" ht="11.25" customHeight="1" x14ac:dyDescent="0.25">
      <c r="A28" s="105"/>
      <c r="B28" s="105" t="s">
        <v>71</v>
      </c>
      <c r="C28" s="105" t="s">
        <v>41</v>
      </c>
      <c r="D28" s="105" t="s">
        <v>89</v>
      </c>
      <c r="E28" s="105" t="s">
        <v>25</v>
      </c>
      <c r="F28" s="105" t="s">
        <v>25</v>
      </c>
      <c r="G28" s="32" t="s">
        <v>73</v>
      </c>
      <c r="H28" s="32" t="s">
        <v>72</v>
      </c>
      <c r="I28" s="32">
        <f>'MERCADO TE'!$U$25</f>
        <v>0</v>
      </c>
      <c r="J28" s="15"/>
      <c r="L28" s="29">
        <f>'TE BE'!$L$28*'TE BE'!$L$48</f>
        <v>0</v>
      </c>
      <c r="M28" s="29">
        <f>'TE BE'!$M$28*'TE BE'!$M$48</f>
        <v>0</v>
      </c>
      <c r="N28" s="29">
        <f>'TE BE'!$N$28*'TE BE'!$N$48</f>
        <v>0</v>
      </c>
      <c r="O28" s="29">
        <f>'TE BE'!$O$28*'TE BE'!$O$48</f>
        <v>0</v>
      </c>
      <c r="P28" s="29">
        <f>'TE BE'!$P$28*'TE BE'!$P$48</f>
        <v>0</v>
      </c>
      <c r="Q28" s="29">
        <f>SUM($L$28:$P$28)</f>
        <v>0</v>
      </c>
      <c r="R28" s="29">
        <f>'TE BE'!$R$28*'TE BE'!$R$48</f>
        <v>7.3830752574921021</v>
      </c>
      <c r="S28" s="29">
        <f>SUM($R$28:$R$28)</f>
        <v>7.3830752574921021</v>
      </c>
      <c r="T28" s="29">
        <f>'TE BE'!$T$28*'TE BE'!$T$48</f>
        <v>0</v>
      </c>
      <c r="U28" s="29">
        <f>'TE BE'!$U$28*'TE BE'!$U$48</f>
        <v>0</v>
      </c>
      <c r="V28" s="29">
        <f>'TE BE'!$V$28*'TE BE'!$V$48</f>
        <v>0</v>
      </c>
      <c r="W28" s="29">
        <f>SUM($T$28:$V$28)</f>
        <v>0</v>
      </c>
      <c r="X28" s="29">
        <f>'TE BE'!$AB$28*'TE BE'!$X$48</f>
        <v>0</v>
      </c>
      <c r="Y28" s="29">
        <f>SUM($X$28:$X$28)</f>
        <v>0</v>
      </c>
      <c r="Z28" s="29">
        <f>'TE BE'!$Z$28*'TE BE'!$Z$48</f>
        <v>0</v>
      </c>
      <c r="AA28" s="29">
        <f>SUM($Z$28:$Z$28)</f>
        <v>0</v>
      </c>
      <c r="AB28" s="29">
        <f>SUMIF($L$4:$AA$4,"SUBTOTAL",$L$28:$AA$28)</f>
        <v>7.3830752574921021</v>
      </c>
    </row>
    <row r="29" spans="1:28" ht="11.25" customHeight="1" x14ac:dyDescent="0.25">
      <c r="A29" s="105"/>
      <c r="B29" s="105"/>
      <c r="C29" s="105"/>
      <c r="D29" s="105"/>
      <c r="E29" s="105"/>
      <c r="F29" s="105"/>
      <c r="G29" s="32" t="s">
        <v>83</v>
      </c>
      <c r="H29" s="32" t="s">
        <v>72</v>
      </c>
      <c r="I29" s="32">
        <f>'MERCADO TE'!$U$26</f>
        <v>0</v>
      </c>
      <c r="J29" s="15"/>
      <c r="L29" s="29">
        <f>'TE BE'!$L$29*'TE BE'!$L$48</f>
        <v>0</v>
      </c>
      <c r="M29" s="29">
        <f>'TE BE'!$M$29*'TE BE'!$M$48</f>
        <v>0</v>
      </c>
      <c r="N29" s="29">
        <f>'TE BE'!$N$29*'TE BE'!$N$48</f>
        <v>0</v>
      </c>
      <c r="O29" s="29">
        <f>'TE BE'!$O$29*'TE BE'!$O$48</f>
        <v>0</v>
      </c>
      <c r="P29" s="29">
        <f>'TE BE'!$P$29*'TE BE'!$P$48</f>
        <v>0</v>
      </c>
      <c r="Q29" s="29">
        <f>SUM($L$29:$P$29)</f>
        <v>0</v>
      </c>
      <c r="R29" s="29">
        <f>'TE BE'!$R$29*'TE BE'!$R$48</f>
        <v>7.3830752574921021</v>
      </c>
      <c r="S29" s="29">
        <f>SUM($R$29:$R$29)</f>
        <v>7.3830752574921021</v>
      </c>
      <c r="T29" s="29">
        <f>'TE BE'!$T$29*'TE BE'!$T$48</f>
        <v>0</v>
      </c>
      <c r="U29" s="29">
        <f>'TE BE'!$U$29*'TE BE'!$U$48</f>
        <v>0</v>
      </c>
      <c r="V29" s="29">
        <f>'TE BE'!$V$29*'TE BE'!$V$48</f>
        <v>0</v>
      </c>
      <c r="W29" s="29">
        <f>SUM($T$29:$V$29)</f>
        <v>0</v>
      </c>
      <c r="X29" s="29">
        <f>'TE BE'!$AB$29*'TE BE'!$X$48</f>
        <v>0</v>
      </c>
      <c r="Y29" s="29">
        <f>SUM($X$29:$X$29)</f>
        <v>0</v>
      </c>
      <c r="Z29" s="29">
        <f>'TE BE'!$Z$29*'TE BE'!$Z$48</f>
        <v>0</v>
      </c>
      <c r="AA29" s="29">
        <f>SUM($Z$29:$Z$29)</f>
        <v>0</v>
      </c>
      <c r="AB29" s="29">
        <f>SUMIF($L$4:$AA$4,"SUBTOTAL",$L$29:$AA$29)</f>
        <v>7.3830752574921021</v>
      </c>
    </row>
    <row r="30" spans="1:28" ht="11.25" customHeight="1" x14ac:dyDescent="0.25">
      <c r="A30" s="105"/>
      <c r="B30" s="105"/>
      <c r="C30" s="105"/>
      <c r="D30" s="105"/>
      <c r="E30" s="105"/>
      <c r="F30" s="105"/>
      <c r="G30" s="32" t="s">
        <v>74</v>
      </c>
      <c r="H30" s="32" t="s">
        <v>72</v>
      </c>
      <c r="I30" s="32">
        <f>'MERCADO TE'!$U$27</f>
        <v>0</v>
      </c>
      <c r="J30" s="15"/>
      <c r="L30" s="29">
        <f>'TE BE'!$L$30*'TE BE'!$L$48</f>
        <v>0</v>
      </c>
      <c r="M30" s="29">
        <f>'TE BE'!$M$30*'TE BE'!$M$48</f>
        <v>0</v>
      </c>
      <c r="N30" s="29">
        <f>'TE BE'!$N$30*'TE BE'!$N$48</f>
        <v>0</v>
      </c>
      <c r="O30" s="29">
        <f>'TE BE'!$O$30*'TE BE'!$O$48</f>
        <v>0</v>
      </c>
      <c r="P30" s="29">
        <f>'TE BE'!$P$30*'TE BE'!$P$48</f>
        <v>0</v>
      </c>
      <c r="Q30" s="29">
        <f>SUM($L$30:$P$30)</f>
        <v>0</v>
      </c>
      <c r="R30" s="29">
        <f>'TE BE'!$R$30*'TE BE'!$R$48</f>
        <v>7.3830752574921021</v>
      </c>
      <c r="S30" s="29">
        <f>SUM($R$30:$R$30)</f>
        <v>7.3830752574921021</v>
      </c>
      <c r="T30" s="29">
        <f>'TE BE'!$T$30*'TE BE'!$T$48</f>
        <v>0</v>
      </c>
      <c r="U30" s="29">
        <f>'TE BE'!$U$30*'TE BE'!$U$48</f>
        <v>0</v>
      </c>
      <c r="V30" s="29">
        <f>'TE BE'!$V$30*'TE BE'!$V$48</f>
        <v>0</v>
      </c>
      <c r="W30" s="29">
        <f>SUM($T$30:$V$30)</f>
        <v>0</v>
      </c>
      <c r="X30" s="29">
        <f>'TE BE'!$AB$30*'TE BE'!$X$48</f>
        <v>0</v>
      </c>
      <c r="Y30" s="29">
        <f>SUM($X$30:$X$30)</f>
        <v>0</v>
      </c>
      <c r="Z30" s="29">
        <f>'TE BE'!$Z$30*'TE BE'!$Z$48</f>
        <v>0</v>
      </c>
      <c r="AA30" s="29">
        <f>SUM($Z$30:$Z$30)</f>
        <v>0</v>
      </c>
      <c r="AB30" s="29">
        <f>SUMIF($L$4:$AA$4,"SUBTOTAL",$L$30:$AA$30)</f>
        <v>7.3830752574921021</v>
      </c>
    </row>
    <row r="31" spans="1:28" ht="11.25" customHeight="1" x14ac:dyDescent="0.25">
      <c r="A31" s="105"/>
      <c r="B31" s="31" t="s">
        <v>84</v>
      </c>
      <c r="C31" s="31" t="s">
        <v>41</v>
      </c>
      <c r="D31" s="31" t="s">
        <v>89</v>
      </c>
      <c r="E31" s="31" t="s">
        <v>25</v>
      </c>
      <c r="F31" s="31" t="s">
        <v>25</v>
      </c>
      <c r="G31" s="32" t="s">
        <v>78</v>
      </c>
      <c r="H31" s="32" t="s">
        <v>72</v>
      </c>
      <c r="I31" s="32">
        <f>'MERCADO TE'!$U$28</f>
        <v>0</v>
      </c>
      <c r="J31" s="15"/>
      <c r="L31" s="29">
        <f>'TE BE'!$L$31*'TE BE'!$L$48</f>
        <v>0</v>
      </c>
      <c r="M31" s="29">
        <f>'TE BE'!$M$31*'TE BE'!$M$48</f>
        <v>0</v>
      </c>
      <c r="N31" s="29">
        <f>'TE BE'!$N$31*'TE BE'!$N$48</f>
        <v>0</v>
      </c>
      <c r="O31" s="29">
        <f>'TE BE'!$O$31*'TE BE'!$O$48</f>
        <v>0</v>
      </c>
      <c r="P31" s="29">
        <f>'TE BE'!$P$31*'TE BE'!$P$48</f>
        <v>0</v>
      </c>
      <c r="Q31" s="29">
        <f>SUM($L$31:$P$31)</f>
        <v>0</v>
      </c>
      <c r="R31" s="29">
        <f>'TE BE'!$R$31*'TE BE'!$R$48</f>
        <v>7.3830752574921021</v>
      </c>
      <c r="S31" s="29">
        <f>SUM($R$31:$R$31)</f>
        <v>7.3830752574921021</v>
      </c>
      <c r="T31" s="29">
        <f>'TE BE'!$T$31*'TE BE'!$T$48</f>
        <v>0</v>
      </c>
      <c r="U31" s="29">
        <f>'TE BE'!$U$31*'TE BE'!$U$48</f>
        <v>0</v>
      </c>
      <c r="V31" s="29">
        <f>'TE BE'!$V$31*'TE BE'!$V$48</f>
        <v>0</v>
      </c>
      <c r="W31" s="29">
        <f>SUM($T$31:$V$31)</f>
        <v>0</v>
      </c>
      <c r="X31" s="29">
        <f>'TE BE'!$AB$31*'TE BE'!$X$48</f>
        <v>0</v>
      </c>
      <c r="Y31" s="29">
        <f>SUM($X$31:$X$31)</f>
        <v>0</v>
      </c>
      <c r="Z31" s="29">
        <f>'TE BE'!$Z$31*'TE BE'!$Z$48</f>
        <v>0</v>
      </c>
      <c r="AA31" s="29">
        <f>SUM($Z$31:$Z$31)</f>
        <v>0</v>
      </c>
      <c r="AB31" s="29">
        <f>SUMIF($L$4:$AA$4,"SUBTOTAL",$L$31:$AA$31)</f>
        <v>7.3830752574921021</v>
      </c>
    </row>
    <row r="32" spans="1:28" ht="11.25" customHeight="1" x14ac:dyDescent="0.25">
      <c r="A32" s="105"/>
      <c r="B32" s="105" t="s">
        <v>86</v>
      </c>
      <c r="C32" s="105" t="s">
        <v>41</v>
      </c>
      <c r="D32" s="31" t="s">
        <v>25</v>
      </c>
      <c r="E32" s="31" t="s">
        <v>25</v>
      </c>
      <c r="F32" s="31" t="s">
        <v>25</v>
      </c>
      <c r="G32" s="32" t="s">
        <v>78</v>
      </c>
      <c r="H32" s="32" t="s">
        <v>72</v>
      </c>
      <c r="I32" s="32">
        <f>'MERCADO TE'!$U$29</f>
        <v>0</v>
      </c>
      <c r="J32" s="15"/>
      <c r="L32" s="29">
        <f>'TE BE'!$L$32*'TE BE'!$L$48</f>
        <v>0</v>
      </c>
      <c r="M32" s="29">
        <f>'TE BE'!$M$32*'TE BE'!$M$48</f>
        <v>0</v>
      </c>
      <c r="N32" s="29">
        <f>'TE BE'!$N$32*'TE BE'!$N$48</f>
        <v>0</v>
      </c>
      <c r="O32" s="29">
        <f>'TE BE'!$O$32*'TE BE'!$O$48</f>
        <v>0</v>
      </c>
      <c r="P32" s="29">
        <f>'TE BE'!$P$32*'TE BE'!$P$48</f>
        <v>0</v>
      </c>
      <c r="Q32" s="29">
        <f>SUM($L$32:$P$32)</f>
        <v>0</v>
      </c>
      <c r="R32" s="29">
        <f>'TE BE'!$R$32*'TE BE'!$R$48</f>
        <v>7.3830752574921021</v>
      </c>
      <c r="S32" s="29">
        <f>SUM($R$32:$R$32)</f>
        <v>7.3830752574921021</v>
      </c>
      <c r="T32" s="29">
        <f>'TE BE'!$T$32*'TE BE'!$T$48</f>
        <v>0</v>
      </c>
      <c r="U32" s="29">
        <f>'TE BE'!$U$32*'TE BE'!$U$48</f>
        <v>0</v>
      </c>
      <c r="V32" s="29">
        <f>'TE BE'!$V$32*'TE BE'!$V$48</f>
        <v>0</v>
      </c>
      <c r="W32" s="29">
        <f>SUM($T$32:$V$32)</f>
        <v>0</v>
      </c>
      <c r="X32" s="29">
        <f>'TE BE'!$AB$32*'TE BE'!$X$48</f>
        <v>0</v>
      </c>
      <c r="Y32" s="29">
        <f>SUM($X$32:$X$32)</f>
        <v>0</v>
      </c>
      <c r="Z32" s="29">
        <f>'TE BE'!$Z$32*'TE BE'!$Z$48</f>
        <v>0</v>
      </c>
      <c r="AA32" s="29">
        <f>SUM($Z$32:$Z$32)</f>
        <v>0</v>
      </c>
      <c r="AB32" s="29">
        <f>SUMIF($L$4:$AA$4,"SUBTOTAL",$L$32:$AA$32)</f>
        <v>7.3830752574921021</v>
      </c>
    </row>
    <row r="33" spans="1:28" ht="11.25" customHeight="1" x14ac:dyDescent="0.25">
      <c r="A33" s="105"/>
      <c r="B33" s="105"/>
      <c r="C33" s="105"/>
      <c r="D33" s="31" t="s">
        <v>88</v>
      </c>
      <c r="E33" s="31" t="s">
        <v>25</v>
      </c>
      <c r="F33" s="31" t="s">
        <v>25</v>
      </c>
      <c r="G33" s="32" t="s">
        <v>78</v>
      </c>
      <c r="H33" s="32" t="s">
        <v>72</v>
      </c>
      <c r="I33" s="32">
        <f>'MERCADO TE'!$U$30</f>
        <v>0</v>
      </c>
      <c r="J33" s="15"/>
      <c r="L33" s="29">
        <f>'TE BE'!$L$33*'TE BE'!$L$48</f>
        <v>0</v>
      </c>
      <c r="M33" s="29">
        <f>'TE BE'!$M$33*'TE BE'!$M$48</f>
        <v>0</v>
      </c>
      <c r="N33" s="29">
        <f>'TE BE'!$N$33*'TE BE'!$N$48</f>
        <v>0</v>
      </c>
      <c r="O33" s="29">
        <f>'TE BE'!$O$33*'TE BE'!$O$48</f>
        <v>0</v>
      </c>
      <c r="P33" s="29">
        <f>'TE BE'!$P$33*'TE BE'!$P$48</f>
        <v>0</v>
      </c>
      <c r="Q33" s="29">
        <f>SUM($L$33:$P$33)</f>
        <v>0</v>
      </c>
      <c r="R33" s="29">
        <f>'TE BE'!$R$33*'TE BE'!$R$48</f>
        <v>7.3830752574921021</v>
      </c>
      <c r="S33" s="29">
        <f>SUM($R$33:$R$33)</f>
        <v>7.3830752574921021</v>
      </c>
      <c r="T33" s="29">
        <f>'TE BE'!$T$33*'TE BE'!$T$48</f>
        <v>0</v>
      </c>
      <c r="U33" s="29">
        <f>'TE BE'!$U$33*'TE BE'!$U$48</f>
        <v>0</v>
      </c>
      <c r="V33" s="29">
        <f>'TE BE'!$V$33*'TE BE'!$V$48</f>
        <v>0</v>
      </c>
      <c r="W33" s="29">
        <f>SUM($T$33:$V$33)</f>
        <v>0</v>
      </c>
      <c r="X33" s="29">
        <f>'TE BE'!$AB$33*'TE BE'!$X$48</f>
        <v>0</v>
      </c>
      <c r="Y33" s="29">
        <f>SUM($X$33:$X$33)</f>
        <v>0</v>
      </c>
      <c r="Z33" s="29">
        <f>'TE BE'!$Z$33*'TE BE'!$Z$48</f>
        <v>0</v>
      </c>
      <c r="AA33" s="29">
        <f>SUM($Z$33:$Z$33)</f>
        <v>0</v>
      </c>
      <c r="AB33" s="29">
        <f>SUMIF($L$4:$AA$4,"SUBTOTAL",$L$33:$AA$33)</f>
        <v>7.3830752574921021</v>
      </c>
    </row>
    <row r="34" spans="1:28" ht="11.25" customHeight="1" x14ac:dyDescent="0.25">
      <c r="A34" s="105"/>
      <c r="B34" s="105"/>
      <c r="C34" s="105"/>
      <c r="D34" s="31" t="s">
        <v>89</v>
      </c>
      <c r="E34" s="31" t="s">
        <v>25</v>
      </c>
      <c r="F34" s="31" t="s">
        <v>25</v>
      </c>
      <c r="G34" s="32" t="s">
        <v>78</v>
      </c>
      <c r="H34" s="32" t="s">
        <v>72</v>
      </c>
      <c r="I34" s="32">
        <f>'MERCADO TE'!$U$31</f>
        <v>0</v>
      </c>
      <c r="J34" s="15"/>
      <c r="L34" s="29">
        <f>'TE BE'!$L$34*'TE BE'!$L$48</f>
        <v>0</v>
      </c>
      <c r="M34" s="29">
        <f>'TE BE'!$M$34*'TE BE'!$M$48</f>
        <v>0</v>
      </c>
      <c r="N34" s="29">
        <f>'TE BE'!$N$34*'TE BE'!$N$48</f>
        <v>0</v>
      </c>
      <c r="O34" s="29">
        <f>'TE BE'!$O$34*'TE BE'!$O$48</f>
        <v>0</v>
      </c>
      <c r="P34" s="29">
        <f>'TE BE'!$P$34*'TE BE'!$P$48</f>
        <v>0</v>
      </c>
      <c r="Q34" s="29">
        <f>SUM($L$34:$P$34)</f>
        <v>0</v>
      </c>
      <c r="R34" s="29">
        <f>'TE BE'!$R$34*'TE BE'!$R$48</f>
        <v>7.3830752574921021</v>
      </c>
      <c r="S34" s="29">
        <f>SUM($R$34:$R$34)</f>
        <v>7.3830752574921021</v>
      </c>
      <c r="T34" s="29">
        <f>'TE BE'!$T$34*'TE BE'!$T$48</f>
        <v>0</v>
      </c>
      <c r="U34" s="29">
        <f>'TE BE'!$U$34*'TE BE'!$U$48</f>
        <v>0</v>
      </c>
      <c r="V34" s="29">
        <f>'TE BE'!$V$34*'TE BE'!$V$48</f>
        <v>0</v>
      </c>
      <c r="W34" s="29">
        <f>SUM($T$34:$V$34)</f>
        <v>0</v>
      </c>
      <c r="X34" s="29">
        <f>'TE BE'!$AB$34*'TE BE'!$X$48</f>
        <v>0</v>
      </c>
      <c r="Y34" s="29">
        <f>SUM($X$34:$X$34)</f>
        <v>0</v>
      </c>
      <c r="Z34" s="29">
        <f>'TE BE'!$Z$34*'TE BE'!$Z$48</f>
        <v>0</v>
      </c>
      <c r="AA34" s="29">
        <f>SUM($Z$34:$Z$34)</f>
        <v>0</v>
      </c>
      <c r="AB34" s="29">
        <f>SUMIF($L$4:$AA$4,"SUBTOTAL",$L$34:$AA$34)</f>
        <v>7.3830752574921021</v>
      </c>
    </row>
    <row r="35" spans="1:28" ht="11.25" customHeight="1" x14ac:dyDescent="0.25">
      <c r="A35" s="105" t="s">
        <v>33</v>
      </c>
      <c r="B35" s="105" t="s">
        <v>71</v>
      </c>
      <c r="C35" s="105" t="s">
        <v>25</v>
      </c>
      <c r="D35" s="105" t="s">
        <v>25</v>
      </c>
      <c r="E35" s="105" t="s">
        <v>25</v>
      </c>
      <c r="F35" s="105" t="s">
        <v>25</v>
      </c>
      <c r="G35" s="32" t="s">
        <v>73</v>
      </c>
      <c r="H35" s="32" t="s">
        <v>72</v>
      </c>
      <c r="I35" s="32">
        <f>'MERCADO TE'!$U$32</f>
        <v>0</v>
      </c>
      <c r="J35" s="15"/>
      <c r="L35" s="29">
        <f>'TE BE'!$L$35*'TE BE'!$L$48</f>
        <v>0</v>
      </c>
      <c r="M35" s="29">
        <f>'TE BE'!$M$35*'TE BE'!$M$48</f>
        <v>0</v>
      </c>
      <c r="N35" s="29">
        <f>'TE BE'!$N$35*'TE BE'!$N$48</f>
        <v>0</v>
      </c>
      <c r="O35" s="29">
        <f>'TE BE'!$O$35*'TE BE'!$O$48</f>
        <v>0</v>
      </c>
      <c r="P35" s="29">
        <f>'TE BE'!$P$35*'TE BE'!$P$48</f>
        <v>0</v>
      </c>
      <c r="Q35" s="29">
        <f>SUM($L$35:$P$35)</f>
        <v>0</v>
      </c>
      <c r="R35" s="29">
        <f>'TE BE'!$R$35*'TE BE'!$R$48</f>
        <v>7.3830752574921021</v>
      </c>
      <c r="S35" s="29">
        <f>SUM($R$35:$R$35)</f>
        <v>7.3830752574921021</v>
      </c>
      <c r="T35" s="29">
        <f>'TE BE'!$T$35*'TE BE'!$T$48</f>
        <v>0</v>
      </c>
      <c r="U35" s="29">
        <f>'TE BE'!$U$35*'TE BE'!$U$48</f>
        <v>0</v>
      </c>
      <c r="V35" s="29">
        <f>'TE BE'!$V$35*'TE BE'!$V$48</f>
        <v>0</v>
      </c>
      <c r="W35" s="29">
        <f>SUM($T$35:$V$35)</f>
        <v>0</v>
      </c>
      <c r="X35" s="29">
        <f>'TE BE'!$AB$35*'TE BE'!$X$48</f>
        <v>0</v>
      </c>
      <c r="Y35" s="29">
        <f>SUM($X$35:$X$35)</f>
        <v>0</v>
      </c>
      <c r="Z35" s="29">
        <f>'TE BE'!$Z$35*'TE BE'!$Z$48</f>
        <v>0</v>
      </c>
      <c r="AA35" s="29">
        <f>SUM($Z$35:$Z$35)</f>
        <v>0</v>
      </c>
      <c r="AB35" s="29">
        <f>SUMIF($L$4:$AA$4,"SUBTOTAL",$L$35:$AA$35)</f>
        <v>7.3830752574921021</v>
      </c>
    </row>
    <row r="36" spans="1:28" ht="11.25" customHeight="1" x14ac:dyDescent="0.25">
      <c r="A36" s="105"/>
      <c r="B36" s="105"/>
      <c r="C36" s="105"/>
      <c r="D36" s="105"/>
      <c r="E36" s="105"/>
      <c r="F36" s="105"/>
      <c r="G36" s="32" t="s">
        <v>83</v>
      </c>
      <c r="H36" s="32" t="s">
        <v>72</v>
      </c>
      <c r="I36" s="32">
        <f>'MERCADO TE'!$U$33</f>
        <v>0</v>
      </c>
      <c r="J36" s="15"/>
      <c r="L36" s="29">
        <f>'TE BE'!$L$36*'TE BE'!$L$48</f>
        <v>0</v>
      </c>
      <c r="M36" s="29">
        <f>'TE BE'!$M$36*'TE BE'!$M$48</f>
        <v>0</v>
      </c>
      <c r="N36" s="29">
        <f>'TE BE'!$N$36*'TE BE'!$N$48</f>
        <v>0</v>
      </c>
      <c r="O36" s="29">
        <f>'TE BE'!$O$36*'TE BE'!$O$48</f>
        <v>0</v>
      </c>
      <c r="P36" s="29">
        <f>'TE BE'!$P$36*'TE BE'!$P$48</f>
        <v>0</v>
      </c>
      <c r="Q36" s="29">
        <f>SUM($L$36:$P$36)</f>
        <v>0</v>
      </c>
      <c r="R36" s="29">
        <f>'TE BE'!$R$36*'TE BE'!$R$48</f>
        <v>7.3830752574921021</v>
      </c>
      <c r="S36" s="29">
        <f>SUM($R$36:$R$36)</f>
        <v>7.3830752574921021</v>
      </c>
      <c r="T36" s="29">
        <f>'TE BE'!$T$36*'TE BE'!$T$48</f>
        <v>0</v>
      </c>
      <c r="U36" s="29">
        <f>'TE BE'!$U$36*'TE BE'!$U$48</f>
        <v>0</v>
      </c>
      <c r="V36" s="29">
        <f>'TE BE'!$V$36*'TE BE'!$V$48</f>
        <v>0</v>
      </c>
      <c r="W36" s="29">
        <f>SUM($T$36:$V$36)</f>
        <v>0</v>
      </c>
      <c r="X36" s="29">
        <f>'TE BE'!$AB$36*'TE BE'!$X$48</f>
        <v>0</v>
      </c>
      <c r="Y36" s="29">
        <f>SUM($X$36:$X$36)</f>
        <v>0</v>
      </c>
      <c r="Z36" s="29">
        <f>'TE BE'!$Z$36*'TE BE'!$Z$48</f>
        <v>0</v>
      </c>
      <c r="AA36" s="29">
        <f>SUM($Z$36:$Z$36)</f>
        <v>0</v>
      </c>
      <c r="AB36" s="29">
        <f>SUMIF($L$4:$AA$4,"SUBTOTAL",$L$36:$AA$36)</f>
        <v>7.3830752574921021</v>
      </c>
    </row>
    <row r="37" spans="1:28" ht="11.25" customHeight="1" x14ac:dyDescent="0.25">
      <c r="A37" s="105"/>
      <c r="B37" s="105"/>
      <c r="C37" s="105"/>
      <c r="D37" s="105"/>
      <c r="E37" s="105"/>
      <c r="F37" s="105"/>
      <c r="G37" s="32" t="s">
        <v>74</v>
      </c>
      <c r="H37" s="32" t="s">
        <v>72</v>
      </c>
      <c r="I37" s="32">
        <f>'MERCADO TE'!$U$34</f>
        <v>0</v>
      </c>
      <c r="J37" s="15"/>
      <c r="L37" s="29">
        <f>'TE BE'!$L$37*'TE BE'!$L$48</f>
        <v>0</v>
      </c>
      <c r="M37" s="29">
        <f>'TE BE'!$M$37*'TE BE'!$M$48</f>
        <v>0</v>
      </c>
      <c r="N37" s="29">
        <f>'TE BE'!$N$37*'TE BE'!$N$48</f>
        <v>0</v>
      </c>
      <c r="O37" s="29">
        <f>'TE BE'!$O$37*'TE BE'!$O$48</f>
        <v>0</v>
      </c>
      <c r="P37" s="29">
        <f>'TE BE'!$P$37*'TE BE'!$P$48</f>
        <v>0</v>
      </c>
      <c r="Q37" s="29">
        <f>SUM($L$37:$P$37)</f>
        <v>0</v>
      </c>
      <c r="R37" s="29">
        <f>'TE BE'!$R$37*'TE BE'!$R$48</f>
        <v>7.3830752574921021</v>
      </c>
      <c r="S37" s="29">
        <f>SUM($R$37:$R$37)</f>
        <v>7.3830752574921021</v>
      </c>
      <c r="T37" s="29">
        <f>'TE BE'!$T$37*'TE BE'!$T$48</f>
        <v>0</v>
      </c>
      <c r="U37" s="29">
        <f>'TE BE'!$U$37*'TE BE'!$U$48</f>
        <v>0</v>
      </c>
      <c r="V37" s="29">
        <f>'TE BE'!$V$37*'TE BE'!$V$48</f>
        <v>0</v>
      </c>
      <c r="W37" s="29">
        <f>SUM($T$37:$V$37)</f>
        <v>0</v>
      </c>
      <c r="X37" s="29">
        <f>'TE BE'!$AB$37*'TE BE'!$X$48</f>
        <v>0</v>
      </c>
      <c r="Y37" s="29">
        <f>SUM($X$37:$X$37)</f>
        <v>0</v>
      </c>
      <c r="Z37" s="29">
        <f>'TE BE'!$Z$37*'TE BE'!$Z$48</f>
        <v>0</v>
      </c>
      <c r="AA37" s="29">
        <f>SUM($Z$37:$Z$37)</f>
        <v>0</v>
      </c>
      <c r="AB37" s="29">
        <f>SUMIF($L$4:$AA$4,"SUBTOTAL",$L$37:$AA$37)</f>
        <v>7.3830752574921021</v>
      </c>
    </row>
    <row r="38" spans="1:28" ht="11.25" customHeight="1" x14ac:dyDescent="0.25">
      <c r="A38" s="105"/>
      <c r="B38" s="31" t="s">
        <v>84</v>
      </c>
      <c r="C38" s="31" t="s">
        <v>25</v>
      </c>
      <c r="D38" s="31" t="s">
        <v>25</v>
      </c>
      <c r="E38" s="31" t="s">
        <v>25</v>
      </c>
      <c r="F38" s="31" t="s">
        <v>25</v>
      </c>
      <c r="G38" s="32" t="s">
        <v>78</v>
      </c>
      <c r="H38" s="32" t="s">
        <v>72</v>
      </c>
      <c r="I38" s="32">
        <f>'MERCADO TE'!$U$35</f>
        <v>6621.2499999999991</v>
      </c>
      <c r="J38" s="15"/>
      <c r="L38" s="29">
        <f>'TE BE'!$L$38*'TE BE'!$L$48</f>
        <v>0</v>
      </c>
      <c r="M38" s="29">
        <f>'TE BE'!$M$38*'TE BE'!$M$48</f>
        <v>0</v>
      </c>
      <c r="N38" s="29">
        <f>'TE BE'!$N$38*'TE BE'!$N$48</f>
        <v>0</v>
      </c>
      <c r="O38" s="29">
        <f>'TE BE'!$O$38*'TE BE'!$O$48</f>
        <v>0</v>
      </c>
      <c r="P38" s="29">
        <f>'TE BE'!$P$38*'TE BE'!$P$48</f>
        <v>0</v>
      </c>
      <c r="Q38" s="29">
        <f>SUM($L$38:$P$38)</f>
        <v>0</v>
      </c>
      <c r="R38" s="29">
        <f>'TE BE'!$R$38*'TE BE'!$R$48</f>
        <v>7.3830752574921021</v>
      </c>
      <c r="S38" s="29">
        <f>SUM($R$38:$R$38)</f>
        <v>7.3830752574921021</v>
      </c>
      <c r="T38" s="29">
        <f>'TE BE'!$T$38*'TE BE'!$T$48</f>
        <v>0</v>
      </c>
      <c r="U38" s="29">
        <f>'TE BE'!$U$38*'TE BE'!$U$48</f>
        <v>0</v>
      </c>
      <c r="V38" s="29">
        <f>'TE BE'!$V$38*'TE BE'!$V$48</f>
        <v>0</v>
      </c>
      <c r="W38" s="29">
        <f>SUM($T$38:$V$38)</f>
        <v>0</v>
      </c>
      <c r="X38" s="29">
        <f>'TE BE'!$AB$38*'TE BE'!$X$48</f>
        <v>0</v>
      </c>
      <c r="Y38" s="29">
        <f>SUM($X$38:$X$38)</f>
        <v>0</v>
      </c>
      <c r="Z38" s="29">
        <f>'TE BE'!$Z$38*'TE BE'!$Z$48</f>
        <v>0</v>
      </c>
      <c r="AA38" s="29">
        <f>SUM($Z$38:$Z$38)</f>
        <v>0</v>
      </c>
      <c r="AB38" s="29">
        <f>SUMIF($L$4:$AA$4,"SUBTOTAL",$L$38:$AA$38)</f>
        <v>7.3830752574921021</v>
      </c>
    </row>
    <row r="39" spans="1:28" ht="11.25" customHeight="1" x14ac:dyDescent="0.25">
      <c r="A39" s="105"/>
      <c r="B39" s="31" t="s">
        <v>86</v>
      </c>
      <c r="C39" s="31" t="s">
        <v>25</v>
      </c>
      <c r="D39" s="31" t="s">
        <v>25</v>
      </c>
      <c r="E39" s="31" t="s">
        <v>25</v>
      </c>
      <c r="F39" s="31" t="s">
        <v>25</v>
      </c>
      <c r="G39" s="32" t="s">
        <v>78</v>
      </c>
      <c r="H39" s="32" t="s">
        <v>72</v>
      </c>
      <c r="I39" s="32">
        <f>'MERCADO TE'!$U$36</f>
        <v>0</v>
      </c>
      <c r="J39" s="15"/>
      <c r="L39" s="29">
        <f>'TE BE'!$L$39*'TE BE'!$L$48</f>
        <v>0</v>
      </c>
      <c r="M39" s="29">
        <f>'TE BE'!$M$39*'TE BE'!$M$48</f>
        <v>0</v>
      </c>
      <c r="N39" s="29">
        <f>'TE BE'!$N$39*'TE BE'!$N$48</f>
        <v>0</v>
      </c>
      <c r="O39" s="29">
        <f>'TE BE'!$O$39*'TE BE'!$O$48</f>
        <v>0</v>
      </c>
      <c r="P39" s="29">
        <f>'TE BE'!$P$39*'TE BE'!$P$48</f>
        <v>0</v>
      </c>
      <c r="Q39" s="29">
        <f>SUM($L$39:$P$39)</f>
        <v>0</v>
      </c>
      <c r="R39" s="29">
        <f>'TE BE'!$R$39*'TE BE'!$R$48</f>
        <v>7.3830752574921021</v>
      </c>
      <c r="S39" s="29">
        <f>SUM($R$39:$R$39)</f>
        <v>7.3830752574921021</v>
      </c>
      <c r="T39" s="29">
        <f>'TE BE'!$T$39*'TE BE'!$T$48</f>
        <v>0</v>
      </c>
      <c r="U39" s="29">
        <f>'TE BE'!$U$39*'TE BE'!$U$48</f>
        <v>0</v>
      </c>
      <c r="V39" s="29">
        <f>'TE BE'!$V$39*'TE BE'!$V$48</f>
        <v>0</v>
      </c>
      <c r="W39" s="29">
        <f>SUM($T$39:$V$39)</f>
        <v>0</v>
      </c>
      <c r="X39" s="29">
        <f>'TE BE'!$AB$39*'TE BE'!$X$48</f>
        <v>0</v>
      </c>
      <c r="Y39" s="29">
        <f>SUM($X$39:$X$39)</f>
        <v>0</v>
      </c>
      <c r="Z39" s="29">
        <f>'TE BE'!$Z$39*'TE BE'!$Z$48</f>
        <v>0</v>
      </c>
      <c r="AA39" s="29">
        <f>SUM($Z$39:$Z$39)</f>
        <v>0</v>
      </c>
      <c r="AB39" s="29">
        <f>SUMIF($L$4:$AA$4,"SUBTOTAL",$L$39:$AA$39)</f>
        <v>7.3830752574921021</v>
      </c>
    </row>
    <row r="40" spans="1:28" ht="11.25" customHeight="1" x14ac:dyDescent="0.25">
      <c r="A40" s="105" t="s">
        <v>43</v>
      </c>
      <c r="B40" s="105" t="s">
        <v>84</v>
      </c>
      <c r="C40" s="105" t="s">
        <v>44</v>
      </c>
      <c r="D40" s="31" t="s">
        <v>45</v>
      </c>
      <c r="E40" s="31" t="s">
        <v>25</v>
      </c>
      <c r="F40" s="31" t="s">
        <v>25</v>
      </c>
      <c r="G40" s="32" t="s">
        <v>78</v>
      </c>
      <c r="H40" s="32" t="s">
        <v>72</v>
      </c>
      <c r="I40" s="32">
        <f>'MERCADO TE'!$U$37</f>
        <v>930.54300000000012</v>
      </c>
      <c r="J40" s="15"/>
      <c r="L40" s="29">
        <f>'TE BE'!$L$40*'TE BE'!$L$48</f>
        <v>0</v>
      </c>
      <c r="M40" s="29">
        <f>'TE BE'!$M$40*'TE BE'!$M$48</f>
        <v>0</v>
      </c>
      <c r="N40" s="29">
        <f>'TE BE'!$N$40*'TE BE'!$N$48</f>
        <v>0</v>
      </c>
      <c r="O40" s="29">
        <f>'TE BE'!$O$40*'TE BE'!$O$48</f>
        <v>0</v>
      </c>
      <c r="P40" s="29">
        <f>'TE BE'!$P$40*'TE BE'!$P$48</f>
        <v>0</v>
      </c>
      <c r="Q40" s="29">
        <f>SUM($L$40:$P$40)</f>
        <v>0</v>
      </c>
      <c r="R40" s="29">
        <f>'TE BE'!$R$40*'TE BE'!$R$48</f>
        <v>4.0606913916206562</v>
      </c>
      <c r="S40" s="29">
        <f>SUM($R$40:$R$40)</f>
        <v>4.0606913916206562</v>
      </c>
      <c r="T40" s="29">
        <f>'TE BE'!$T$40*'TE BE'!$T$48</f>
        <v>0</v>
      </c>
      <c r="U40" s="29">
        <f>'TE BE'!$U$40*'TE BE'!$U$48</f>
        <v>0</v>
      </c>
      <c r="V40" s="29">
        <f>'TE BE'!$V$40*'TE BE'!$V$48</f>
        <v>0</v>
      </c>
      <c r="W40" s="29">
        <f>SUM($T$40:$V$40)</f>
        <v>0</v>
      </c>
      <c r="X40" s="29">
        <f>'TE BE'!$AB$40*'TE BE'!$X$48</f>
        <v>0</v>
      </c>
      <c r="Y40" s="29">
        <f>SUM($X$40:$X$40)</f>
        <v>0</v>
      </c>
      <c r="Z40" s="29">
        <f>'TE BE'!$Z$40*'TE BE'!$Z$48</f>
        <v>0</v>
      </c>
      <c r="AA40" s="29">
        <f>SUM($Z$40:$Z$40)</f>
        <v>0</v>
      </c>
      <c r="AB40" s="29">
        <f>SUMIF($L$4:$AA$4,"SUBTOTAL",$L$40:$AA$40)</f>
        <v>4.0606913916206562</v>
      </c>
    </row>
    <row r="41" spans="1:28" ht="11.25" customHeight="1" x14ac:dyDescent="0.25">
      <c r="A41" s="105"/>
      <c r="B41" s="105"/>
      <c r="C41" s="105"/>
      <c r="D41" s="32" t="s">
        <v>90</v>
      </c>
      <c r="E41" s="32" t="s">
        <v>25</v>
      </c>
      <c r="F41" s="32" t="s">
        <v>25</v>
      </c>
      <c r="G41" s="32" t="s">
        <v>78</v>
      </c>
      <c r="H41" s="32" t="s">
        <v>72</v>
      </c>
      <c r="I41" s="32">
        <f>'MERCADO TE'!$U$38</f>
        <v>0</v>
      </c>
      <c r="J41" s="15"/>
      <c r="L41" s="29">
        <f>'TE BE'!$L$41*'TE BE'!$L$48</f>
        <v>0</v>
      </c>
      <c r="M41" s="29">
        <f>'TE BE'!$M$41*'TE BE'!$M$48</f>
        <v>0</v>
      </c>
      <c r="N41" s="29">
        <f>'TE BE'!$N$41*'TE BE'!$N$48</f>
        <v>0</v>
      </c>
      <c r="O41" s="29">
        <f>'TE BE'!$O$41*'TE BE'!$O$48</f>
        <v>0</v>
      </c>
      <c r="P41" s="29">
        <f>'TE BE'!$P$41*'TE BE'!$P$48</f>
        <v>0</v>
      </c>
      <c r="Q41" s="29">
        <f>SUM($L$41:$P$41)</f>
        <v>0</v>
      </c>
      <c r="R41" s="29">
        <f>'TE BE'!$R$41*'TE BE'!$R$48</f>
        <v>4.4298451544952613</v>
      </c>
      <c r="S41" s="29">
        <f>SUM($R$41:$R$41)</f>
        <v>4.4298451544952613</v>
      </c>
      <c r="T41" s="29">
        <f>'TE BE'!$T$41*'TE BE'!$T$48</f>
        <v>0</v>
      </c>
      <c r="U41" s="29">
        <f>'TE BE'!$U$41*'TE BE'!$U$48</f>
        <v>0</v>
      </c>
      <c r="V41" s="29">
        <f>'TE BE'!$V$41*'TE BE'!$V$48</f>
        <v>0</v>
      </c>
      <c r="W41" s="29">
        <f>SUM($T$41:$V$41)</f>
        <v>0</v>
      </c>
      <c r="X41" s="29">
        <f>'TE BE'!$AB$41*'TE BE'!$X$48</f>
        <v>0</v>
      </c>
      <c r="Y41" s="29">
        <f>SUM($X$41:$X$41)</f>
        <v>0</v>
      </c>
      <c r="Z41" s="29">
        <f>'TE BE'!$Z$41*'TE BE'!$Z$48</f>
        <v>0</v>
      </c>
      <c r="AA41" s="29">
        <f>SUM($Z$41:$Z$41)</f>
        <v>0</v>
      </c>
      <c r="AB41" s="29">
        <f>SUMIF($L$4:$AA$4,"SUBTOTAL",$L$41:$AA$41)</f>
        <v>4.4298451544952613</v>
      </c>
    </row>
    <row r="43" spans="1:28" ht="11.25" customHeight="1" x14ac:dyDescent="0.25">
      <c r="K43" s="34" t="s">
        <v>503</v>
      </c>
      <c r="L43" s="29">
        <f t="shared" ref="L43:AB43" si="0">SUMPRODUCT($I$5:$I$41,L$5:L$41)</f>
        <v>0</v>
      </c>
      <c r="M43" s="29">
        <f t="shared" si="0"/>
        <v>0</v>
      </c>
      <c r="N43" s="29">
        <f t="shared" si="0"/>
        <v>0</v>
      </c>
      <c r="O43" s="29">
        <f t="shared" si="0"/>
        <v>0</v>
      </c>
      <c r="P43" s="29">
        <f t="shared" si="0"/>
        <v>0</v>
      </c>
      <c r="Q43" s="29">
        <f t="shared" si="0"/>
        <v>0</v>
      </c>
      <c r="R43" s="29">
        <f t="shared" si="0"/>
        <v>672851.016317948</v>
      </c>
      <c r="S43" s="29">
        <f t="shared" si="0"/>
        <v>672851.016317948</v>
      </c>
      <c r="T43" s="29">
        <f t="shared" si="0"/>
        <v>0</v>
      </c>
      <c r="U43" s="29">
        <f t="shared" si="0"/>
        <v>0</v>
      </c>
      <c r="V43" s="29">
        <f t="shared" si="0"/>
        <v>0</v>
      </c>
      <c r="W43" s="29">
        <f t="shared" si="0"/>
        <v>0</v>
      </c>
      <c r="X43" s="29">
        <f t="shared" si="0"/>
        <v>0</v>
      </c>
      <c r="Y43" s="29">
        <f t="shared" si="0"/>
        <v>0</v>
      </c>
      <c r="Z43" s="29">
        <f t="shared" si="0"/>
        <v>0</v>
      </c>
      <c r="AA43" s="29">
        <f t="shared" si="0"/>
        <v>0</v>
      </c>
      <c r="AB43" s="29">
        <f t="shared" si="0"/>
        <v>672851.016317948</v>
      </c>
    </row>
    <row r="44" spans="1:28" ht="11.25" customHeight="1" x14ac:dyDescent="0.25">
      <c r="K44" s="34" t="s">
        <v>428</v>
      </c>
      <c r="L44" s="29">
        <f>CUSTOS!$D$30</f>
        <v>0</v>
      </c>
      <c r="M44" s="29">
        <f>CUSTOS!$D$31</f>
        <v>0</v>
      </c>
      <c r="N44" s="29">
        <f>CUSTOS!$D$32</f>
        <v>0</v>
      </c>
      <c r="O44" s="29">
        <f>CUSTOS!$D$33</f>
        <v>0</v>
      </c>
      <c r="P44" s="29">
        <f>CUSTOS!$D$34</f>
        <v>0</v>
      </c>
      <c r="Q44" s="29">
        <f>CUSTOS!$D$35</f>
        <v>0</v>
      </c>
      <c r="R44" s="29">
        <f>CUSTOS!$D$36</f>
        <v>11703750.588352593</v>
      </c>
      <c r="S44" s="29">
        <f>CUSTOS!$D$37</f>
        <v>11703750.588352593</v>
      </c>
      <c r="T44" s="29">
        <f>CUSTOS!$D$38</f>
        <v>0</v>
      </c>
      <c r="U44" s="29">
        <f>CUSTOS!$D$39</f>
        <v>0</v>
      </c>
      <c r="V44" s="29">
        <f>CUSTOS!$D$40</f>
        <v>0</v>
      </c>
      <c r="W44" s="29">
        <f>CUSTOS!$D$41</f>
        <v>0</v>
      </c>
      <c r="X44" s="29">
        <f>CUSTOS!$D$42</f>
        <v>0</v>
      </c>
      <c r="Y44" s="29">
        <f>CUSTOS!$D$43</f>
        <v>0</v>
      </c>
      <c r="Z44" s="29">
        <f>CUSTOS!$D$44</f>
        <v>0</v>
      </c>
      <c r="AA44" s="29">
        <f>CUSTOS!$D$45</f>
        <v>0</v>
      </c>
      <c r="AB44" s="29">
        <f>CUSTOS!$D$46</f>
        <v>11703750.588352593</v>
      </c>
    </row>
    <row r="45" spans="1:28" ht="11.25" customHeight="1" x14ac:dyDescent="0.25">
      <c r="K45" s="34" t="s">
        <v>429</v>
      </c>
      <c r="L45" s="29">
        <f>CUSTOS!$E$30</f>
        <v>0</v>
      </c>
      <c r="M45" s="29">
        <f>CUSTOS!$E$31</f>
        <v>0</v>
      </c>
      <c r="N45" s="29">
        <f>CUSTOS!$E$32</f>
        <v>0</v>
      </c>
      <c r="O45" s="29">
        <f>CUSTOS!$E$33</f>
        <v>0</v>
      </c>
      <c r="P45" s="29">
        <f>CUSTOS!$E$34</f>
        <v>0</v>
      </c>
      <c r="Q45" s="29">
        <f>CUSTOS!$E$35</f>
        <v>0</v>
      </c>
      <c r="R45" s="29">
        <f>CUSTOS!$E$36</f>
        <v>672851.01631794788</v>
      </c>
      <c r="S45" s="29">
        <f>CUSTOS!$E$37</f>
        <v>672851.01631794788</v>
      </c>
      <c r="T45" s="29">
        <f>CUSTOS!$E$38</f>
        <v>0</v>
      </c>
      <c r="U45" s="29">
        <f>CUSTOS!$E$39</f>
        <v>0</v>
      </c>
      <c r="V45" s="29">
        <f>CUSTOS!$E$40</f>
        <v>0</v>
      </c>
      <c r="W45" s="29">
        <f>CUSTOS!$E$41</f>
        <v>0</v>
      </c>
      <c r="X45" s="29">
        <f>CUSTOS!$E$42</f>
        <v>0</v>
      </c>
      <c r="Y45" s="29">
        <f>CUSTOS!$E$43</f>
        <v>0</v>
      </c>
      <c r="Z45" s="29">
        <f>CUSTOS!$E$44</f>
        <v>0</v>
      </c>
      <c r="AA45" s="29">
        <f>CUSTOS!$E$45</f>
        <v>0</v>
      </c>
      <c r="AB45" s="29">
        <f>CUSTOS!$E$46</f>
        <v>672851.01631794788</v>
      </c>
    </row>
    <row r="46" spans="1:28" ht="11.25" customHeight="1" x14ac:dyDescent="0.25">
      <c r="K46" s="34" t="s">
        <v>430</v>
      </c>
      <c r="L46" s="29">
        <f>CUSTOS!$F$30</f>
        <v>0</v>
      </c>
      <c r="M46" s="29">
        <f>CUSTOS!$F$31</f>
        <v>0</v>
      </c>
      <c r="N46" s="29">
        <f>CUSTOS!$F$32</f>
        <v>0</v>
      </c>
      <c r="O46" s="29">
        <f>CUSTOS!$F$33</f>
        <v>0</v>
      </c>
      <c r="P46" s="29">
        <f>CUSTOS!$F$34</f>
        <v>0</v>
      </c>
      <c r="Q46" s="29">
        <f>CUSTOS!$F$35</f>
        <v>0</v>
      </c>
      <c r="R46" s="29">
        <f>CUSTOS!$F$36</f>
        <v>0</v>
      </c>
      <c r="S46" s="29">
        <f>CUSTOS!$F$37</f>
        <v>0</v>
      </c>
      <c r="T46" s="29">
        <f>CUSTOS!$F$38</f>
        <v>0</v>
      </c>
      <c r="U46" s="29">
        <f>CUSTOS!$F$39</f>
        <v>0</v>
      </c>
      <c r="V46" s="29">
        <f>CUSTOS!$F$40</f>
        <v>0</v>
      </c>
      <c r="W46" s="29">
        <f>CUSTOS!$F$41</f>
        <v>0</v>
      </c>
      <c r="X46" s="29">
        <f>CUSTOS!$F$42</f>
        <v>0</v>
      </c>
      <c r="Y46" s="29">
        <f>CUSTOS!$F$43</f>
        <v>0</v>
      </c>
      <c r="Z46" s="29">
        <f>CUSTOS!$F$44</f>
        <v>0</v>
      </c>
      <c r="AA46" s="29">
        <f>CUSTOS!$F$45</f>
        <v>0</v>
      </c>
      <c r="AB46" s="29">
        <f>CUSTOS!$F$46</f>
        <v>0</v>
      </c>
    </row>
    <row r="47" spans="1:28" ht="11.25" customHeight="1" x14ac:dyDescent="0.25">
      <c r="K47" s="34" t="s">
        <v>504</v>
      </c>
      <c r="L47" s="29">
        <f>'TR TE'!$L$47*L48</f>
        <v>0</v>
      </c>
      <c r="M47" s="29">
        <f>'TR TE'!$M$47*M48</f>
        <v>0</v>
      </c>
      <c r="N47" s="29">
        <f>'TR TE'!$N$47*N48</f>
        <v>0</v>
      </c>
      <c r="O47" s="29">
        <f>'TR TE'!$O$47*O48</f>
        <v>0</v>
      </c>
      <c r="P47" s="29">
        <f>'TR TE'!$P$47*P48</f>
        <v>0</v>
      </c>
      <c r="Q47" s="29"/>
      <c r="R47" s="29">
        <f>'TR TE'!$R$47*R48</f>
        <v>0</v>
      </c>
      <c r="S47" s="29"/>
      <c r="T47" s="29">
        <f>'TR TE'!$T$47*T48</f>
        <v>0</v>
      </c>
      <c r="U47" s="29">
        <f>'TR TE'!$U$47*U48</f>
        <v>0</v>
      </c>
      <c r="V47" s="29">
        <f>'TR TE'!$V$47*V48</f>
        <v>0</v>
      </c>
      <c r="W47" s="29"/>
      <c r="X47" s="29"/>
      <c r="Y47" s="29"/>
      <c r="Z47" s="29">
        <f>'TR TE'!$Z$47*Z48</f>
        <v>0</v>
      </c>
      <c r="AA47" s="29"/>
      <c r="AB47" s="29"/>
    </row>
    <row r="48" spans="1:28" ht="11.25" customHeight="1" x14ac:dyDescent="0.25">
      <c r="K48" s="34" t="s">
        <v>499</v>
      </c>
      <c r="L48" s="29">
        <f>IF(L44&lt;&gt;0,L46/L44,0)</f>
        <v>0</v>
      </c>
      <c r="M48" s="29">
        <f>IF(M44&lt;&gt;0,M46/M44,0)</f>
        <v>0</v>
      </c>
      <c r="N48" s="29">
        <f>IF(N44&lt;&gt;0,N46/N44,0)</f>
        <v>0</v>
      </c>
      <c r="O48" s="29">
        <f>IF(O44&lt;&gt;0,O46/O44,0)</f>
        <v>0</v>
      </c>
      <c r="P48" s="29">
        <f>IF(P44&lt;&gt;0,P46/P44,0)</f>
        <v>0</v>
      </c>
      <c r="Q48" s="29"/>
      <c r="R48" s="29">
        <f>IF(R44&lt;&gt;0,R46/R44,0)</f>
        <v>0</v>
      </c>
      <c r="S48" s="29"/>
      <c r="T48" s="29">
        <f>IF(T44&lt;&gt;0,T46/T44,0)</f>
        <v>0</v>
      </c>
      <c r="U48" s="29">
        <f>IF(U44&lt;&gt;0,U46/U44,0)</f>
        <v>0</v>
      </c>
      <c r="V48" s="29">
        <f>IF(V44&lt;&gt;0,V46/V44,0)</f>
        <v>0</v>
      </c>
      <c r="W48" s="29"/>
      <c r="X48" s="29">
        <f>IF($AB44&lt;&gt;0,X46/($AB44-SUM('TR TE'!$L47:'TR TE'!$AA47)*0),0)</f>
        <v>0</v>
      </c>
      <c r="Y48" s="29"/>
      <c r="Z48" s="29">
        <f>IF(Z44&lt;&gt;0,Z46/Z44,0)</f>
        <v>0</v>
      </c>
      <c r="AA48" s="29"/>
      <c r="AB48" s="29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594" priority="33" operator="notEqual">
      <formula>$L$45</formula>
    </cfRule>
    <cfRule type="cellIs" dxfId="593" priority="34" operator="equal">
      <formula>$L$45</formula>
    </cfRule>
  </conditionalFormatting>
  <conditionalFormatting sqref="M43">
    <cfRule type="cellIs" dxfId="592" priority="31" operator="notEqual">
      <formula>$M$45</formula>
    </cfRule>
    <cfRule type="cellIs" dxfId="591" priority="32" operator="equal">
      <formula>$M$45</formula>
    </cfRule>
  </conditionalFormatting>
  <conditionalFormatting sqref="N43">
    <cfRule type="cellIs" dxfId="590" priority="29" operator="notEqual">
      <formula>$N$45</formula>
    </cfRule>
    <cfRule type="cellIs" dxfId="589" priority="30" operator="equal">
      <formula>$N$45</formula>
    </cfRule>
  </conditionalFormatting>
  <conditionalFormatting sqref="O43">
    <cfRule type="cellIs" dxfId="588" priority="27" operator="notEqual">
      <formula>$O$45</formula>
    </cfRule>
    <cfRule type="cellIs" dxfId="587" priority="28" operator="equal">
      <formula>$O$45</formula>
    </cfRule>
  </conditionalFormatting>
  <conditionalFormatting sqref="P43">
    <cfRule type="cellIs" dxfId="586" priority="25" operator="notEqual">
      <formula>$P$45</formula>
    </cfRule>
    <cfRule type="cellIs" dxfId="585" priority="26" operator="equal">
      <formula>$P$45</formula>
    </cfRule>
  </conditionalFormatting>
  <conditionalFormatting sqref="Q43">
    <cfRule type="cellIs" dxfId="584" priority="23" operator="notEqual">
      <formula>$Q$45</formula>
    </cfRule>
    <cfRule type="cellIs" dxfId="583" priority="24" operator="equal">
      <formula>$Q$45</formula>
    </cfRule>
  </conditionalFormatting>
  <conditionalFormatting sqref="R43">
    <cfRule type="cellIs" dxfId="582" priority="21" operator="notEqual">
      <formula>$R$45</formula>
    </cfRule>
    <cfRule type="cellIs" dxfId="581" priority="22" operator="equal">
      <formula>$R$45</formula>
    </cfRule>
  </conditionalFormatting>
  <conditionalFormatting sqref="S43">
    <cfRule type="cellIs" dxfId="580" priority="19" operator="notEqual">
      <formula>$S$45</formula>
    </cfRule>
    <cfRule type="cellIs" dxfId="579" priority="20" operator="equal">
      <formula>$S$45</formula>
    </cfRule>
  </conditionalFormatting>
  <conditionalFormatting sqref="T43">
    <cfRule type="cellIs" dxfId="578" priority="17" operator="notEqual">
      <formula>$T$45</formula>
    </cfRule>
    <cfRule type="cellIs" dxfId="577" priority="18" operator="equal">
      <formula>$T$45</formula>
    </cfRule>
  </conditionalFormatting>
  <conditionalFormatting sqref="U43">
    <cfRule type="cellIs" dxfId="576" priority="15" operator="notEqual">
      <formula>$U$45</formula>
    </cfRule>
    <cfRule type="cellIs" dxfId="575" priority="16" operator="equal">
      <formula>$U$45</formula>
    </cfRule>
  </conditionalFormatting>
  <conditionalFormatting sqref="V43">
    <cfRule type="cellIs" dxfId="574" priority="13" operator="notEqual">
      <formula>$V$45</formula>
    </cfRule>
    <cfRule type="cellIs" dxfId="573" priority="14" operator="equal">
      <formula>$V$45</formula>
    </cfRule>
  </conditionalFormatting>
  <conditionalFormatting sqref="W43">
    <cfRule type="cellIs" dxfId="572" priority="11" operator="notEqual">
      <formula>$W$45</formula>
    </cfRule>
    <cfRule type="cellIs" dxfId="571" priority="12" operator="equal">
      <formula>$W$45</formula>
    </cfRule>
  </conditionalFormatting>
  <conditionalFormatting sqref="X43">
    <cfRule type="cellIs" dxfId="570" priority="9" operator="notEqual">
      <formula>$X$45</formula>
    </cfRule>
    <cfRule type="cellIs" dxfId="569" priority="10" operator="equal">
      <formula>$X$45</formula>
    </cfRule>
  </conditionalFormatting>
  <conditionalFormatting sqref="Y43">
    <cfRule type="cellIs" dxfId="568" priority="7" operator="notEqual">
      <formula>$Y$45</formula>
    </cfRule>
    <cfRule type="cellIs" dxfId="567" priority="8" operator="equal">
      <formula>$Y$45</formula>
    </cfRule>
  </conditionalFormatting>
  <conditionalFormatting sqref="Z43">
    <cfRule type="cellIs" dxfId="566" priority="5" operator="notEqual">
      <formula>$Z$45</formula>
    </cfRule>
    <cfRule type="cellIs" dxfId="565" priority="6" operator="equal">
      <formula>$Z$45</formula>
    </cfRule>
  </conditionalFormatting>
  <conditionalFormatting sqref="AA43">
    <cfRule type="cellIs" dxfId="564" priority="3" operator="notEqual">
      <formula>$AA$45</formula>
    </cfRule>
    <cfRule type="cellIs" dxfId="563" priority="4" operator="equal">
      <formula>$AA$45</formula>
    </cfRule>
  </conditionalFormatting>
  <conditionalFormatting sqref="AB43">
    <cfRule type="cellIs" dxfId="562" priority="1" operator="notEqual">
      <formula>$AB$45</formula>
    </cfRule>
    <cfRule type="cellIs" dxfId="561" priority="2" operator="equal">
      <formula>$AB$45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493B-F4B9-4589-9576-5669F0C8BE70}">
  <sheetPr codeName="Planilha15"/>
  <dimension ref="A1:AB49"/>
  <sheetViews>
    <sheetView showGridLines="0" topLeftCell="E1" workbookViewId="0">
      <selection activeCell="I5" sqref="A5:XFD5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.85546875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04" t="s">
        <v>62</v>
      </c>
      <c r="B1" s="104" t="s">
        <v>63</v>
      </c>
      <c r="C1" s="104" t="s">
        <v>64</v>
      </c>
      <c r="D1" s="104" t="s">
        <v>65</v>
      </c>
      <c r="E1" s="104" t="s">
        <v>66</v>
      </c>
      <c r="F1" s="104" t="s">
        <v>15</v>
      </c>
      <c r="G1" s="104" t="s">
        <v>68</v>
      </c>
      <c r="H1" s="104" t="s">
        <v>69</v>
      </c>
      <c r="I1" s="104" t="s">
        <v>487</v>
      </c>
      <c r="J1" s="90"/>
      <c r="L1" s="102" t="s">
        <v>509</v>
      </c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</row>
    <row r="2" spans="1:28" ht="11.2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90"/>
      <c r="L2" s="102" t="s">
        <v>414</v>
      </c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</row>
    <row r="3" spans="1:28" ht="11.2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90"/>
      <c r="L3" s="102" t="s">
        <v>387</v>
      </c>
      <c r="M3" s="102"/>
      <c r="N3" s="102"/>
      <c r="O3" s="102"/>
      <c r="P3" s="102"/>
      <c r="Q3" s="102"/>
      <c r="R3" s="102" t="s">
        <v>418</v>
      </c>
      <c r="S3" s="102"/>
      <c r="T3" s="102" t="s">
        <v>396</v>
      </c>
      <c r="U3" s="102"/>
      <c r="V3" s="102"/>
      <c r="W3" s="102"/>
      <c r="X3" s="102" t="s">
        <v>406</v>
      </c>
      <c r="Y3" s="102"/>
      <c r="Z3" s="102" t="s">
        <v>409</v>
      </c>
      <c r="AA3" s="102"/>
      <c r="AB3" s="102" t="s">
        <v>395</v>
      </c>
    </row>
    <row r="4" spans="1:28" ht="11.25" customHeight="1" x14ac:dyDescent="0.25">
      <c r="A4" s="104"/>
      <c r="B4" s="104"/>
      <c r="C4" s="104"/>
      <c r="D4" s="104"/>
      <c r="E4" s="104"/>
      <c r="F4" s="104"/>
      <c r="G4" s="104"/>
      <c r="H4" s="104"/>
      <c r="I4" s="104"/>
      <c r="J4" s="90"/>
      <c r="L4" s="33" t="s">
        <v>389</v>
      </c>
      <c r="M4" s="33" t="s">
        <v>415</v>
      </c>
      <c r="N4" s="33" t="s">
        <v>416</v>
      </c>
      <c r="O4" s="33" t="s">
        <v>475</v>
      </c>
      <c r="P4" s="33" t="s">
        <v>417</v>
      </c>
      <c r="Q4" s="33" t="s">
        <v>395</v>
      </c>
      <c r="R4" s="33" t="s">
        <v>419</v>
      </c>
      <c r="S4" s="33" t="s">
        <v>395</v>
      </c>
      <c r="T4" s="33" t="s">
        <v>420</v>
      </c>
      <c r="U4" s="33" t="s">
        <v>421</v>
      </c>
      <c r="V4" s="33" t="s">
        <v>422</v>
      </c>
      <c r="W4" s="33" t="s">
        <v>395</v>
      </c>
      <c r="X4" s="33" t="s">
        <v>407</v>
      </c>
      <c r="Y4" s="33" t="s">
        <v>395</v>
      </c>
      <c r="Z4" s="33" t="s">
        <v>423</v>
      </c>
      <c r="AA4" s="33" t="s">
        <v>395</v>
      </c>
      <c r="AB4" s="103"/>
    </row>
    <row r="5" spans="1:28" ht="11.25" customHeight="1" x14ac:dyDescent="0.25">
      <c r="A5" s="105" t="s">
        <v>35</v>
      </c>
      <c r="B5" s="105" t="s">
        <v>71</v>
      </c>
      <c r="C5" s="105" t="s">
        <v>25</v>
      </c>
      <c r="D5" s="105" t="s">
        <v>25</v>
      </c>
      <c r="E5" s="105" t="s">
        <v>25</v>
      </c>
      <c r="F5" s="105" t="s">
        <v>25</v>
      </c>
      <c r="G5" s="32" t="s">
        <v>73</v>
      </c>
      <c r="H5" s="32" t="s">
        <v>72</v>
      </c>
      <c r="I5" s="32">
        <f>'MERCADO TE'!$U$2</f>
        <v>1276.5</v>
      </c>
      <c r="J5" s="15"/>
      <c r="L5" s="29">
        <f>'TE BE'!$L$5*'TE BF'!$L$48</f>
        <v>0</v>
      </c>
      <c r="M5" s="29">
        <f>'TE BE'!$M$5*'TE BF'!$M$48</f>
        <v>0</v>
      </c>
      <c r="N5" s="29">
        <f>'TE BE'!$N$5*'TE BF'!$N$48</f>
        <v>0</v>
      </c>
      <c r="O5" s="29">
        <f>'TE BE'!$O$5*'TE BF'!$O$48</f>
        <v>0</v>
      </c>
      <c r="P5" s="29">
        <f>'TE BE'!$P$5*'TE BF'!$P$48</f>
        <v>0</v>
      </c>
      <c r="Q5" s="29">
        <f>SUM($L$5:$P$5)</f>
        <v>0</v>
      </c>
      <c r="R5" s="29">
        <f>'TE BE'!$R$5*'TE BF'!$R$48</f>
        <v>0</v>
      </c>
      <c r="S5" s="29">
        <f>SUM($R$5:$R$5)</f>
        <v>0</v>
      </c>
      <c r="T5" s="29">
        <f>'TE BE'!$T$5*'TE BF'!$T$48</f>
        <v>0</v>
      </c>
      <c r="U5" s="29">
        <f>'TE BE'!$U$5*'TE BF'!$U$48</f>
        <v>0</v>
      </c>
      <c r="V5" s="29">
        <f>'TE BE'!$V$5*'TE BF'!$V$48</f>
        <v>0</v>
      </c>
      <c r="W5" s="29">
        <f>SUM($T$5:$V$5)</f>
        <v>0</v>
      </c>
      <c r="X5" s="29">
        <f>'TE BE'!$AB$5*'TE BF'!$X$48</f>
        <v>0</v>
      </c>
      <c r="Y5" s="29">
        <f>SUM($X$5:$X$5)</f>
        <v>0</v>
      </c>
      <c r="Z5" s="29">
        <f>'TE BE'!$Z$5*'TE BF'!$Z$48</f>
        <v>0</v>
      </c>
      <c r="AA5" s="29">
        <f>SUM($Z$5:$Z$5)</f>
        <v>0</v>
      </c>
      <c r="AB5" s="29">
        <f>SUMIF($L$4:$AA$4,"SUBTOTAL",$L$5:$AA$5)</f>
        <v>0</v>
      </c>
    </row>
    <row r="6" spans="1:28" ht="11.25" customHeight="1" x14ac:dyDescent="0.25">
      <c r="A6" s="105"/>
      <c r="B6" s="105"/>
      <c r="C6" s="105"/>
      <c r="D6" s="105"/>
      <c r="E6" s="105"/>
      <c r="F6" s="105"/>
      <c r="G6" s="32" t="s">
        <v>74</v>
      </c>
      <c r="H6" s="32" t="s">
        <v>72</v>
      </c>
      <c r="I6" s="32">
        <f>'MERCADO TE'!$U$3</f>
        <v>30799.609</v>
      </c>
      <c r="J6" s="15"/>
      <c r="L6" s="29">
        <f>'TE BE'!$L$6*'TE BF'!$L$48</f>
        <v>0</v>
      </c>
      <c r="M6" s="29">
        <f>'TE BE'!$M$6*'TE BF'!$M$48</f>
        <v>0</v>
      </c>
      <c r="N6" s="29">
        <f>'TE BE'!$N$6*'TE BF'!$N$48</f>
        <v>0</v>
      </c>
      <c r="O6" s="29">
        <f>'TE BE'!$O$6*'TE BF'!$O$48</f>
        <v>0</v>
      </c>
      <c r="P6" s="29">
        <f>'TE BE'!$P$6*'TE BF'!$P$48</f>
        <v>0</v>
      </c>
      <c r="Q6" s="29">
        <f>SUM($L$6:$P$6)</f>
        <v>0</v>
      </c>
      <c r="R6" s="29">
        <f>'TE BE'!$R$6*'TE BF'!$R$48</f>
        <v>0</v>
      </c>
      <c r="S6" s="29">
        <f>SUM($R$6:$R$6)</f>
        <v>0</v>
      </c>
      <c r="T6" s="29">
        <f>'TE BE'!$T$6*'TE BF'!$T$48</f>
        <v>0</v>
      </c>
      <c r="U6" s="29">
        <f>'TE BE'!$U$6*'TE BF'!$U$48</f>
        <v>0</v>
      </c>
      <c r="V6" s="29">
        <f>'TE BE'!$V$6*'TE BF'!$V$48</f>
        <v>0</v>
      </c>
      <c r="W6" s="29">
        <f>SUM($T$6:$V$6)</f>
        <v>0</v>
      </c>
      <c r="X6" s="29">
        <f>'TE BE'!$AB$6*'TE BF'!$X$48</f>
        <v>0</v>
      </c>
      <c r="Y6" s="29">
        <f>SUM($X$6:$X$6)</f>
        <v>0</v>
      </c>
      <c r="Z6" s="29">
        <f>'TE BE'!$Z$6*'TE BF'!$Z$48</f>
        <v>0</v>
      </c>
      <c r="AA6" s="29">
        <f>SUM($Z$6:$Z$6)</f>
        <v>0</v>
      </c>
      <c r="AB6" s="29">
        <f>SUMIF($L$4:$AA$4,"SUBTOTAL",$L$6:$AA$6)</f>
        <v>0</v>
      </c>
    </row>
    <row r="7" spans="1:28" ht="11.25" customHeight="1" x14ac:dyDescent="0.25">
      <c r="A7" s="105" t="s">
        <v>22</v>
      </c>
      <c r="B7" s="105" t="s">
        <v>71</v>
      </c>
      <c r="C7" s="105" t="s">
        <v>24</v>
      </c>
      <c r="D7" s="105" t="s">
        <v>24</v>
      </c>
      <c r="E7" s="105" t="s">
        <v>25</v>
      </c>
      <c r="F7" s="105" t="s">
        <v>25</v>
      </c>
      <c r="G7" s="32" t="s">
        <v>73</v>
      </c>
      <c r="H7" s="32" t="s">
        <v>72</v>
      </c>
      <c r="I7" s="32">
        <f>'MERCADO TE'!$U$4</f>
        <v>0</v>
      </c>
      <c r="J7" s="15"/>
      <c r="L7" s="29">
        <f>'TE BE'!$L$7*'TE BF'!$L$48</f>
        <v>0</v>
      </c>
      <c r="M7" s="29">
        <f>'TE BE'!$M$7*'TE BF'!$M$48</f>
        <v>0</v>
      </c>
      <c r="N7" s="29">
        <f>'TE BE'!$N$7*'TE BF'!$N$48</f>
        <v>0</v>
      </c>
      <c r="O7" s="29">
        <f>'TE BE'!$O$7*'TE BF'!$O$48</f>
        <v>0</v>
      </c>
      <c r="P7" s="29">
        <f>'TE BE'!$P$7*'TE BF'!$P$48</f>
        <v>0</v>
      </c>
      <c r="Q7" s="29">
        <f>SUM($L$7:$P$7)</f>
        <v>0</v>
      </c>
      <c r="R7" s="29">
        <f>'TE BE'!$R$7*'TE BF'!$R$48</f>
        <v>0</v>
      </c>
      <c r="S7" s="29">
        <f>SUM($R$7:$R$7)</f>
        <v>0</v>
      </c>
      <c r="T7" s="29">
        <f>'TE BE'!$T$7*'TE BF'!$T$48</f>
        <v>0</v>
      </c>
      <c r="U7" s="29">
        <f>'TE BE'!$U$7*'TE BF'!$U$48</f>
        <v>0</v>
      </c>
      <c r="V7" s="29">
        <f>'TE BE'!$V$7*'TE BF'!$V$48</f>
        <v>0</v>
      </c>
      <c r="W7" s="29">
        <f>SUM($T$7:$V$7)</f>
        <v>0</v>
      </c>
      <c r="X7" s="29">
        <f>'TE BE'!$AB$7*'TE BF'!$X$48</f>
        <v>0</v>
      </c>
      <c r="Y7" s="29">
        <f>SUM($X$7:$X$7)</f>
        <v>0</v>
      </c>
      <c r="Z7" s="29">
        <f>'TE BE'!$Z$7*'TE BF'!$Z$48</f>
        <v>0</v>
      </c>
      <c r="AA7" s="29">
        <f>SUM($Z$7:$Z$7)</f>
        <v>0</v>
      </c>
      <c r="AB7" s="29">
        <f>SUMIF($L$4:$AA$4,"SUBTOTAL",$L$7:$AA$7)</f>
        <v>0</v>
      </c>
    </row>
    <row r="8" spans="1:28" ht="11.25" customHeight="1" x14ac:dyDescent="0.25">
      <c r="A8" s="105"/>
      <c r="B8" s="105"/>
      <c r="C8" s="105"/>
      <c r="D8" s="105"/>
      <c r="E8" s="105"/>
      <c r="F8" s="105"/>
      <c r="G8" s="32" t="s">
        <v>83</v>
      </c>
      <c r="H8" s="32" t="s">
        <v>72</v>
      </c>
      <c r="I8" s="32">
        <f>'MERCADO TE'!$U$5</f>
        <v>0</v>
      </c>
      <c r="J8" s="15"/>
      <c r="L8" s="29">
        <f>'TE BE'!$L$8*'TE BF'!$L$48</f>
        <v>0</v>
      </c>
      <c r="M8" s="29">
        <f>'TE BE'!$M$8*'TE BF'!$M$48</f>
        <v>0</v>
      </c>
      <c r="N8" s="29">
        <f>'TE BE'!$N$8*'TE BF'!$N$48</f>
        <v>0</v>
      </c>
      <c r="O8" s="29">
        <f>'TE BE'!$O$8*'TE BF'!$O$48</f>
        <v>0</v>
      </c>
      <c r="P8" s="29">
        <f>'TE BE'!$P$8*'TE BF'!$P$48</f>
        <v>0</v>
      </c>
      <c r="Q8" s="29">
        <f>SUM($L$8:$P$8)</f>
        <v>0</v>
      </c>
      <c r="R8" s="29">
        <f>'TE BE'!$R$8*'TE BF'!$R$48</f>
        <v>0</v>
      </c>
      <c r="S8" s="29">
        <f>SUM($R$8:$R$8)</f>
        <v>0</v>
      </c>
      <c r="T8" s="29">
        <f>'TE BE'!$T$8*'TE BF'!$T$48</f>
        <v>0</v>
      </c>
      <c r="U8" s="29">
        <f>'TE BE'!$U$8*'TE BF'!$U$48</f>
        <v>0</v>
      </c>
      <c r="V8" s="29">
        <f>'TE BE'!$V$8*'TE BF'!$V$48</f>
        <v>0</v>
      </c>
      <c r="W8" s="29">
        <f>SUM($T$8:$V$8)</f>
        <v>0</v>
      </c>
      <c r="X8" s="29">
        <f>'TE BE'!$AB$8*'TE BF'!$X$48</f>
        <v>0</v>
      </c>
      <c r="Y8" s="29">
        <f>SUM($X$8:$X$8)</f>
        <v>0</v>
      </c>
      <c r="Z8" s="29">
        <f>'TE BE'!$Z$8*'TE BF'!$Z$48</f>
        <v>0</v>
      </c>
      <c r="AA8" s="29">
        <f>SUM($Z$8:$Z$8)</f>
        <v>0</v>
      </c>
      <c r="AB8" s="29">
        <f>SUMIF($L$4:$AA$4,"SUBTOTAL",$L$8:$AA$8)</f>
        <v>0</v>
      </c>
    </row>
    <row r="9" spans="1:28" ht="11.25" customHeight="1" x14ac:dyDescent="0.25">
      <c r="A9" s="105"/>
      <c r="B9" s="105"/>
      <c r="C9" s="105"/>
      <c r="D9" s="105"/>
      <c r="E9" s="105"/>
      <c r="F9" s="105"/>
      <c r="G9" s="32" t="s">
        <v>74</v>
      </c>
      <c r="H9" s="32" t="s">
        <v>72</v>
      </c>
      <c r="I9" s="32">
        <f>'MERCADO TE'!$U$6</f>
        <v>0</v>
      </c>
      <c r="J9" s="15"/>
      <c r="L9" s="29">
        <f>'TE BE'!$L$9*'TE BF'!$L$48</f>
        <v>0</v>
      </c>
      <c r="M9" s="29">
        <f>'TE BE'!$M$9*'TE BF'!$M$48</f>
        <v>0</v>
      </c>
      <c r="N9" s="29">
        <f>'TE BE'!$N$9*'TE BF'!$N$48</f>
        <v>0</v>
      </c>
      <c r="O9" s="29">
        <f>'TE BE'!$O$9*'TE BF'!$O$48</f>
        <v>0</v>
      </c>
      <c r="P9" s="29">
        <f>'TE BE'!$P$9*'TE BF'!$P$48</f>
        <v>0</v>
      </c>
      <c r="Q9" s="29">
        <f>SUM($L$9:$P$9)</f>
        <v>0</v>
      </c>
      <c r="R9" s="29">
        <f>'TE BE'!$R$9*'TE BF'!$R$48</f>
        <v>0</v>
      </c>
      <c r="S9" s="29">
        <f>SUM($R$9:$R$9)</f>
        <v>0</v>
      </c>
      <c r="T9" s="29">
        <f>'TE BE'!$T$9*'TE BF'!$T$48</f>
        <v>0</v>
      </c>
      <c r="U9" s="29">
        <f>'TE BE'!$U$9*'TE BF'!$U$48</f>
        <v>0</v>
      </c>
      <c r="V9" s="29">
        <f>'TE BE'!$V$9*'TE BF'!$V$48</f>
        <v>0</v>
      </c>
      <c r="W9" s="29">
        <f>SUM($T$9:$V$9)</f>
        <v>0</v>
      </c>
      <c r="X9" s="29">
        <f>'TE BE'!$AB$9*'TE BF'!$X$48</f>
        <v>0</v>
      </c>
      <c r="Y9" s="29">
        <f>SUM($X$9:$X$9)</f>
        <v>0</v>
      </c>
      <c r="Z9" s="29">
        <f>'TE BE'!$Z$9*'TE BF'!$Z$48</f>
        <v>0</v>
      </c>
      <c r="AA9" s="29">
        <f>SUM($Z$9:$Z$9)</f>
        <v>0</v>
      </c>
      <c r="AB9" s="29">
        <f>SUMIF($L$4:$AA$4,"SUBTOTAL",$L$9:$AA$9)</f>
        <v>0</v>
      </c>
    </row>
    <row r="10" spans="1:28" ht="11.25" customHeight="1" x14ac:dyDescent="0.25">
      <c r="A10" s="105"/>
      <c r="B10" s="105" t="s">
        <v>84</v>
      </c>
      <c r="C10" s="105" t="s">
        <v>24</v>
      </c>
      <c r="D10" s="31" t="s">
        <v>24</v>
      </c>
      <c r="E10" s="31" t="s">
        <v>25</v>
      </c>
      <c r="F10" s="31" t="s">
        <v>25</v>
      </c>
      <c r="G10" s="32" t="s">
        <v>78</v>
      </c>
      <c r="H10" s="32" t="s">
        <v>72</v>
      </c>
      <c r="I10" s="32">
        <f>'MERCADO TE'!$U$7</f>
        <v>11694.771999999999</v>
      </c>
      <c r="J10" s="15"/>
      <c r="L10" s="29">
        <f>'TE BE'!$L$10*'TE BF'!$L$48</f>
        <v>0</v>
      </c>
      <c r="M10" s="29">
        <f>'TE BE'!$M$10*'TE BF'!$M$48</f>
        <v>0</v>
      </c>
      <c r="N10" s="29">
        <f>'TE BE'!$N$10*'TE BF'!$N$48</f>
        <v>0</v>
      </c>
      <c r="O10" s="29">
        <f>'TE BE'!$O$10*'TE BF'!$O$48</f>
        <v>0</v>
      </c>
      <c r="P10" s="29">
        <f>'TE BE'!$P$10*'TE BF'!$P$48</f>
        <v>0</v>
      </c>
      <c r="Q10" s="29">
        <f>SUM($L$10:$P$10)</f>
        <v>0</v>
      </c>
      <c r="R10" s="29">
        <f>'TE BE'!$R$10*'TE BF'!$R$48</f>
        <v>0</v>
      </c>
      <c r="S10" s="29">
        <f>SUM($R$10:$R$10)</f>
        <v>0</v>
      </c>
      <c r="T10" s="29">
        <f>'TE BE'!$T$10*'TE BF'!$T$48</f>
        <v>0</v>
      </c>
      <c r="U10" s="29">
        <f>'TE BE'!$U$10*'TE BF'!$U$48</f>
        <v>0</v>
      </c>
      <c r="V10" s="29">
        <f>'TE BE'!$V$10*'TE BF'!$V$48</f>
        <v>0</v>
      </c>
      <c r="W10" s="29">
        <f>SUM($T$10:$V$10)</f>
        <v>0</v>
      </c>
      <c r="X10" s="29">
        <f>'TE BE'!$AB$10*'TE BF'!$X$48</f>
        <v>0</v>
      </c>
      <c r="Y10" s="29">
        <f>SUM($X$10:$X$10)</f>
        <v>0</v>
      </c>
      <c r="Z10" s="29">
        <f>'TE BE'!$Z$10*'TE BF'!$Z$48</f>
        <v>0</v>
      </c>
      <c r="AA10" s="29">
        <f>SUM($Z$10:$Z$10)</f>
        <v>0</v>
      </c>
      <c r="AB10" s="29">
        <f>SUMIF($L$4:$AA$4,"SUBTOTAL",$L$10:$AA$10)</f>
        <v>0</v>
      </c>
    </row>
    <row r="11" spans="1:28" ht="11.25" customHeight="1" x14ac:dyDescent="0.25">
      <c r="A11" s="105"/>
      <c r="B11" s="105"/>
      <c r="C11" s="105"/>
      <c r="D11" s="31" t="s">
        <v>29</v>
      </c>
      <c r="E11" s="31" t="s">
        <v>25</v>
      </c>
      <c r="F11" s="31" t="s">
        <v>25</v>
      </c>
      <c r="G11" s="32" t="s">
        <v>78</v>
      </c>
      <c r="H11" s="32" t="s">
        <v>72</v>
      </c>
      <c r="I11" s="32">
        <f>'MERCADO TE'!$U$8</f>
        <v>30.416</v>
      </c>
      <c r="J11" s="15"/>
      <c r="L11" s="29">
        <f>'TE BE'!$L$11*'TE BF'!$L$48</f>
        <v>0</v>
      </c>
      <c r="M11" s="29">
        <f>'TE BE'!$M$11*'TE BF'!$M$48</f>
        <v>0</v>
      </c>
      <c r="N11" s="29">
        <f>'TE BE'!$N$11*'TE BF'!$N$48</f>
        <v>0</v>
      </c>
      <c r="O11" s="29">
        <f>'TE BE'!$O$11*'TE BF'!$O$48</f>
        <v>0</v>
      </c>
      <c r="P11" s="29">
        <f>'TE BE'!$P$11*'TE BF'!$P$48</f>
        <v>0</v>
      </c>
      <c r="Q11" s="29">
        <f>SUM($L$11:$P$11)</f>
        <v>0</v>
      </c>
      <c r="R11" s="29">
        <f>'TE BE'!$R$11*'TE BF'!$R$48</f>
        <v>0</v>
      </c>
      <c r="S11" s="29">
        <f>SUM($R$11:$R$11)</f>
        <v>0</v>
      </c>
      <c r="T11" s="29">
        <f>'TE BE'!$T$11*'TE BF'!$T$48</f>
        <v>0</v>
      </c>
      <c r="U11" s="29">
        <f>'TE BE'!$U$11*'TE BF'!$U$48</f>
        <v>0</v>
      </c>
      <c r="V11" s="29">
        <f>'TE BE'!$V$11*'TE BF'!$V$48</f>
        <v>0</v>
      </c>
      <c r="W11" s="29">
        <f>SUM($T$11:$V$11)</f>
        <v>0</v>
      </c>
      <c r="X11" s="29">
        <f>'TE BE'!$AB$11*'TE BF'!$X$48</f>
        <v>0</v>
      </c>
      <c r="Y11" s="29">
        <f>SUM($X$11:$X$11)</f>
        <v>0</v>
      </c>
      <c r="Z11" s="29">
        <f>'TE BE'!$Z$11*'TE BF'!$Z$48</f>
        <v>0</v>
      </c>
      <c r="AA11" s="29">
        <f>SUM($Z$11:$Z$11)</f>
        <v>0</v>
      </c>
      <c r="AB11" s="29">
        <f>SUMIF($L$4:$AA$4,"SUBTOTAL",$L$11:$AA$11)</f>
        <v>0</v>
      </c>
    </row>
    <row r="12" spans="1:28" ht="11.25" customHeight="1" x14ac:dyDescent="0.25">
      <c r="A12" s="105"/>
      <c r="B12" s="105"/>
      <c r="C12" s="105"/>
      <c r="D12" s="31" t="s">
        <v>30</v>
      </c>
      <c r="E12" s="31" t="s">
        <v>25</v>
      </c>
      <c r="F12" s="31" t="s">
        <v>25</v>
      </c>
      <c r="G12" s="32" t="s">
        <v>78</v>
      </c>
      <c r="H12" s="32" t="s">
        <v>72</v>
      </c>
      <c r="I12" s="32">
        <f>'MERCADO TE'!$U$9</f>
        <v>60.935000000000002</v>
      </c>
      <c r="J12" s="15"/>
      <c r="L12" s="29">
        <f>'TE BE'!$L$12*'TE BF'!$L$48</f>
        <v>0</v>
      </c>
      <c r="M12" s="29">
        <f>'TE BE'!$M$12*'TE BF'!$M$48</f>
        <v>0</v>
      </c>
      <c r="N12" s="29">
        <f>'TE BE'!$N$12*'TE BF'!$N$48</f>
        <v>0</v>
      </c>
      <c r="O12" s="29">
        <f>'TE BE'!$O$12*'TE BF'!$O$48</f>
        <v>0</v>
      </c>
      <c r="P12" s="29">
        <f>'TE BE'!$P$12*'TE BF'!$P$48</f>
        <v>0</v>
      </c>
      <c r="Q12" s="29">
        <f>SUM($L$12:$P$12)</f>
        <v>0</v>
      </c>
      <c r="R12" s="29">
        <f>'TE BE'!$R$12*'TE BF'!$R$48</f>
        <v>0</v>
      </c>
      <c r="S12" s="29">
        <f>SUM($R$12:$R$12)</f>
        <v>0</v>
      </c>
      <c r="T12" s="29">
        <f>'TE BE'!$T$12*'TE BF'!$T$48</f>
        <v>0</v>
      </c>
      <c r="U12" s="29">
        <f>'TE BE'!$U$12*'TE BF'!$U$48</f>
        <v>0</v>
      </c>
      <c r="V12" s="29">
        <f>'TE BE'!$V$12*'TE BF'!$V$48</f>
        <v>0</v>
      </c>
      <c r="W12" s="29">
        <f>SUM($T$12:$V$12)</f>
        <v>0</v>
      </c>
      <c r="X12" s="29">
        <f>'TE BE'!$AB$12*'TE BF'!$X$48</f>
        <v>0</v>
      </c>
      <c r="Y12" s="29">
        <f>SUM($X$12:$X$12)</f>
        <v>0</v>
      </c>
      <c r="Z12" s="29">
        <f>'TE BE'!$Z$12*'TE BF'!$Z$48</f>
        <v>0</v>
      </c>
      <c r="AA12" s="29">
        <f>SUM($Z$12:$Z$12)</f>
        <v>0</v>
      </c>
      <c r="AB12" s="29">
        <f>SUMIF($L$4:$AA$4,"SUBTOTAL",$L$12:$AA$12)</f>
        <v>0</v>
      </c>
    </row>
    <row r="13" spans="1:28" ht="11.25" customHeight="1" x14ac:dyDescent="0.25">
      <c r="A13" s="105"/>
      <c r="B13" s="105"/>
      <c r="C13" s="105"/>
      <c r="D13" s="31" t="s">
        <v>31</v>
      </c>
      <c r="E13" s="31" t="s">
        <v>25</v>
      </c>
      <c r="F13" s="31" t="s">
        <v>25</v>
      </c>
      <c r="G13" s="32" t="s">
        <v>78</v>
      </c>
      <c r="H13" s="32" t="s">
        <v>72</v>
      </c>
      <c r="I13" s="32">
        <f>'MERCADO TE'!$U$10</f>
        <v>58.873999999999995</v>
      </c>
      <c r="J13" s="15"/>
      <c r="L13" s="29">
        <f>'TE BE'!$L$13*'TE BF'!$L$48</f>
        <v>0</v>
      </c>
      <c r="M13" s="29">
        <f>'TE BE'!$M$13*'TE BF'!$M$48</f>
        <v>0</v>
      </c>
      <c r="N13" s="29">
        <f>'TE BE'!$N$13*'TE BF'!$N$48</f>
        <v>0</v>
      </c>
      <c r="O13" s="29">
        <f>'TE BE'!$O$13*'TE BF'!$O$48</f>
        <v>0</v>
      </c>
      <c r="P13" s="29">
        <f>'TE BE'!$P$13*'TE BF'!$P$48</f>
        <v>0</v>
      </c>
      <c r="Q13" s="29">
        <f>SUM($L$13:$P$13)</f>
        <v>0</v>
      </c>
      <c r="R13" s="29">
        <f>'TE BE'!$R$13*'TE BF'!$R$48</f>
        <v>0</v>
      </c>
      <c r="S13" s="29">
        <f>SUM($R$13:$R$13)</f>
        <v>0</v>
      </c>
      <c r="T13" s="29">
        <f>'TE BE'!$T$13*'TE BF'!$T$48</f>
        <v>0</v>
      </c>
      <c r="U13" s="29">
        <f>'TE BE'!$U$13*'TE BF'!$U$48</f>
        <v>0</v>
      </c>
      <c r="V13" s="29">
        <f>'TE BE'!$V$13*'TE BF'!$V$48</f>
        <v>0</v>
      </c>
      <c r="W13" s="29">
        <f>SUM($T$13:$V$13)</f>
        <v>0</v>
      </c>
      <c r="X13" s="29">
        <f>'TE BE'!$AB$13*'TE BF'!$X$48</f>
        <v>0</v>
      </c>
      <c r="Y13" s="29">
        <f>SUM($X$13:$X$13)</f>
        <v>0</v>
      </c>
      <c r="Z13" s="29">
        <f>'TE BE'!$Z$13*'TE BF'!$Z$48</f>
        <v>0</v>
      </c>
      <c r="AA13" s="29">
        <f>SUM($Z$13:$Z$13)</f>
        <v>0</v>
      </c>
      <c r="AB13" s="29">
        <f>SUMIF($L$4:$AA$4,"SUBTOTAL",$L$13:$AA$13)</f>
        <v>0</v>
      </c>
    </row>
    <row r="14" spans="1:28" ht="11.25" customHeight="1" x14ac:dyDescent="0.25">
      <c r="A14" s="105"/>
      <c r="B14" s="105"/>
      <c r="C14" s="105"/>
      <c r="D14" s="31" t="s">
        <v>32</v>
      </c>
      <c r="E14" s="31" t="s">
        <v>25</v>
      </c>
      <c r="F14" s="31" t="s">
        <v>25</v>
      </c>
      <c r="G14" s="32" t="s">
        <v>78</v>
      </c>
      <c r="H14" s="32" t="s">
        <v>72</v>
      </c>
      <c r="I14" s="32">
        <f>'MERCADO TE'!$U$11</f>
        <v>22.426000000000002</v>
      </c>
      <c r="J14" s="15"/>
      <c r="L14" s="29">
        <f>'TE BE'!$L$14*'TE BF'!$L$48</f>
        <v>0</v>
      </c>
      <c r="M14" s="29">
        <f>'TE BE'!$M$14*'TE BF'!$M$48</f>
        <v>0</v>
      </c>
      <c r="N14" s="29">
        <f>'TE BE'!$N$14*'TE BF'!$N$48</f>
        <v>0</v>
      </c>
      <c r="O14" s="29">
        <f>'TE BE'!$O$14*'TE BF'!$O$48</f>
        <v>0</v>
      </c>
      <c r="P14" s="29">
        <f>'TE BE'!$P$14*'TE BF'!$P$48</f>
        <v>0</v>
      </c>
      <c r="Q14" s="29">
        <f>SUM($L$14:$P$14)</f>
        <v>0</v>
      </c>
      <c r="R14" s="29">
        <f>'TE BE'!$R$14*'TE BF'!$R$48</f>
        <v>0</v>
      </c>
      <c r="S14" s="29">
        <f>SUM($R$14:$R$14)</f>
        <v>0</v>
      </c>
      <c r="T14" s="29">
        <f>'TE BE'!$T$14*'TE BF'!$T$48</f>
        <v>0</v>
      </c>
      <c r="U14" s="29">
        <f>'TE BE'!$U$14*'TE BF'!$U$48</f>
        <v>0</v>
      </c>
      <c r="V14" s="29">
        <f>'TE BE'!$V$14*'TE BF'!$V$48</f>
        <v>0</v>
      </c>
      <c r="W14" s="29">
        <f>SUM($T$14:$V$14)</f>
        <v>0</v>
      </c>
      <c r="X14" s="29">
        <f>'TE BE'!$AB$14*'TE BF'!$X$48</f>
        <v>0</v>
      </c>
      <c r="Y14" s="29">
        <f>SUM($X$14:$X$14)</f>
        <v>0</v>
      </c>
      <c r="Z14" s="29">
        <f>'TE BE'!$Z$14*'TE BF'!$Z$48</f>
        <v>0</v>
      </c>
      <c r="AA14" s="29">
        <f>SUM($Z$14:$Z$14)</f>
        <v>0</v>
      </c>
      <c r="AB14" s="29">
        <f>SUMIF($L$4:$AA$4,"SUBTOTAL",$L$14:$AA$14)</f>
        <v>0</v>
      </c>
    </row>
    <row r="15" spans="1:28" ht="11.25" customHeight="1" x14ac:dyDescent="0.25">
      <c r="A15" s="105"/>
      <c r="B15" s="105" t="s">
        <v>86</v>
      </c>
      <c r="C15" s="105" t="s">
        <v>24</v>
      </c>
      <c r="D15" s="31" t="s">
        <v>24</v>
      </c>
      <c r="E15" s="31" t="s">
        <v>25</v>
      </c>
      <c r="F15" s="31" t="s">
        <v>25</v>
      </c>
      <c r="G15" s="32" t="s">
        <v>78</v>
      </c>
      <c r="H15" s="32" t="s">
        <v>72</v>
      </c>
      <c r="I15" s="32">
        <f>'MERCADO TE'!$U$12</f>
        <v>0</v>
      </c>
      <c r="J15" s="15"/>
      <c r="L15" s="29">
        <f>'TE BE'!$L$15*'TE BF'!$L$48</f>
        <v>0</v>
      </c>
      <c r="M15" s="29">
        <f>'TE BE'!$M$15*'TE BF'!$M$48</f>
        <v>0</v>
      </c>
      <c r="N15" s="29">
        <f>'TE BE'!$N$15*'TE BF'!$N$48</f>
        <v>0</v>
      </c>
      <c r="O15" s="29">
        <f>'TE BE'!$O$15*'TE BF'!$O$48</f>
        <v>0</v>
      </c>
      <c r="P15" s="29">
        <f>'TE BE'!$P$15*'TE BF'!$P$48</f>
        <v>0</v>
      </c>
      <c r="Q15" s="29">
        <f>SUM($L$15:$P$15)</f>
        <v>0</v>
      </c>
      <c r="R15" s="29">
        <f>'TE BE'!$R$15*'TE BF'!$R$48</f>
        <v>0</v>
      </c>
      <c r="S15" s="29">
        <f>SUM($R$15:$R$15)</f>
        <v>0</v>
      </c>
      <c r="T15" s="29">
        <f>'TE BE'!$T$15*'TE BF'!$T$48</f>
        <v>0</v>
      </c>
      <c r="U15" s="29">
        <f>'TE BE'!$U$15*'TE BF'!$U$48</f>
        <v>0</v>
      </c>
      <c r="V15" s="29">
        <f>'TE BE'!$V$15*'TE BF'!$V$48</f>
        <v>0</v>
      </c>
      <c r="W15" s="29">
        <f>SUM($T$15:$V$15)</f>
        <v>0</v>
      </c>
      <c r="X15" s="29">
        <f>'TE BE'!$AB$15*'TE BF'!$X$48</f>
        <v>0</v>
      </c>
      <c r="Y15" s="29">
        <f>SUM($X$15:$X$15)</f>
        <v>0</v>
      </c>
      <c r="Z15" s="29">
        <f>'TE BE'!$Z$15*'TE BF'!$Z$48</f>
        <v>0</v>
      </c>
      <c r="AA15" s="29">
        <f>SUM($Z$15:$Z$15)</f>
        <v>0</v>
      </c>
      <c r="AB15" s="29">
        <f>SUMIF($L$4:$AA$4,"SUBTOTAL",$L$15:$AA$15)</f>
        <v>0</v>
      </c>
    </row>
    <row r="16" spans="1:28" ht="11.25" customHeight="1" x14ac:dyDescent="0.25">
      <c r="A16" s="105"/>
      <c r="B16" s="105"/>
      <c r="C16" s="105"/>
      <c r="D16" s="31" t="s">
        <v>29</v>
      </c>
      <c r="E16" s="31" t="s">
        <v>25</v>
      </c>
      <c r="F16" s="31" t="s">
        <v>25</v>
      </c>
      <c r="G16" s="32" t="s">
        <v>78</v>
      </c>
      <c r="H16" s="32" t="s">
        <v>72</v>
      </c>
      <c r="I16" s="32">
        <f>'MERCADO TE'!$U$13</f>
        <v>0</v>
      </c>
      <c r="J16" s="15"/>
      <c r="L16" s="29">
        <f>'TE BE'!$L$16*'TE BF'!$L$48</f>
        <v>0</v>
      </c>
      <c r="M16" s="29">
        <f>'TE BE'!$M$16*'TE BF'!$M$48</f>
        <v>0</v>
      </c>
      <c r="N16" s="29">
        <f>'TE BE'!$N$16*'TE BF'!$N$48</f>
        <v>0</v>
      </c>
      <c r="O16" s="29">
        <f>'TE BE'!$O$16*'TE BF'!$O$48</f>
        <v>0</v>
      </c>
      <c r="P16" s="29">
        <f>'TE BE'!$P$16*'TE BF'!$P$48</f>
        <v>0</v>
      </c>
      <c r="Q16" s="29">
        <f>SUM($L$16:$P$16)</f>
        <v>0</v>
      </c>
      <c r="R16" s="29">
        <f>'TE BE'!$R$16*'TE BF'!$R$48</f>
        <v>0</v>
      </c>
      <c r="S16" s="29">
        <f>SUM($R$16:$R$16)</f>
        <v>0</v>
      </c>
      <c r="T16" s="29">
        <f>'TE BE'!$T$16*'TE BF'!$T$48</f>
        <v>0</v>
      </c>
      <c r="U16" s="29">
        <f>'TE BE'!$U$16*'TE BF'!$U$48</f>
        <v>0</v>
      </c>
      <c r="V16" s="29">
        <f>'TE BE'!$V$16*'TE BF'!$V$48</f>
        <v>0</v>
      </c>
      <c r="W16" s="29">
        <f>SUM($T$16:$V$16)</f>
        <v>0</v>
      </c>
      <c r="X16" s="29">
        <f>'TE BE'!$AB$16*'TE BF'!$X$48</f>
        <v>0</v>
      </c>
      <c r="Y16" s="29">
        <f>SUM($X$16:$X$16)</f>
        <v>0</v>
      </c>
      <c r="Z16" s="29">
        <f>'TE BE'!$Z$16*'TE BF'!$Z$48</f>
        <v>0</v>
      </c>
      <c r="AA16" s="29">
        <f>SUM($Z$16:$Z$16)</f>
        <v>0</v>
      </c>
      <c r="AB16" s="29">
        <f>SUMIF($L$4:$AA$4,"SUBTOTAL",$L$16:$AA$16)</f>
        <v>0</v>
      </c>
    </row>
    <row r="17" spans="1:28" ht="11.25" customHeight="1" x14ac:dyDescent="0.25">
      <c r="A17" s="105"/>
      <c r="B17" s="105"/>
      <c r="C17" s="105"/>
      <c r="D17" s="31" t="s">
        <v>30</v>
      </c>
      <c r="E17" s="31" t="s">
        <v>25</v>
      </c>
      <c r="F17" s="31" t="s">
        <v>25</v>
      </c>
      <c r="G17" s="32" t="s">
        <v>78</v>
      </c>
      <c r="H17" s="32" t="s">
        <v>72</v>
      </c>
      <c r="I17" s="32">
        <f>'MERCADO TE'!$U$14</f>
        <v>0</v>
      </c>
      <c r="J17" s="15"/>
      <c r="L17" s="29">
        <f>'TE BE'!$L$17*'TE BF'!$L$48</f>
        <v>0</v>
      </c>
      <c r="M17" s="29">
        <f>'TE BE'!$M$17*'TE BF'!$M$48</f>
        <v>0</v>
      </c>
      <c r="N17" s="29">
        <f>'TE BE'!$N$17*'TE BF'!$N$48</f>
        <v>0</v>
      </c>
      <c r="O17" s="29">
        <f>'TE BE'!$O$17*'TE BF'!$O$48</f>
        <v>0</v>
      </c>
      <c r="P17" s="29">
        <f>'TE BE'!$P$17*'TE BF'!$P$48</f>
        <v>0</v>
      </c>
      <c r="Q17" s="29">
        <f>SUM($L$17:$P$17)</f>
        <v>0</v>
      </c>
      <c r="R17" s="29">
        <f>'TE BE'!$R$17*'TE BF'!$R$48</f>
        <v>0</v>
      </c>
      <c r="S17" s="29">
        <f>SUM($R$17:$R$17)</f>
        <v>0</v>
      </c>
      <c r="T17" s="29">
        <f>'TE BE'!$T$17*'TE BF'!$T$48</f>
        <v>0</v>
      </c>
      <c r="U17" s="29">
        <f>'TE BE'!$U$17*'TE BF'!$U$48</f>
        <v>0</v>
      </c>
      <c r="V17" s="29">
        <f>'TE BE'!$V$17*'TE BF'!$V$48</f>
        <v>0</v>
      </c>
      <c r="W17" s="29">
        <f>SUM($T$17:$V$17)</f>
        <v>0</v>
      </c>
      <c r="X17" s="29">
        <f>'TE BE'!$AB$17*'TE BF'!$X$48</f>
        <v>0</v>
      </c>
      <c r="Y17" s="29">
        <f>SUM($X$17:$X$17)</f>
        <v>0</v>
      </c>
      <c r="Z17" s="29">
        <f>'TE BE'!$Z$17*'TE BF'!$Z$48</f>
        <v>0</v>
      </c>
      <c r="AA17" s="29">
        <f>SUM($Z$17:$Z$17)</f>
        <v>0</v>
      </c>
      <c r="AB17" s="29">
        <f>SUMIF($L$4:$AA$4,"SUBTOTAL",$L$17:$AA$17)</f>
        <v>0</v>
      </c>
    </row>
    <row r="18" spans="1:28" ht="11.25" customHeight="1" x14ac:dyDescent="0.25">
      <c r="A18" s="105"/>
      <c r="B18" s="105"/>
      <c r="C18" s="105"/>
      <c r="D18" s="31" t="s">
        <v>31</v>
      </c>
      <c r="E18" s="31" t="s">
        <v>25</v>
      </c>
      <c r="F18" s="31" t="s">
        <v>25</v>
      </c>
      <c r="G18" s="32" t="s">
        <v>78</v>
      </c>
      <c r="H18" s="32" t="s">
        <v>72</v>
      </c>
      <c r="I18" s="32">
        <f>'MERCADO TE'!$U$15</f>
        <v>0</v>
      </c>
      <c r="J18" s="15"/>
      <c r="L18" s="29">
        <f>'TE BE'!$L$18*'TE BF'!$L$48</f>
        <v>0</v>
      </c>
      <c r="M18" s="29">
        <f>'TE BE'!$M$18*'TE BF'!$M$48</f>
        <v>0</v>
      </c>
      <c r="N18" s="29">
        <f>'TE BE'!$N$18*'TE BF'!$N$48</f>
        <v>0</v>
      </c>
      <c r="O18" s="29">
        <f>'TE BE'!$O$18*'TE BF'!$O$48</f>
        <v>0</v>
      </c>
      <c r="P18" s="29">
        <f>'TE BE'!$P$18*'TE BF'!$P$48</f>
        <v>0</v>
      </c>
      <c r="Q18" s="29">
        <f>SUM($L$18:$P$18)</f>
        <v>0</v>
      </c>
      <c r="R18" s="29">
        <f>'TE BE'!$R$18*'TE BF'!$R$48</f>
        <v>0</v>
      </c>
      <c r="S18" s="29">
        <f>SUM($R$18:$R$18)</f>
        <v>0</v>
      </c>
      <c r="T18" s="29">
        <f>'TE BE'!$T$18*'TE BF'!$T$48</f>
        <v>0</v>
      </c>
      <c r="U18" s="29">
        <f>'TE BE'!$U$18*'TE BF'!$U$48</f>
        <v>0</v>
      </c>
      <c r="V18" s="29">
        <f>'TE BE'!$V$18*'TE BF'!$V$48</f>
        <v>0</v>
      </c>
      <c r="W18" s="29">
        <f>SUM($T$18:$V$18)</f>
        <v>0</v>
      </c>
      <c r="X18" s="29">
        <f>'TE BE'!$AB$18*'TE BF'!$X$48</f>
        <v>0</v>
      </c>
      <c r="Y18" s="29">
        <f>SUM($X$18:$X$18)</f>
        <v>0</v>
      </c>
      <c r="Z18" s="29">
        <f>'TE BE'!$Z$18*'TE BF'!$Z$48</f>
        <v>0</v>
      </c>
      <c r="AA18" s="29">
        <f>SUM($Z$18:$Z$18)</f>
        <v>0</v>
      </c>
      <c r="AB18" s="29">
        <f>SUMIF($L$4:$AA$4,"SUBTOTAL",$L$18:$AA$18)</f>
        <v>0</v>
      </c>
    </row>
    <row r="19" spans="1:28" ht="11.25" customHeight="1" x14ac:dyDescent="0.25">
      <c r="A19" s="105"/>
      <c r="B19" s="105"/>
      <c r="C19" s="105"/>
      <c r="D19" s="31" t="s">
        <v>32</v>
      </c>
      <c r="E19" s="31" t="s">
        <v>25</v>
      </c>
      <c r="F19" s="31" t="s">
        <v>25</v>
      </c>
      <c r="G19" s="32" t="s">
        <v>78</v>
      </c>
      <c r="H19" s="32" t="s">
        <v>72</v>
      </c>
      <c r="I19" s="32">
        <f>'MERCADO TE'!$U$16</f>
        <v>0</v>
      </c>
      <c r="J19" s="15"/>
      <c r="L19" s="29">
        <f>'TE BE'!$L$19*'TE BF'!$L$48</f>
        <v>0</v>
      </c>
      <c r="M19" s="29">
        <f>'TE BE'!$M$19*'TE BF'!$M$48</f>
        <v>0</v>
      </c>
      <c r="N19" s="29">
        <f>'TE BE'!$N$19*'TE BF'!$N$48</f>
        <v>0</v>
      </c>
      <c r="O19" s="29">
        <f>'TE BE'!$O$19*'TE BF'!$O$48</f>
        <v>0</v>
      </c>
      <c r="P19" s="29">
        <f>'TE BE'!$P$19*'TE BF'!$P$48</f>
        <v>0</v>
      </c>
      <c r="Q19" s="29">
        <f>SUM($L$19:$P$19)</f>
        <v>0</v>
      </c>
      <c r="R19" s="29">
        <f>'TE BE'!$R$19*'TE BF'!$R$48</f>
        <v>0</v>
      </c>
      <c r="S19" s="29">
        <f>SUM($R$19:$R$19)</f>
        <v>0</v>
      </c>
      <c r="T19" s="29">
        <f>'TE BE'!$T$19*'TE BF'!$T$48</f>
        <v>0</v>
      </c>
      <c r="U19" s="29">
        <f>'TE BE'!$U$19*'TE BF'!$U$48</f>
        <v>0</v>
      </c>
      <c r="V19" s="29">
        <f>'TE BE'!$V$19*'TE BF'!$V$48</f>
        <v>0</v>
      </c>
      <c r="W19" s="29">
        <f>SUM($T$19:$V$19)</f>
        <v>0</v>
      </c>
      <c r="X19" s="29">
        <f>'TE BE'!$AB$19*'TE BF'!$X$48</f>
        <v>0</v>
      </c>
      <c r="Y19" s="29">
        <f>SUM($X$19:$X$19)</f>
        <v>0</v>
      </c>
      <c r="Z19" s="29">
        <f>'TE BE'!$Z$19*'TE BF'!$Z$48</f>
        <v>0</v>
      </c>
      <c r="AA19" s="29">
        <f>SUM($Z$19:$Z$19)</f>
        <v>0</v>
      </c>
      <c r="AB19" s="29">
        <f>SUMIF($L$4:$AA$4,"SUBTOTAL",$L$19:$AA$19)</f>
        <v>0</v>
      </c>
    </row>
    <row r="20" spans="1:28" ht="11.25" customHeight="1" x14ac:dyDescent="0.25">
      <c r="A20" s="105" t="s">
        <v>40</v>
      </c>
      <c r="B20" s="105" t="s">
        <v>71</v>
      </c>
      <c r="C20" s="105" t="s">
        <v>41</v>
      </c>
      <c r="D20" s="105" t="s">
        <v>25</v>
      </c>
      <c r="E20" s="105" t="s">
        <v>25</v>
      </c>
      <c r="F20" s="105" t="s">
        <v>25</v>
      </c>
      <c r="G20" s="32" t="s">
        <v>73</v>
      </c>
      <c r="H20" s="32" t="s">
        <v>72</v>
      </c>
      <c r="I20" s="32">
        <f>'MERCADO TE'!$U$17</f>
        <v>0</v>
      </c>
      <c r="J20" s="15"/>
      <c r="L20" s="29">
        <f>'TE BE'!$L$20*'TE BF'!$L$48</f>
        <v>0</v>
      </c>
      <c r="M20" s="29">
        <f>'TE BE'!$M$20*'TE BF'!$M$48</f>
        <v>0</v>
      </c>
      <c r="N20" s="29">
        <f>'TE BE'!$N$20*'TE BF'!$N$48</f>
        <v>0</v>
      </c>
      <c r="O20" s="29">
        <f>'TE BE'!$O$20*'TE BF'!$O$48</f>
        <v>0</v>
      </c>
      <c r="P20" s="29">
        <f>'TE BE'!$P$20*'TE BF'!$P$48</f>
        <v>0</v>
      </c>
      <c r="Q20" s="29">
        <f>SUM($L$20:$P$20)</f>
        <v>0</v>
      </c>
      <c r="R20" s="29">
        <f>'TE BE'!$R$20*'TE BF'!$R$48</f>
        <v>0</v>
      </c>
      <c r="S20" s="29">
        <f>SUM($R$20:$R$20)</f>
        <v>0</v>
      </c>
      <c r="T20" s="29">
        <f>'TE BE'!$T$20*'TE BF'!$T$48</f>
        <v>0</v>
      </c>
      <c r="U20" s="29">
        <f>'TE BE'!$U$20*'TE BF'!$U$48</f>
        <v>0</v>
      </c>
      <c r="V20" s="29">
        <f>'TE BE'!$V$20*'TE BF'!$V$48</f>
        <v>0</v>
      </c>
      <c r="W20" s="29">
        <f>SUM($T$20:$V$20)</f>
        <v>0</v>
      </c>
      <c r="X20" s="29">
        <f>'TE BE'!$AB$20*'TE BF'!$X$48</f>
        <v>0</v>
      </c>
      <c r="Y20" s="29">
        <f>SUM($X$20:$X$20)</f>
        <v>0</v>
      </c>
      <c r="Z20" s="29">
        <f>'TE BE'!$Z$20*'TE BF'!$Z$48</f>
        <v>0</v>
      </c>
      <c r="AA20" s="29">
        <f>SUM($Z$20:$Z$20)</f>
        <v>0</v>
      </c>
      <c r="AB20" s="29">
        <f>SUMIF($L$4:$AA$4,"SUBTOTAL",$L$20:$AA$20)</f>
        <v>0</v>
      </c>
    </row>
    <row r="21" spans="1:28" ht="11.25" customHeight="1" x14ac:dyDescent="0.25">
      <c r="A21" s="105"/>
      <c r="B21" s="105"/>
      <c r="C21" s="105"/>
      <c r="D21" s="105"/>
      <c r="E21" s="105"/>
      <c r="F21" s="105"/>
      <c r="G21" s="32" t="s">
        <v>83</v>
      </c>
      <c r="H21" s="32" t="s">
        <v>72</v>
      </c>
      <c r="I21" s="32">
        <f>'MERCADO TE'!$U$18</f>
        <v>0</v>
      </c>
      <c r="J21" s="15"/>
      <c r="L21" s="29">
        <f>'TE BE'!$L$21*'TE BF'!$L$48</f>
        <v>0</v>
      </c>
      <c r="M21" s="29">
        <f>'TE BE'!$M$21*'TE BF'!$M$48</f>
        <v>0</v>
      </c>
      <c r="N21" s="29">
        <f>'TE BE'!$N$21*'TE BF'!$N$48</f>
        <v>0</v>
      </c>
      <c r="O21" s="29">
        <f>'TE BE'!$O$21*'TE BF'!$O$48</f>
        <v>0</v>
      </c>
      <c r="P21" s="29">
        <f>'TE BE'!$P$21*'TE BF'!$P$48</f>
        <v>0</v>
      </c>
      <c r="Q21" s="29">
        <f>SUM($L$21:$P$21)</f>
        <v>0</v>
      </c>
      <c r="R21" s="29">
        <f>'TE BE'!$R$21*'TE BF'!$R$48</f>
        <v>0</v>
      </c>
      <c r="S21" s="29">
        <f>SUM($R$21:$R$21)</f>
        <v>0</v>
      </c>
      <c r="T21" s="29">
        <f>'TE BE'!$T$21*'TE BF'!$T$48</f>
        <v>0</v>
      </c>
      <c r="U21" s="29">
        <f>'TE BE'!$U$21*'TE BF'!$U$48</f>
        <v>0</v>
      </c>
      <c r="V21" s="29">
        <f>'TE BE'!$V$21*'TE BF'!$V$48</f>
        <v>0</v>
      </c>
      <c r="W21" s="29">
        <f>SUM($T$21:$V$21)</f>
        <v>0</v>
      </c>
      <c r="X21" s="29">
        <f>'TE BE'!$AB$21*'TE BF'!$X$48</f>
        <v>0</v>
      </c>
      <c r="Y21" s="29">
        <f>SUM($X$21:$X$21)</f>
        <v>0</v>
      </c>
      <c r="Z21" s="29">
        <f>'TE BE'!$Z$21*'TE BF'!$Z$48</f>
        <v>0</v>
      </c>
      <c r="AA21" s="29">
        <f>SUM($Z$21:$Z$21)</f>
        <v>0</v>
      </c>
      <c r="AB21" s="29">
        <f>SUMIF($L$4:$AA$4,"SUBTOTAL",$L$21:$AA$21)</f>
        <v>0</v>
      </c>
    </row>
    <row r="22" spans="1:28" ht="11.25" customHeight="1" x14ac:dyDescent="0.25">
      <c r="A22" s="105"/>
      <c r="B22" s="105"/>
      <c r="C22" s="105"/>
      <c r="D22" s="105"/>
      <c r="E22" s="105"/>
      <c r="F22" s="105"/>
      <c r="G22" s="32" t="s">
        <v>74</v>
      </c>
      <c r="H22" s="32" t="s">
        <v>72</v>
      </c>
      <c r="I22" s="32">
        <f>'MERCADO TE'!$U$19</f>
        <v>0</v>
      </c>
      <c r="J22" s="15"/>
      <c r="L22" s="29">
        <f>'TE BE'!$L$22*'TE BF'!$L$48</f>
        <v>0</v>
      </c>
      <c r="M22" s="29">
        <f>'TE BE'!$M$22*'TE BF'!$M$48</f>
        <v>0</v>
      </c>
      <c r="N22" s="29">
        <f>'TE BE'!$N$22*'TE BF'!$N$48</f>
        <v>0</v>
      </c>
      <c r="O22" s="29">
        <f>'TE BE'!$O$22*'TE BF'!$O$48</f>
        <v>0</v>
      </c>
      <c r="P22" s="29">
        <f>'TE BE'!$P$22*'TE BF'!$P$48</f>
        <v>0</v>
      </c>
      <c r="Q22" s="29">
        <f>SUM($L$22:$P$22)</f>
        <v>0</v>
      </c>
      <c r="R22" s="29">
        <f>'TE BE'!$R$22*'TE BF'!$R$48</f>
        <v>0</v>
      </c>
      <c r="S22" s="29">
        <f>SUM($R$22:$R$22)</f>
        <v>0</v>
      </c>
      <c r="T22" s="29">
        <f>'TE BE'!$T$22*'TE BF'!$T$48</f>
        <v>0</v>
      </c>
      <c r="U22" s="29">
        <f>'TE BE'!$U$22*'TE BF'!$U$48</f>
        <v>0</v>
      </c>
      <c r="V22" s="29">
        <f>'TE BE'!$V$22*'TE BF'!$V$48</f>
        <v>0</v>
      </c>
      <c r="W22" s="29">
        <f>SUM($T$22:$V$22)</f>
        <v>0</v>
      </c>
      <c r="X22" s="29">
        <f>'TE BE'!$AB$22*'TE BF'!$X$48</f>
        <v>0</v>
      </c>
      <c r="Y22" s="29">
        <f>SUM($X$22:$X$22)</f>
        <v>0</v>
      </c>
      <c r="Z22" s="29">
        <f>'TE BE'!$Z$22*'TE BF'!$Z$48</f>
        <v>0</v>
      </c>
      <c r="AA22" s="29">
        <f>SUM($Z$22:$Z$22)</f>
        <v>0</v>
      </c>
      <c r="AB22" s="29">
        <f>SUMIF($L$4:$AA$4,"SUBTOTAL",$L$22:$AA$22)</f>
        <v>0</v>
      </c>
    </row>
    <row r="23" spans="1:28" ht="11.25" customHeight="1" x14ac:dyDescent="0.25">
      <c r="A23" s="105"/>
      <c r="B23" s="31" t="s">
        <v>84</v>
      </c>
      <c r="C23" s="31" t="s">
        <v>41</v>
      </c>
      <c r="D23" s="31" t="s">
        <v>25</v>
      </c>
      <c r="E23" s="31" t="s">
        <v>25</v>
      </c>
      <c r="F23" s="31" t="s">
        <v>25</v>
      </c>
      <c r="G23" s="32" t="s">
        <v>78</v>
      </c>
      <c r="H23" s="32" t="s">
        <v>72</v>
      </c>
      <c r="I23" s="32">
        <f>'MERCADO TE'!$U$20</f>
        <v>40057.667999999998</v>
      </c>
      <c r="J23" s="15"/>
      <c r="L23" s="29">
        <f>'TE BE'!$L$23*'TE BF'!$L$48</f>
        <v>0</v>
      </c>
      <c r="M23" s="29">
        <f>'TE BE'!$M$23*'TE BF'!$M$48</f>
        <v>0</v>
      </c>
      <c r="N23" s="29">
        <f>'TE BE'!$N$23*'TE BF'!$N$48</f>
        <v>0</v>
      </c>
      <c r="O23" s="29">
        <f>'TE BE'!$O$23*'TE BF'!$O$48</f>
        <v>0</v>
      </c>
      <c r="P23" s="29">
        <f>'TE BE'!$P$23*'TE BF'!$P$48</f>
        <v>0</v>
      </c>
      <c r="Q23" s="29">
        <f>SUM($L$23:$P$23)</f>
        <v>0</v>
      </c>
      <c r="R23" s="29">
        <f>'TE BE'!$R$23*'TE BF'!$R$48</f>
        <v>0</v>
      </c>
      <c r="S23" s="29">
        <f>SUM($R$23:$R$23)</f>
        <v>0</v>
      </c>
      <c r="T23" s="29">
        <f>'TE BE'!$T$23*'TE BF'!$T$48</f>
        <v>0</v>
      </c>
      <c r="U23" s="29">
        <f>'TE BE'!$U$23*'TE BF'!$U$48</f>
        <v>0</v>
      </c>
      <c r="V23" s="29">
        <f>'TE BE'!$V$23*'TE BF'!$V$48</f>
        <v>0</v>
      </c>
      <c r="W23" s="29">
        <f>SUM($T$23:$V$23)</f>
        <v>0</v>
      </c>
      <c r="X23" s="29">
        <f>'TE BE'!$AB$23*'TE BF'!$X$48</f>
        <v>0</v>
      </c>
      <c r="Y23" s="29">
        <f>SUM($X$23:$X$23)</f>
        <v>0</v>
      </c>
      <c r="Z23" s="29">
        <f>'TE BE'!$Z$23*'TE BF'!$Z$48</f>
        <v>0</v>
      </c>
      <c r="AA23" s="29">
        <f>SUM($Z$23:$Z$23)</f>
        <v>0</v>
      </c>
      <c r="AB23" s="29">
        <f>SUMIF($L$4:$AA$4,"SUBTOTAL",$L$23:$AA$23)</f>
        <v>0</v>
      </c>
    </row>
    <row r="24" spans="1:28" ht="11.25" customHeight="1" x14ac:dyDescent="0.25">
      <c r="A24" s="105"/>
      <c r="B24" s="105" t="s">
        <v>71</v>
      </c>
      <c r="C24" s="105" t="s">
        <v>41</v>
      </c>
      <c r="D24" s="105" t="s">
        <v>88</v>
      </c>
      <c r="E24" s="105" t="s">
        <v>25</v>
      </c>
      <c r="F24" s="105" t="s">
        <v>25</v>
      </c>
      <c r="G24" s="32" t="s">
        <v>73</v>
      </c>
      <c r="H24" s="32" t="s">
        <v>72</v>
      </c>
      <c r="I24" s="32">
        <f>'MERCADO TE'!$U$21</f>
        <v>0</v>
      </c>
      <c r="J24" s="15"/>
      <c r="L24" s="29">
        <f>'TE BE'!$L$24*'TE BF'!$L$48</f>
        <v>0</v>
      </c>
      <c r="M24" s="29">
        <f>'TE BE'!$M$24*'TE BF'!$M$48</f>
        <v>0</v>
      </c>
      <c r="N24" s="29">
        <f>'TE BE'!$N$24*'TE BF'!$N$48</f>
        <v>0</v>
      </c>
      <c r="O24" s="29">
        <f>'TE BE'!$O$24*'TE BF'!$O$48</f>
        <v>0</v>
      </c>
      <c r="P24" s="29">
        <f>'TE BE'!$P$24*'TE BF'!$P$48</f>
        <v>0</v>
      </c>
      <c r="Q24" s="29">
        <f>SUM($L$24:$P$24)</f>
        <v>0</v>
      </c>
      <c r="R24" s="29">
        <f>'TE BE'!$R$24*'TE BF'!$R$48</f>
        <v>0</v>
      </c>
      <c r="S24" s="29">
        <f>SUM($R$24:$R$24)</f>
        <v>0</v>
      </c>
      <c r="T24" s="29">
        <f>'TE BE'!$T$24*'TE BF'!$T$48</f>
        <v>0</v>
      </c>
      <c r="U24" s="29">
        <f>'TE BE'!$U$24*'TE BF'!$U$48</f>
        <v>0</v>
      </c>
      <c r="V24" s="29">
        <f>'TE BE'!$V$24*'TE BF'!$V$48</f>
        <v>0</v>
      </c>
      <c r="W24" s="29">
        <f>SUM($T$24:$V$24)</f>
        <v>0</v>
      </c>
      <c r="X24" s="29">
        <f>'TE BE'!$AB$24*'TE BF'!$X$48</f>
        <v>0</v>
      </c>
      <c r="Y24" s="29">
        <f>SUM($X$24:$X$24)</f>
        <v>0</v>
      </c>
      <c r="Z24" s="29">
        <f>'TE BE'!$Z$24*'TE BF'!$Z$48</f>
        <v>0</v>
      </c>
      <c r="AA24" s="29">
        <f>SUM($Z$24:$Z$24)</f>
        <v>0</v>
      </c>
      <c r="AB24" s="29">
        <f>SUMIF($L$4:$AA$4,"SUBTOTAL",$L$24:$AA$24)</f>
        <v>0</v>
      </c>
    </row>
    <row r="25" spans="1:28" ht="11.25" customHeight="1" x14ac:dyDescent="0.25">
      <c r="A25" s="105"/>
      <c r="B25" s="105"/>
      <c r="C25" s="105"/>
      <c r="D25" s="105"/>
      <c r="E25" s="105"/>
      <c r="F25" s="105"/>
      <c r="G25" s="32" t="s">
        <v>83</v>
      </c>
      <c r="H25" s="32" t="s">
        <v>72</v>
      </c>
      <c r="I25" s="32">
        <f>'MERCADO TE'!$U$22</f>
        <v>0</v>
      </c>
      <c r="J25" s="15"/>
      <c r="L25" s="29">
        <f>'TE BE'!$L$25*'TE BF'!$L$48</f>
        <v>0</v>
      </c>
      <c r="M25" s="29">
        <f>'TE BE'!$M$25*'TE BF'!$M$48</f>
        <v>0</v>
      </c>
      <c r="N25" s="29">
        <f>'TE BE'!$N$25*'TE BF'!$N$48</f>
        <v>0</v>
      </c>
      <c r="O25" s="29">
        <f>'TE BE'!$O$25*'TE BF'!$O$48</f>
        <v>0</v>
      </c>
      <c r="P25" s="29">
        <f>'TE BE'!$P$25*'TE BF'!$P$48</f>
        <v>0</v>
      </c>
      <c r="Q25" s="29">
        <f>SUM($L$25:$P$25)</f>
        <v>0</v>
      </c>
      <c r="R25" s="29">
        <f>'TE BE'!$R$25*'TE BF'!$R$48</f>
        <v>0</v>
      </c>
      <c r="S25" s="29">
        <f>SUM($R$25:$R$25)</f>
        <v>0</v>
      </c>
      <c r="T25" s="29">
        <f>'TE BE'!$T$25*'TE BF'!$T$48</f>
        <v>0</v>
      </c>
      <c r="U25" s="29">
        <f>'TE BE'!$U$25*'TE BF'!$U$48</f>
        <v>0</v>
      </c>
      <c r="V25" s="29">
        <f>'TE BE'!$V$25*'TE BF'!$V$48</f>
        <v>0</v>
      </c>
      <c r="W25" s="29">
        <f>SUM($T$25:$V$25)</f>
        <v>0</v>
      </c>
      <c r="X25" s="29">
        <f>'TE BE'!$AB$25*'TE BF'!$X$48</f>
        <v>0</v>
      </c>
      <c r="Y25" s="29">
        <f>SUM($X$25:$X$25)</f>
        <v>0</v>
      </c>
      <c r="Z25" s="29">
        <f>'TE BE'!$Z$25*'TE BF'!$Z$48</f>
        <v>0</v>
      </c>
      <c r="AA25" s="29">
        <f>SUM($Z$25:$Z$25)</f>
        <v>0</v>
      </c>
      <c r="AB25" s="29">
        <f>SUMIF($L$4:$AA$4,"SUBTOTAL",$L$25:$AA$25)</f>
        <v>0</v>
      </c>
    </row>
    <row r="26" spans="1:28" ht="11.25" customHeight="1" x14ac:dyDescent="0.25">
      <c r="A26" s="105"/>
      <c r="B26" s="105"/>
      <c r="C26" s="105"/>
      <c r="D26" s="105"/>
      <c r="E26" s="105"/>
      <c r="F26" s="105"/>
      <c r="G26" s="32" t="s">
        <v>74</v>
      </c>
      <c r="H26" s="32" t="s">
        <v>72</v>
      </c>
      <c r="I26" s="32">
        <f>'MERCADO TE'!$U$23</f>
        <v>0</v>
      </c>
      <c r="J26" s="15"/>
      <c r="L26" s="29">
        <f>'TE BE'!$L$26*'TE BF'!$L$48</f>
        <v>0</v>
      </c>
      <c r="M26" s="29">
        <f>'TE BE'!$M$26*'TE BF'!$M$48</f>
        <v>0</v>
      </c>
      <c r="N26" s="29">
        <f>'TE BE'!$N$26*'TE BF'!$N$48</f>
        <v>0</v>
      </c>
      <c r="O26" s="29">
        <f>'TE BE'!$O$26*'TE BF'!$O$48</f>
        <v>0</v>
      </c>
      <c r="P26" s="29">
        <f>'TE BE'!$P$26*'TE BF'!$P$48</f>
        <v>0</v>
      </c>
      <c r="Q26" s="29">
        <f>SUM($L$26:$P$26)</f>
        <v>0</v>
      </c>
      <c r="R26" s="29">
        <f>'TE BE'!$R$26*'TE BF'!$R$48</f>
        <v>0</v>
      </c>
      <c r="S26" s="29">
        <f>SUM($R$26:$R$26)</f>
        <v>0</v>
      </c>
      <c r="T26" s="29">
        <f>'TE BE'!$T$26*'TE BF'!$T$48</f>
        <v>0</v>
      </c>
      <c r="U26" s="29">
        <f>'TE BE'!$U$26*'TE BF'!$U$48</f>
        <v>0</v>
      </c>
      <c r="V26" s="29">
        <f>'TE BE'!$V$26*'TE BF'!$V$48</f>
        <v>0</v>
      </c>
      <c r="W26" s="29">
        <f>SUM($T$26:$V$26)</f>
        <v>0</v>
      </c>
      <c r="X26" s="29">
        <f>'TE BE'!$AB$26*'TE BF'!$X$48</f>
        <v>0</v>
      </c>
      <c r="Y26" s="29">
        <f>SUM($X$26:$X$26)</f>
        <v>0</v>
      </c>
      <c r="Z26" s="29">
        <f>'TE BE'!$Z$26*'TE BF'!$Z$48</f>
        <v>0</v>
      </c>
      <c r="AA26" s="29">
        <f>SUM($Z$26:$Z$26)</f>
        <v>0</v>
      </c>
      <c r="AB26" s="29">
        <f>SUMIF($L$4:$AA$4,"SUBTOTAL",$L$26:$AA$26)</f>
        <v>0</v>
      </c>
    </row>
    <row r="27" spans="1:28" ht="11.25" customHeight="1" x14ac:dyDescent="0.25">
      <c r="A27" s="105"/>
      <c r="B27" s="31" t="s">
        <v>84</v>
      </c>
      <c r="C27" s="31" t="s">
        <v>41</v>
      </c>
      <c r="D27" s="31" t="s">
        <v>88</v>
      </c>
      <c r="E27" s="31" t="s">
        <v>25</v>
      </c>
      <c r="F27" s="31" t="s">
        <v>25</v>
      </c>
      <c r="G27" s="32" t="s">
        <v>78</v>
      </c>
      <c r="H27" s="32" t="s">
        <v>72</v>
      </c>
      <c r="I27" s="32">
        <f>'MERCADO TE'!$U$24</f>
        <v>0</v>
      </c>
      <c r="J27" s="15"/>
      <c r="L27" s="29">
        <f>'TE BE'!$L$27*'TE BF'!$L$48</f>
        <v>0</v>
      </c>
      <c r="M27" s="29">
        <f>'TE BE'!$M$27*'TE BF'!$M$48</f>
        <v>0</v>
      </c>
      <c r="N27" s="29">
        <f>'TE BE'!$N$27*'TE BF'!$N$48</f>
        <v>0</v>
      </c>
      <c r="O27" s="29">
        <f>'TE BE'!$O$27*'TE BF'!$O$48</f>
        <v>0</v>
      </c>
      <c r="P27" s="29">
        <f>'TE BE'!$P$27*'TE BF'!$P$48</f>
        <v>0</v>
      </c>
      <c r="Q27" s="29">
        <f>SUM($L$27:$P$27)</f>
        <v>0</v>
      </c>
      <c r="R27" s="29">
        <f>'TE BE'!$R$27*'TE BF'!$R$48</f>
        <v>0</v>
      </c>
      <c r="S27" s="29">
        <f>SUM($R$27:$R$27)</f>
        <v>0</v>
      </c>
      <c r="T27" s="29">
        <f>'TE BE'!$T$27*'TE BF'!$T$48</f>
        <v>0</v>
      </c>
      <c r="U27" s="29">
        <f>'TE BE'!$U$27*'TE BF'!$U$48</f>
        <v>0</v>
      </c>
      <c r="V27" s="29">
        <f>'TE BE'!$V$27*'TE BF'!$V$48</f>
        <v>0</v>
      </c>
      <c r="W27" s="29">
        <f>SUM($T$27:$V$27)</f>
        <v>0</v>
      </c>
      <c r="X27" s="29">
        <f>'TE BE'!$AB$27*'TE BF'!$X$48</f>
        <v>0</v>
      </c>
      <c r="Y27" s="29">
        <f>SUM($X$27:$X$27)</f>
        <v>0</v>
      </c>
      <c r="Z27" s="29">
        <f>'TE BE'!$Z$27*'TE BF'!$Z$48</f>
        <v>0</v>
      </c>
      <c r="AA27" s="29">
        <f>SUM($Z$27:$Z$27)</f>
        <v>0</v>
      </c>
      <c r="AB27" s="29">
        <f>SUMIF($L$4:$AA$4,"SUBTOTAL",$L$27:$AA$27)</f>
        <v>0</v>
      </c>
    </row>
    <row r="28" spans="1:28" ht="11.25" customHeight="1" x14ac:dyDescent="0.25">
      <c r="A28" s="105"/>
      <c r="B28" s="105" t="s">
        <v>71</v>
      </c>
      <c r="C28" s="105" t="s">
        <v>41</v>
      </c>
      <c r="D28" s="105" t="s">
        <v>89</v>
      </c>
      <c r="E28" s="105" t="s">
        <v>25</v>
      </c>
      <c r="F28" s="105" t="s">
        <v>25</v>
      </c>
      <c r="G28" s="32" t="s">
        <v>73</v>
      </c>
      <c r="H28" s="32" t="s">
        <v>72</v>
      </c>
      <c r="I28" s="32">
        <f>'MERCADO TE'!$U$25</f>
        <v>0</v>
      </c>
      <c r="J28" s="15"/>
      <c r="L28" s="29">
        <f>'TE BE'!$L$28*'TE BF'!$L$48</f>
        <v>0</v>
      </c>
      <c r="M28" s="29">
        <f>'TE BE'!$M$28*'TE BF'!$M$48</f>
        <v>0</v>
      </c>
      <c r="N28" s="29">
        <f>'TE BE'!$N$28*'TE BF'!$N$48</f>
        <v>0</v>
      </c>
      <c r="O28" s="29">
        <f>'TE BE'!$O$28*'TE BF'!$O$48</f>
        <v>0</v>
      </c>
      <c r="P28" s="29">
        <f>'TE BE'!$P$28*'TE BF'!$P$48</f>
        <v>0</v>
      </c>
      <c r="Q28" s="29">
        <f>SUM($L$28:$P$28)</f>
        <v>0</v>
      </c>
      <c r="R28" s="29">
        <f>'TE BE'!$R$28*'TE BF'!$R$48</f>
        <v>0</v>
      </c>
      <c r="S28" s="29">
        <f>SUM($R$28:$R$28)</f>
        <v>0</v>
      </c>
      <c r="T28" s="29">
        <f>'TE BE'!$T$28*'TE BF'!$T$48</f>
        <v>0</v>
      </c>
      <c r="U28" s="29">
        <f>'TE BE'!$U$28*'TE BF'!$U$48</f>
        <v>0</v>
      </c>
      <c r="V28" s="29">
        <f>'TE BE'!$V$28*'TE BF'!$V$48</f>
        <v>0</v>
      </c>
      <c r="W28" s="29">
        <f>SUM($T$28:$V$28)</f>
        <v>0</v>
      </c>
      <c r="X28" s="29">
        <f>'TE BE'!$AB$28*'TE BF'!$X$48</f>
        <v>0</v>
      </c>
      <c r="Y28" s="29">
        <f>SUM($X$28:$X$28)</f>
        <v>0</v>
      </c>
      <c r="Z28" s="29">
        <f>'TE BE'!$Z$28*'TE BF'!$Z$48</f>
        <v>0</v>
      </c>
      <c r="AA28" s="29">
        <f>SUM($Z$28:$Z$28)</f>
        <v>0</v>
      </c>
      <c r="AB28" s="29">
        <f>SUMIF($L$4:$AA$4,"SUBTOTAL",$L$28:$AA$28)</f>
        <v>0</v>
      </c>
    </row>
    <row r="29" spans="1:28" ht="11.25" customHeight="1" x14ac:dyDescent="0.25">
      <c r="A29" s="105"/>
      <c r="B29" s="105"/>
      <c r="C29" s="105"/>
      <c r="D29" s="105"/>
      <c r="E29" s="105"/>
      <c r="F29" s="105"/>
      <c r="G29" s="32" t="s">
        <v>83</v>
      </c>
      <c r="H29" s="32" t="s">
        <v>72</v>
      </c>
      <c r="I29" s="32">
        <f>'MERCADO TE'!$U$26</f>
        <v>0</v>
      </c>
      <c r="J29" s="15"/>
      <c r="L29" s="29">
        <f>'TE BE'!$L$29*'TE BF'!$L$48</f>
        <v>0</v>
      </c>
      <c r="M29" s="29">
        <f>'TE BE'!$M$29*'TE BF'!$M$48</f>
        <v>0</v>
      </c>
      <c r="N29" s="29">
        <f>'TE BE'!$N$29*'TE BF'!$N$48</f>
        <v>0</v>
      </c>
      <c r="O29" s="29">
        <f>'TE BE'!$O$29*'TE BF'!$O$48</f>
        <v>0</v>
      </c>
      <c r="P29" s="29">
        <f>'TE BE'!$P$29*'TE BF'!$P$48</f>
        <v>0</v>
      </c>
      <c r="Q29" s="29">
        <f>SUM($L$29:$P$29)</f>
        <v>0</v>
      </c>
      <c r="R29" s="29">
        <f>'TE BE'!$R$29*'TE BF'!$R$48</f>
        <v>0</v>
      </c>
      <c r="S29" s="29">
        <f>SUM($R$29:$R$29)</f>
        <v>0</v>
      </c>
      <c r="T29" s="29">
        <f>'TE BE'!$T$29*'TE BF'!$T$48</f>
        <v>0</v>
      </c>
      <c r="U29" s="29">
        <f>'TE BE'!$U$29*'TE BF'!$U$48</f>
        <v>0</v>
      </c>
      <c r="V29" s="29">
        <f>'TE BE'!$V$29*'TE BF'!$V$48</f>
        <v>0</v>
      </c>
      <c r="W29" s="29">
        <f>SUM($T$29:$V$29)</f>
        <v>0</v>
      </c>
      <c r="X29" s="29">
        <f>'TE BE'!$AB$29*'TE BF'!$X$48</f>
        <v>0</v>
      </c>
      <c r="Y29" s="29">
        <f>SUM($X$29:$X$29)</f>
        <v>0</v>
      </c>
      <c r="Z29" s="29">
        <f>'TE BE'!$Z$29*'TE BF'!$Z$48</f>
        <v>0</v>
      </c>
      <c r="AA29" s="29">
        <f>SUM($Z$29:$Z$29)</f>
        <v>0</v>
      </c>
      <c r="AB29" s="29">
        <f>SUMIF($L$4:$AA$4,"SUBTOTAL",$L$29:$AA$29)</f>
        <v>0</v>
      </c>
    </row>
    <row r="30" spans="1:28" ht="11.25" customHeight="1" x14ac:dyDescent="0.25">
      <c r="A30" s="105"/>
      <c r="B30" s="105"/>
      <c r="C30" s="105"/>
      <c r="D30" s="105"/>
      <c r="E30" s="105"/>
      <c r="F30" s="105"/>
      <c r="G30" s="32" t="s">
        <v>74</v>
      </c>
      <c r="H30" s="32" t="s">
        <v>72</v>
      </c>
      <c r="I30" s="32">
        <f>'MERCADO TE'!$U$27</f>
        <v>0</v>
      </c>
      <c r="J30" s="15"/>
      <c r="L30" s="29">
        <f>'TE BE'!$L$30*'TE BF'!$L$48</f>
        <v>0</v>
      </c>
      <c r="M30" s="29">
        <f>'TE BE'!$M$30*'TE BF'!$M$48</f>
        <v>0</v>
      </c>
      <c r="N30" s="29">
        <f>'TE BE'!$N$30*'TE BF'!$N$48</f>
        <v>0</v>
      </c>
      <c r="O30" s="29">
        <f>'TE BE'!$O$30*'TE BF'!$O$48</f>
        <v>0</v>
      </c>
      <c r="P30" s="29">
        <f>'TE BE'!$P$30*'TE BF'!$P$48</f>
        <v>0</v>
      </c>
      <c r="Q30" s="29">
        <f>SUM($L$30:$P$30)</f>
        <v>0</v>
      </c>
      <c r="R30" s="29">
        <f>'TE BE'!$R$30*'TE BF'!$R$48</f>
        <v>0</v>
      </c>
      <c r="S30" s="29">
        <f>SUM($R$30:$R$30)</f>
        <v>0</v>
      </c>
      <c r="T30" s="29">
        <f>'TE BE'!$T$30*'TE BF'!$T$48</f>
        <v>0</v>
      </c>
      <c r="U30" s="29">
        <f>'TE BE'!$U$30*'TE BF'!$U$48</f>
        <v>0</v>
      </c>
      <c r="V30" s="29">
        <f>'TE BE'!$V$30*'TE BF'!$V$48</f>
        <v>0</v>
      </c>
      <c r="W30" s="29">
        <f>SUM($T$30:$V$30)</f>
        <v>0</v>
      </c>
      <c r="X30" s="29">
        <f>'TE BE'!$AB$30*'TE BF'!$X$48</f>
        <v>0</v>
      </c>
      <c r="Y30" s="29">
        <f>SUM($X$30:$X$30)</f>
        <v>0</v>
      </c>
      <c r="Z30" s="29">
        <f>'TE BE'!$Z$30*'TE BF'!$Z$48</f>
        <v>0</v>
      </c>
      <c r="AA30" s="29">
        <f>SUM($Z$30:$Z$30)</f>
        <v>0</v>
      </c>
      <c r="AB30" s="29">
        <f>SUMIF($L$4:$AA$4,"SUBTOTAL",$L$30:$AA$30)</f>
        <v>0</v>
      </c>
    </row>
    <row r="31" spans="1:28" ht="11.25" customHeight="1" x14ac:dyDescent="0.25">
      <c r="A31" s="105"/>
      <c r="B31" s="31" t="s">
        <v>84</v>
      </c>
      <c r="C31" s="31" t="s">
        <v>41</v>
      </c>
      <c r="D31" s="31" t="s">
        <v>89</v>
      </c>
      <c r="E31" s="31" t="s">
        <v>25</v>
      </c>
      <c r="F31" s="31" t="s">
        <v>25</v>
      </c>
      <c r="G31" s="32" t="s">
        <v>78</v>
      </c>
      <c r="H31" s="32" t="s">
        <v>72</v>
      </c>
      <c r="I31" s="32">
        <f>'MERCADO TE'!$U$28</f>
        <v>0</v>
      </c>
      <c r="J31" s="15"/>
      <c r="L31" s="29">
        <f>'TE BE'!$L$31*'TE BF'!$L$48</f>
        <v>0</v>
      </c>
      <c r="M31" s="29">
        <f>'TE BE'!$M$31*'TE BF'!$M$48</f>
        <v>0</v>
      </c>
      <c r="N31" s="29">
        <f>'TE BE'!$N$31*'TE BF'!$N$48</f>
        <v>0</v>
      </c>
      <c r="O31" s="29">
        <f>'TE BE'!$O$31*'TE BF'!$O$48</f>
        <v>0</v>
      </c>
      <c r="P31" s="29">
        <f>'TE BE'!$P$31*'TE BF'!$P$48</f>
        <v>0</v>
      </c>
      <c r="Q31" s="29">
        <f>SUM($L$31:$P$31)</f>
        <v>0</v>
      </c>
      <c r="R31" s="29">
        <f>'TE BE'!$R$31*'TE BF'!$R$48</f>
        <v>0</v>
      </c>
      <c r="S31" s="29">
        <f>SUM($R$31:$R$31)</f>
        <v>0</v>
      </c>
      <c r="T31" s="29">
        <f>'TE BE'!$T$31*'TE BF'!$T$48</f>
        <v>0</v>
      </c>
      <c r="U31" s="29">
        <f>'TE BE'!$U$31*'TE BF'!$U$48</f>
        <v>0</v>
      </c>
      <c r="V31" s="29">
        <f>'TE BE'!$V$31*'TE BF'!$V$48</f>
        <v>0</v>
      </c>
      <c r="W31" s="29">
        <f>SUM($T$31:$V$31)</f>
        <v>0</v>
      </c>
      <c r="X31" s="29">
        <f>'TE BE'!$AB$31*'TE BF'!$X$48</f>
        <v>0</v>
      </c>
      <c r="Y31" s="29">
        <f>SUM($X$31:$X$31)</f>
        <v>0</v>
      </c>
      <c r="Z31" s="29">
        <f>'TE BE'!$Z$31*'TE BF'!$Z$48</f>
        <v>0</v>
      </c>
      <c r="AA31" s="29">
        <f>SUM($Z$31:$Z$31)</f>
        <v>0</v>
      </c>
      <c r="AB31" s="29">
        <f>SUMIF($L$4:$AA$4,"SUBTOTAL",$L$31:$AA$31)</f>
        <v>0</v>
      </c>
    </row>
    <row r="32" spans="1:28" ht="11.25" customHeight="1" x14ac:dyDescent="0.25">
      <c r="A32" s="105"/>
      <c r="B32" s="105" t="s">
        <v>86</v>
      </c>
      <c r="C32" s="105" t="s">
        <v>41</v>
      </c>
      <c r="D32" s="31" t="s">
        <v>25</v>
      </c>
      <c r="E32" s="31" t="s">
        <v>25</v>
      </c>
      <c r="F32" s="31" t="s">
        <v>25</v>
      </c>
      <c r="G32" s="32" t="s">
        <v>78</v>
      </c>
      <c r="H32" s="32" t="s">
        <v>72</v>
      </c>
      <c r="I32" s="32">
        <f>'MERCADO TE'!$U$29</f>
        <v>0</v>
      </c>
      <c r="J32" s="15"/>
      <c r="L32" s="29">
        <f>'TE BE'!$L$32*'TE BF'!$L$48</f>
        <v>0</v>
      </c>
      <c r="M32" s="29">
        <f>'TE BE'!$M$32*'TE BF'!$M$48</f>
        <v>0</v>
      </c>
      <c r="N32" s="29">
        <f>'TE BE'!$N$32*'TE BF'!$N$48</f>
        <v>0</v>
      </c>
      <c r="O32" s="29">
        <f>'TE BE'!$O$32*'TE BF'!$O$48</f>
        <v>0</v>
      </c>
      <c r="P32" s="29">
        <f>'TE BE'!$P$32*'TE BF'!$P$48</f>
        <v>0</v>
      </c>
      <c r="Q32" s="29">
        <f>SUM($L$32:$P$32)</f>
        <v>0</v>
      </c>
      <c r="R32" s="29">
        <f>'TE BE'!$R$32*'TE BF'!$R$48</f>
        <v>0</v>
      </c>
      <c r="S32" s="29">
        <f>SUM($R$32:$R$32)</f>
        <v>0</v>
      </c>
      <c r="T32" s="29">
        <f>'TE BE'!$T$32*'TE BF'!$T$48</f>
        <v>0</v>
      </c>
      <c r="U32" s="29">
        <f>'TE BE'!$U$32*'TE BF'!$U$48</f>
        <v>0</v>
      </c>
      <c r="V32" s="29">
        <f>'TE BE'!$V$32*'TE BF'!$V$48</f>
        <v>0</v>
      </c>
      <c r="W32" s="29">
        <f>SUM($T$32:$V$32)</f>
        <v>0</v>
      </c>
      <c r="X32" s="29">
        <f>'TE BE'!$AB$32*'TE BF'!$X$48</f>
        <v>0</v>
      </c>
      <c r="Y32" s="29">
        <f>SUM($X$32:$X$32)</f>
        <v>0</v>
      </c>
      <c r="Z32" s="29">
        <f>'TE BE'!$Z$32*'TE BF'!$Z$48</f>
        <v>0</v>
      </c>
      <c r="AA32" s="29">
        <f>SUM($Z$32:$Z$32)</f>
        <v>0</v>
      </c>
      <c r="AB32" s="29">
        <f>SUMIF($L$4:$AA$4,"SUBTOTAL",$L$32:$AA$32)</f>
        <v>0</v>
      </c>
    </row>
    <row r="33" spans="1:28" ht="11.25" customHeight="1" x14ac:dyDescent="0.25">
      <c r="A33" s="105"/>
      <c r="B33" s="105"/>
      <c r="C33" s="105"/>
      <c r="D33" s="31" t="s">
        <v>88</v>
      </c>
      <c r="E33" s="31" t="s">
        <v>25</v>
      </c>
      <c r="F33" s="31" t="s">
        <v>25</v>
      </c>
      <c r="G33" s="32" t="s">
        <v>78</v>
      </c>
      <c r="H33" s="32" t="s">
        <v>72</v>
      </c>
      <c r="I33" s="32">
        <f>'MERCADO TE'!$U$30</f>
        <v>0</v>
      </c>
      <c r="J33" s="15"/>
      <c r="L33" s="29">
        <f>'TE BE'!$L$33*'TE BF'!$L$48</f>
        <v>0</v>
      </c>
      <c r="M33" s="29">
        <f>'TE BE'!$M$33*'TE BF'!$M$48</f>
        <v>0</v>
      </c>
      <c r="N33" s="29">
        <f>'TE BE'!$N$33*'TE BF'!$N$48</f>
        <v>0</v>
      </c>
      <c r="O33" s="29">
        <f>'TE BE'!$O$33*'TE BF'!$O$48</f>
        <v>0</v>
      </c>
      <c r="P33" s="29">
        <f>'TE BE'!$P$33*'TE BF'!$P$48</f>
        <v>0</v>
      </c>
      <c r="Q33" s="29">
        <f>SUM($L$33:$P$33)</f>
        <v>0</v>
      </c>
      <c r="R33" s="29">
        <f>'TE BE'!$R$33*'TE BF'!$R$48</f>
        <v>0</v>
      </c>
      <c r="S33" s="29">
        <f>SUM($R$33:$R$33)</f>
        <v>0</v>
      </c>
      <c r="T33" s="29">
        <f>'TE BE'!$T$33*'TE BF'!$T$48</f>
        <v>0</v>
      </c>
      <c r="U33" s="29">
        <f>'TE BE'!$U$33*'TE BF'!$U$48</f>
        <v>0</v>
      </c>
      <c r="V33" s="29">
        <f>'TE BE'!$V$33*'TE BF'!$V$48</f>
        <v>0</v>
      </c>
      <c r="W33" s="29">
        <f>SUM($T$33:$V$33)</f>
        <v>0</v>
      </c>
      <c r="X33" s="29">
        <f>'TE BE'!$AB$33*'TE BF'!$X$48</f>
        <v>0</v>
      </c>
      <c r="Y33" s="29">
        <f>SUM($X$33:$X$33)</f>
        <v>0</v>
      </c>
      <c r="Z33" s="29">
        <f>'TE BE'!$Z$33*'TE BF'!$Z$48</f>
        <v>0</v>
      </c>
      <c r="AA33" s="29">
        <f>SUM($Z$33:$Z$33)</f>
        <v>0</v>
      </c>
      <c r="AB33" s="29">
        <f>SUMIF($L$4:$AA$4,"SUBTOTAL",$L$33:$AA$33)</f>
        <v>0</v>
      </c>
    </row>
    <row r="34" spans="1:28" ht="11.25" customHeight="1" x14ac:dyDescent="0.25">
      <c r="A34" s="105"/>
      <c r="B34" s="105"/>
      <c r="C34" s="105"/>
      <c r="D34" s="31" t="s">
        <v>89</v>
      </c>
      <c r="E34" s="31" t="s">
        <v>25</v>
      </c>
      <c r="F34" s="31" t="s">
        <v>25</v>
      </c>
      <c r="G34" s="32" t="s">
        <v>78</v>
      </c>
      <c r="H34" s="32" t="s">
        <v>72</v>
      </c>
      <c r="I34" s="32">
        <f>'MERCADO TE'!$U$31</f>
        <v>0</v>
      </c>
      <c r="J34" s="15"/>
      <c r="L34" s="29">
        <f>'TE BE'!$L$34*'TE BF'!$L$48</f>
        <v>0</v>
      </c>
      <c r="M34" s="29">
        <f>'TE BE'!$M$34*'TE BF'!$M$48</f>
        <v>0</v>
      </c>
      <c r="N34" s="29">
        <f>'TE BE'!$N$34*'TE BF'!$N$48</f>
        <v>0</v>
      </c>
      <c r="O34" s="29">
        <f>'TE BE'!$O$34*'TE BF'!$O$48</f>
        <v>0</v>
      </c>
      <c r="P34" s="29">
        <f>'TE BE'!$P$34*'TE BF'!$P$48</f>
        <v>0</v>
      </c>
      <c r="Q34" s="29">
        <f>SUM($L$34:$P$34)</f>
        <v>0</v>
      </c>
      <c r="R34" s="29">
        <f>'TE BE'!$R$34*'TE BF'!$R$48</f>
        <v>0</v>
      </c>
      <c r="S34" s="29">
        <f>SUM($R$34:$R$34)</f>
        <v>0</v>
      </c>
      <c r="T34" s="29">
        <f>'TE BE'!$T$34*'TE BF'!$T$48</f>
        <v>0</v>
      </c>
      <c r="U34" s="29">
        <f>'TE BE'!$U$34*'TE BF'!$U$48</f>
        <v>0</v>
      </c>
      <c r="V34" s="29">
        <f>'TE BE'!$V$34*'TE BF'!$V$48</f>
        <v>0</v>
      </c>
      <c r="W34" s="29">
        <f>SUM($T$34:$V$34)</f>
        <v>0</v>
      </c>
      <c r="X34" s="29">
        <f>'TE BE'!$AB$34*'TE BF'!$X$48</f>
        <v>0</v>
      </c>
      <c r="Y34" s="29">
        <f>SUM($X$34:$X$34)</f>
        <v>0</v>
      </c>
      <c r="Z34" s="29">
        <f>'TE BE'!$Z$34*'TE BF'!$Z$48</f>
        <v>0</v>
      </c>
      <c r="AA34" s="29">
        <f>SUM($Z$34:$Z$34)</f>
        <v>0</v>
      </c>
      <c r="AB34" s="29">
        <f>SUMIF($L$4:$AA$4,"SUBTOTAL",$L$34:$AA$34)</f>
        <v>0</v>
      </c>
    </row>
    <row r="35" spans="1:28" ht="11.25" customHeight="1" x14ac:dyDescent="0.25">
      <c r="A35" s="105" t="s">
        <v>33</v>
      </c>
      <c r="B35" s="105" t="s">
        <v>71</v>
      </c>
      <c r="C35" s="105" t="s">
        <v>25</v>
      </c>
      <c r="D35" s="105" t="s">
        <v>25</v>
      </c>
      <c r="E35" s="105" t="s">
        <v>25</v>
      </c>
      <c r="F35" s="105" t="s">
        <v>25</v>
      </c>
      <c r="G35" s="32" t="s">
        <v>73</v>
      </c>
      <c r="H35" s="32" t="s">
        <v>72</v>
      </c>
      <c r="I35" s="32">
        <f>'MERCADO TE'!$U$32</f>
        <v>0</v>
      </c>
      <c r="J35" s="15"/>
      <c r="L35" s="29">
        <f>'TE BE'!$L$35*'TE BF'!$L$48</f>
        <v>0</v>
      </c>
      <c r="M35" s="29">
        <f>'TE BE'!$M$35*'TE BF'!$M$48</f>
        <v>0</v>
      </c>
      <c r="N35" s="29">
        <f>'TE BE'!$N$35*'TE BF'!$N$48</f>
        <v>0</v>
      </c>
      <c r="O35" s="29">
        <f>'TE BE'!$O$35*'TE BF'!$O$48</f>
        <v>0</v>
      </c>
      <c r="P35" s="29">
        <f>'TE BE'!$P$35*'TE BF'!$P$48</f>
        <v>0</v>
      </c>
      <c r="Q35" s="29">
        <f>SUM($L$35:$P$35)</f>
        <v>0</v>
      </c>
      <c r="R35" s="29">
        <f>'TE BE'!$R$35*'TE BF'!$R$48</f>
        <v>0</v>
      </c>
      <c r="S35" s="29">
        <f>SUM($R$35:$R$35)</f>
        <v>0</v>
      </c>
      <c r="T35" s="29">
        <f>'TE BE'!$T$35*'TE BF'!$T$48</f>
        <v>0</v>
      </c>
      <c r="U35" s="29">
        <f>'TE BE'!$U$35*'TE BF'!$U$48</f>
        <v>0</v>
      </c>
      <c r="V35" s="29">
        <f>'TE BE'!$V$35*'TE BF'!$V$48</f>
        <v>0</v>
      </c>
      <c r="W35" s="29">
        <f>SUM($T$35:$V$35)</f>
        <v>0</v>
      </c>
      <c r="X35" s="29">
        <f>'TE BE'!$AB$35*'TE BF'!$X$48</f>
        <v>0</v>
      </c>
      <c r="Y35" s="29">
        <f>SUM($X$35:$X$35)</f>
        <v>0</v>
      </c>
      <c r="Z35" s="29">
        <f>'TE BE'!$Z$35*'TE BF'!$Z$48</f>
        <v>0</v>
      </c>
      <c r="AA35" s="29">
        <f>SUM($Z$35:$Z$35)</f>
        <v>0</v>
      </c>
      <c r="AB35" s="29">
        <f>SUMIF($L$4:$AA$4,"SUBTOTAL",$L$35:$AA$35)</f>
        <v>0</v>
      </c>
    </row>
    <row r="36" spans="1:28" ht="11.25" customHeight="1" x14ac:dyDescent="0.25">
      <c r="A36" s="105"/>
      <c r="B36" s="105"/>
      <c r="C36" s="105"/>
      <c r="D36" s="105"/>
      <c r="E36" s="105"/>
      <c r="F36" s="105"/>
      <c r="G36" s="32" t="s">
        <v>83</v>
      </c>
      <c r="H36" s="32" t="s">
        <v>72</v>
      </c>
      <c r="I36" s="32">
        <f>'MERCADO TE'!$U$33</f>
        <v>0</v>
      </c>
      <c r="J36" s="15"/>
      <c r="L36" s="29">
        <f>'TE BE'!$L$36*'TE BF'!$L$48</f>
        <v>0</v>
      </c>
      <c r="M36" s="29">
        <f>'TE BE'!$M$36*'TE BF'!$M$48</f>
        <v>0</v>
      </c>
      <c r="N36" s="29">
        <f>'TE BE'!$N$36*'TE BF'!$N$48</f>
        <v>0</v>
      </c>
      <c r="O36" s="29">
        <f>'TE BE'!$O$36*'TE BF'!$O$48</f>
        <v>0</v>
      </c>
      <c r="P36" s="29">
        <f>'TE BE'!$P$36*'TE BF'!$P$48</f>
        <v>0</v>
      </c>
      <c r="Q36" s="29">
        <f>SUM($L$36:$P$36)</f>
        <v>0</v>
      </c>
      <c r="R36" s="29">
        <f>'TE BE'!$R$36*'TE BF'!$R$48</f>
        <v>0</v>
      </c>
      <c r="S36" s="29">
        <f>SUM($R$36:$R$36)</f>
        <v>0</v>
      </c>
      <c r="T36" s="29">
        <f>'TE BE'!$T$36*'TE BF'!$T$48</f>
        <v>0</v>
      </c>
      <c r="U36" s="29">
        <f>'TE BE'!$U$36*'TE BF'!$U$48</f>
        <v>0</v>
      </c>
      <c r="V36" s="29">
        <f>'TE BE'!$V$36*'TE BF'!$V$48</f>
        <v>0</v>
      </c>
      <c r="W36" s="29">
        <f>SUM($T$36:$V$36)</f>
        <v>0</v>
      </c>
      <c r="X36" s="29">
        <f>'TE BE'!$AB$36*'TE BF'!$X$48</f>
        <v>0</v>
      </c>
      <c r="Y36" s="29">
        <f>SUM($X$36:$X$36)</f>
        <v>0</v>
      </c>
      <c r="Z36" s="29">
        <f>'TE BE'!$Z$36*'TE BF'!$Z$48</f>
        <v>0</v>
      </c>
      <c r="AA36" s="29">
        <f>SUM($Z$36:$Z$36)</f>
        <v>0</v>
      </c>
      <c r="AB36" s="29">
        <f>SUMIF($L$4:$AA$4,"SUBTOTAL",$L$36:$AA$36)</f>
        <v>0</v>
      </c>
    </row>
    <row r="37" spans="1:28" ht="11.25" customHeight="1" x14ac:dyDescent="0.25">
      <c r="A37" s="105"/>
      <c r="B37" s="105"/>
      <c r="C37" s="105"/>
      <c r="D37" s="105"/>
      <c r="E37" s="105"/>
      <c r="F37" s="105"/>
      <c r="G37" s="32" t="s">
        <v>74</v>
      </c>
      <c r="H37" s="32" t="s">
        <v>72</v>
      </c>
      <c r="I37" s="32">
        <f>'MERCADO TE'!$U$34</f>
        <v>0</v>
      </c>
      <c r="J37" s="15"/>
      <c r="L37" s="29">
        <f>'TE BE'!$L$37*'TE BF'!$L$48</f>
        <v>0</v>
      </c>
      <c r="M37" s="29">
        <f>'TE BE'!$M$37*'TE BF'!$M$48</f>
        <v>0</v>
      </c>
      <c r="N37" s="29">
        <f>'TE BE'!$N$37*'TE BF'!$N$48</f>
        <v>0</v>
      </c>
      <c r="O37" s="29">
        <f>'TE BE'!$O$37*'TE BF'!$O$48</f>
        <v>0</v>
      </c>
      <c r="P37" s="29">
        <f>'TE BE'!$P$37*'TE BF'!$P$48</f>
        <v>0</v>
      </c>
      <c r="Q37" s="29">
        <f>SUM($L$37:$P$37)</f>
        <v>0</v>
      </c>
      <c r="R37" s="29">
        <f>'TE BE'!$R$37*'TE BF'!$R$48</f>
        <v>0</v>
      </c>
      <c r="S37" s="29">
        <f>SUM($R$37:$R$37)</f>
        <v>0</v>
      </c>
      <c r="T37" s="29">
        <f>'TE BE'!$T$37*'TE BF'!$T$48</f>
        <v>0</v>
      </c>
      <c r="U37" s="29">
        <f>'TE BE'!$U$37*'TE BF'!$U$48</f>
        <v>0</v>
      </c>
      <c r="V37" s="29">
        <f>'TE BE'!$V$37*'TE BF'!$V$48</f>
        <v>0</v>
      </c>
      <c r="W37" s="29">
        <f>SUM($T$37:$V$37)</f>
        <v>0</v>
      </c>
      <c r="X37" s="29">
        <f>'TE BE'!$AB$37*'TE BF'!$X$48</f>
        <v>0</v>
      </c>
      <c r="Y37" s="29">
        <f>SUM($X$37:$X$37)</f>
        <v>0</v>
      </c>
      <c r="Z37" s="29">
        <f>'TE BE'!$Z$37*'TE BF'!$Z$48</f>
        <v>0</v>
      </c>
      <c r="AA37" s="29">
        <f>SUM($Z$37:$Z$37)</f>
        <v>0</v>
      </c>
      <c r="AB37" s="29">
        <f>SUMIF($L$4:$AA$4,"SUBTOTAL",$L$37:$AA$37)</f>
        <v>0</v>
      </c>
    </row>
    <row r="38" spans="1:28" ht="11.25" customHeight="1" x14ac:dyDescent="0.25">
      <c r="A38" s="105"/>
      <c r="B38" s="31" t="s">
        <v>84</v>
      </c>
      <c r="C38" s="31" t="s">
        <v>25</v>
      </c>
      <c r="D38" s="31" t="s">
        <v>25</v>
      </c>
      <c r="E38" s="31" t="s">
        <v>25</v>
      </c>
      <c r="F38" s="31" t="s">
        <v>25</v>
      </c>
      <c r="G38" s="32" t="s">
        <v>78</v>
      </c>
      <c r="H38" s="32" t="s">
        <v>72</v>
      </c>
      <c r="I38" s="32">
        <f>'MERCADO TE'!$U$35</f>
        <v>6621.2499999999991</v>
      </c>
      <c r="J38" s="15"/>
      <c r="L38" s="29">
        <f>'TE BE'!$L$38*'TE BF'!$L$48</f>
        <v>0</v>
      </c>
      <c r="M38" s="29">
        <f>'TE BE'!$M$38*'TE BF'!$M$48</f>
        <v>0</v>
      </c>
      <c r="N38" s="29">
        <f>'TE BE'!$N$38*'TE BF'!$N$48</f>
        <v>0</v>
      </c>
      <c r="O38" s="29">
        <f>'TE BE'!$O$38*'TE BF'!$O$48</f>
        <v>0</v>
      </c>
      <c r="P38" s="29">
        <f>'TE BE'!$P$38*'TE BF'!$P$48</f>
        <v>0</v>
      </c>
      <c r="Q38" s="29">
        <f>SUM($L$38:$P$38)</f>
        <v>0</v>
      </c>
      <c r="R38" s="29">
        <f>'TE BE'!$R$38*'TE BF'!$R$48</f>
        <v>0</v>
      </c>
      <c r="S38" s="29">
        <f>SUM($R$38:$R$38)</f>
        <v>0</v>
      </c>
      <c r="T38" s="29">
        <f>'TE BE'!$T$38*'TE BF'!$T$48</f>
        <v>0</v>
      </c>
      <c r="U38" s="29">
        <f>'TE BE'!$U$38*'TE BF'!$U$48</f>
        <v>0</v>
      </c>
      <c r="V38" s="29">
        <f>'TE BE'!$V$38*'TE BF'!$V$48</f>
        <v>0</v>
      </c>
      <c r="W38" s="29">
        <f>SUM($T$38:$V$38)</f>
        <v>0</v>
      </c>
      <c r="X38" s="29">
        <f>'TE BE'!$AB$38*'TE BF'!$X$48</f>
        <v>0</v>
      </c>
      <c r="Y38" s="29">
        <f>SUM($X$38:$X$38)</f>
        <v>0</v>
      </c>
      <c r="Z38" s="29">
        <f>'TE BE'!$Z$38*'TE BF'!$Z$48</f>
        <v>0</v>
      </c>
      <c r="AA38" s="29">
        <f>SUM($Z$38:$Z$38)</f>
        <v>0</v>
      </c>
      <c r="AB38" s="29">
        <f>SUMIF($L$4:$AA$4,"SUBTOTAL",$L$38:$AA$38)</f>
        <v>0</v>
      </c>
    </row>
    <row r="39" spans="1:28" ht="11.25" customHeight="1" x14ac:dyDescent="0.25">
      <c r="A39" s="105"/>
      <c r="B39" s="31" t="s">
        <v>86</v>
      </c>
      <c r="C39" s="31" t="s">
        <v>25</v>
      </c>
      <c r="D39" s="31" t="s">
        <v>25</v>
      </c>
      <c r="E39" s="31" t="s">
        <v>25</v>
      </c>
      <c r="F39" s="31" t="s">
        <v>25</v>
      </c>
      <c r="G39" s="32" t="s">
        <v>78</v>
      </c>
      <c r="H39" s="32" t="s">
        <v>72</v>
      </c>
      <c r="I39" s="32">
        <f>'MERCADO TE'!$U$36</f>
        <v>0</v>
      </c>
      <c r="J39" s="15"/>
      <c r="L39" s="29">
        <f>'TE BE'!$L$39*'TE BF'!$L$48</f>
        <v>0</v>
      </c>
      <c r="M39" s="29">
        <f>'TE BE'!$M$39*'TE BF'!$M$48</f>
        <v>0</v>
      </c>
      <c r="N39" s="29">
        <f>'TE BE'!$N$39*'TE BF'!$N$48</f>
        <v>0</v>
      </c>
      <c r="O39" s="29">
        <f>'TE BE'!$O$39*'TE BF'!$O$48</f>
        <v>0</v>
      </c>
      <c r="P39" s="29">
        <f>'TE BE'!$P$39*'TE BF'!$P$48</f>
        <v>0</v>
      </c>
      <c r="Q39" s="29">
        <f>SUM($L$39:$P$39)</f>
        <v>0</v>
      </c>
      <c r="R39" s="29">
        <f>'TE BE'!$R$39*'TE BF'!$R$48</f>
        <v>0</v>
      </c>
      <c r="S39" s="29">
        <f>SUM($R$39:$R$39)</f>
        <v>0</v>
      </c>
      <c r="T39" s="29">
        <f>'TE BE'!$T$39*'TE BF'!$T$48</f>
        <v>0</v>
      </c>
      <c r="U39" s="29">
        <f>'TE BE'!$U$39*'TE BF'!$U$48</f>
        <v>0</v>
      </c>
      <c r="V39" s="29">
        <f>'TE BE'!$V$39*'TE BF'!$V$48</f>
        <v>0</v>
      </c>
      <c r="W39" s="29">
        <f>SUM($T$39:$V$39)</f>
        <v>0</v>
      </c>
      <c r="X39" s="29">
        <f>'TE BE'!$AB$39*'TE BF'!$X$48</f>
        <v>0</v>
      </c>
      <c r="Y39" s="29">
        <f>SUM($X$39:$X$39)</f>
        <v>0</v>
      </c>
      <c r="Z39" s="29">
        <f>'TE BE'!$Z$39*'TE BF'!$Z$48</f>
        <v>0</v>
      </c>
      <c r="AA39" s="29">
        <f>SUM($Z$39:$Z$39)</f>
        <v>0</v>
      </c>
      <c r="AB39" s="29">
        <f>SUMIF($L$4:$AA$4,"SUBTOTAL",$L$39:$AA$39)</f>
        <v>0</v>
      </c>
    </row>
    <row r="40" spans="1:28" ht="11.25" customHeight="1" x14ac:dyDescent="0.25">
      <c r="A40" s="105" t="s">
        <v>43</v>
      </c>
      <c r="B40" s="105" t="s">
        <v>84</v>
      </c>
      <c r="C40" s="105" t="s">
        <v>44</v>
      </c>
      <c r="D40" s="31" t="s">
        <v>45</v>
      </c>
      <c r="E40" s="31" t="s">
        <v>25</v>
      </c>
      <c r="F40" s="31" t="s">
        <v>25</v>
      </c>
      <c r="G40" s="32" t="s">
        <v>78</v>
      </c>
      <c r="H40" s="32" t="s">
        <v>72</v>
      </c>
      <c r="I40" s="32">
        <f>'MERCADO TE'!$U$37</f>
        <v>930.54300000000012</v>
      </c>
      <c r="J40" s="15"/>
      <c r="L40" s="29">
        <f>'TE BE'!$L$40*'TE BF'!$L$48</f>
        <v>0</v>
      </c>
      <c r="M40" s="29">
        <f>'TE BE'!$M$40*'TE BF'!$M$48</f>
        <v>0</v>
      </c>
      <c r="N40" s="29">
        <f>'TE BE'!$N$40*'TE BF'!$N$48</f>
        <v>0</v>
      </c>
      <c r="O40" s="29">
        <f>'TE BE'!$O$40*'TE BF'!$O$48</f>
        <v>0</v>
      </c>
      <c r="P40" s="29">
        <f>'TE BE'!$P$40*'TE BF'!$P$48</f>
        <v>0</v>
      </c>
      <c r="Q40" s="29">
        <f>SUM($L$40:$P$40)</f>
        <v>0</v>
      </c>
      <c r="R40" s="29">
        <f>'TE BE'!$R$40*'TE BF'!$R$48</f>
        <v>0</v>
      </c>
      <c r="S40" s="29">
        <f>SUM($R$40:$R$40)</f>
        <v>0</v>
      </c>
      <c r="T40" s="29">
        <f>'TE BE'!$T$40*'TE BF'!$T$48</f>
        <v>0</v>
      </c>
      <c r="U40" s="29">
        <f>'TE BE'!$U$40*'TE BF'!$U$48</f>
        <v>0</v>
      </c>
      <c r="V40" s="29">
        <f>'TE BE'!$V$40*'TE BF'!$V$48</f>
        <v>0</v>
      </c>
      <c r="W40" s="29">
        <f>SUM($T$40:$V$40)</f>
        <v>0</v>
      </c>
      <c r="X40" s="29">
        <f>'TE BE'!$AB$40*'TE BF'!$X$48</f>
        <v>0</v>
      </c>
      <c r="Y40" s="29">
        <f>SUM($X$40:$X$40)</f>
        <v>0</v>
      </c>
      <c r="Z40" s="29">
        <f>'TE BE'!$Z$40*'TE BF'!$Z$48</f>
        <v>0</v>
      </c>
      <c r="AA40" s="29">
        <f>SUM($Z$40:$Z$40)</f>
        <v>0</v>
      </c>
      <c r="AB40" s="29">
        <f>SUMIF($L$4:$AA$4,"SUBTOTAL",$L$40:$AA$40)</f>
        <v>0</v>
      </c>
    </row>
    <row r="41" spans="1:28" ht="11.25" customHeight="1" x14ac:dyDescent="0.25">
      <c r="A41" s="105"/>
      <c r="B41" s="105"/>
      <c r="C41" s="105"/>
      <c r="D41" s="32" t="s">
        <v>90</v>
      </c>
      <c r="E41" s="32" t="s">
        <v>25</v>
      </c>
      <c r="F41" s="32" t="s">
        <v>25</v>
      </c>
      <c r="G41" s="32" t="s">
        <v>78</v>
      </c>
      <c r="H41" s="32" t="s">
        <v>72</v>
      </c>
      <c r="I41" s="32">
        <f>'MERCADO TE'!$U$38</f>
        <v>0</v>
      </c>
      <c r="J41" s="15"/>
      <c r="L41" s="29">
        <f>'TE BE'!$L$41*'TE BF'!$L$48</f>
        <v>0</v>
      </c>
      <c r="M41" s="29">
        <f>'TE BE'!$M$41*'TE BF'!$M$48</f>
        <v>0</v>
      </c>
      <c r="N41" s="29">
        <f>'TE BE'!$N$41*'TE BF'!$N$48</f>
        <v>0</v>
      </c>
      <c r="O41" s="29">
        <f>'TE BE'!$O$41*'TE BF'!$O$48</f>
        <v>0</v>
      </c>
      <c r="P41" s="29">
        <f>'TE BE'!$P$41*'TE BF'!$P$48</f>
        <v>0</v>
      </c>
      <c r="Q41" s="29">
        <f>SUM($L$41:$P$41)</f>
        <v>0</v>
      </c>
      <c r="R41" s="29">
        <f>'TE BE'!$R$41*'TE BF'!$R$48</f>
        <v>0</v>
      </c>
      <c r="S41" s="29">
        <f>SUM($R$41:$R$41)</f>
        <v>0</v>
      </c>
      <c r="T41" s="29">
        <f>'TE BE'!$T$41*'TE BF'!$T$48</f>
        <v>0</v>
      </c>
      <c r="U41" s="29">
        <f>'TE BE'!$U$41*'TE BF'!$U$48</f>
        <v>0</v>
      </c>
      <c r="V41" s="29">
        <f>'TE BE'!$V$41*'TE BF'!$V$48</f>
        <v>0</v>
      </c>
      <c r="W41" s="29">
        <f>SUM($T$41:$V$41)</f>
        <v>0</v>
      </c>
      <c r="X41" s="29">
        <f>'TE BE'!$AB$41*'TE BF'!$X$48</f>
        <v>0</v>
      </c>
      <c r="Y41" s="29">
        <f>SUM($X$41:$X$41)</f>
        <v>0</v>
      </c>
      <c r="Z41" s="29">
        <f>'TE BE'!$Z$41*'TE BF'!$Z$48</f>
        <v>0</v>
      </c>
      <c r="AA41" s="29">
        <f>SUM($Z$41:$Z$41)</f>
        <v>0</v>
      </c>
      <c r="AB41" s="29">
        <f>SUMIF($L$4:$AA$4,"SUBTOTAL",$L$41:$AA$41)</f>
        <v>0</v>
      </c>
    </row>
    <row r="43" spans="1:28" ht="11.25" customHeight="1" x14ac:dyDescent="0.25">
      <c r="K43" s="34" t="s">
        <v>503</v>
      </c>
      <c r="L43" s="29">
        <f t="shared" ref="L43:AB43" si="0">SUMPRODUCT($I$5:$I$41,L$5:L$41)</f>
        <v>0</v>
      </c>
      <c r="M43" s="29">
        <f t="shared" si="0"/>
        <v>0</v>
      </c>
      <c r="N43" s="29">
        <f t="shared" si="0"/>
        <v>0</v>
      </c>
      <c r="O43" s="29">
        <f t="shared" si="0"/>
        <v>0</v>
      </c>
      <c r="P43" s="29">
        <f t="shared" si="0"/>
        <v>0</v>
      </c>
      <c r="Q43" s="29">
        <f t="shared" si="0"/>
        <v>0</v>
      </c>
      <c r="R43" s="29">
        <f t="shared" si="0"/>
        <v>0</v>
      </c>
      <c r="S43" s="29">
        <f t="shared" si="0"/>
        <v>0</v>
      </c>
      <c r="T43" s="29">
        <f t="shared" si="0"/>
        <v>0</v>
      </c>
      <c r="U43" s="29">
        <f t="shared" si="0"/>
        <v>0</v>
      </c>
      <c r="V43" s="29">
        <f t="shared" si="0"/>
        <v>0</v>
      </c>
      <c r="W43" s="29">
        <f t="shared" si="0"/>
        <v>0</v>
      </c>
      <c r="X43" s="29">
        <f t="shared" si="0"/>
        <v>0</v>
      </c>
      <c r="Y43" s="29">
        <f t="shared" si="0"/>
        <v>0</v>
      </c>
      <c r="Z43" s="29">
        <f t="shared" si="0"/>
        <v>0</v>
      </c>
      <c r="AA43" s="29">
        <f t="shared" si="0"/>
        <v>0</v>
      </c>
      <c r="AB43" s="29">
        <f t="shared" si="0"/>
        <v>0</v>
      </c>
    </row>
    <row r="44" spans="1:28" ht="11.25" customHeight="1" x14ac:dyDescent="0.25">
      <c r="K44" s="34" t="s">
        <v>428</v>
      </c>
      <c r="L44" s="29">
        <f>CUSTOS!$D$30</f>
        <v>0</v>
      </c>
      <c r="M44" s="29">
        <f>CUSTOS!$D$31</f>
        <v>0</v>
      </c>
      <c r="N44" s="29">
        <f>CUSTOS!$D$32</f>
        <v>0</v>
      </c>
      <c r="O44" s="29">
        <f>CUSTOS!$D$33</f>
        <v>0</v>
      </c>
      <c r="P44" s="29">
        <f>CUSTOS!$D$34</f>
        <v>0</v>
      </c>
      <c r="Q44" s="29">
        <f>CUSTOS!$D$35</f>
        <v>0</v>
      </c>
      <c r="R44" s="29">
        <f>CUSTOS!$D$36</f>
        <v>11703750.588352593</v>
      </c>
      <c r="S44" s="29">
        <f>CUSTOS!$D$37</f>
        <v>11703750.588352593</v>
      </c>
      <c r="T44" s="29">
        <f>CUSTOS!$D$38</f>
        <v>0</v>
      </c>
      <c r="U44" s="29">
        <f>CUSTOS!$D$39</f>
        <v>0</v>
      </c>
      <c r="V44" s="29">
        <f>CUSTOS!$D$40</f>
        <v>0</v>
      </c>
      <c r="W44" s="29">
        <f>CUSTOS!$D$41</f>
        <v>0</v>
      </c>
      <c r="X44" s="29">
        <f>CUSTOS!$D$42</f>
        <v>0</v>
      </c>
      <c r="Y44" s="29">
        <f>CUSTOS!$D$43</f>
        <v>0</v>
      </c>
      <c r="Z44" s="29">
        <f>CUSTOS!$D$44</f>
        <v>0</v>
      </c>
      <c r="AA44" s="29">
        <f>CUSTOS!$D$45</f>
        <v>0</v>
      </c>
      <c r="AB44" s="29">
        <f>CUSTOS!$D$46</f>
        <v>11703750.588352593</v>
      </c>
    </row>
    <row r="45" spans="1:28" ht="11.25" customHeight="1" x14ac:dyDescent="0.25">
      <c r="K45" s="34" t="s">
        <v>429</v>
      </c>
      <c r="L45" s="29">
        <f>CUSTOS!$E$30</f>
        <v>0</v>
      </c>
      <c r="M45" s="29">
        <f>CUSTOS!$E$31</f>
        <v>0</v>
      </c>
      <c r="N45" s="29">
        <f>CUSTOS!$E$32</f>
        <v>0</v>
      </c>
      <c r="O45" s="29">
        <f>CUSTOS!$E$33</f>
        <v>0</v>
      </c>
      <c r="P45" s="29">
        <f>CUSTOS!$E$34</f>
        <v>0</v>
      </c>
      <c r="Q45" s="29">
        <f>CUSTOS!$E$35</f>
        <v>0</v>
      </c>
      <c r="R45" s="29">
        <f>CUSTOS!$E$36</f>
        <v>672851.01631794788</v>
      </c>
      <c r="S45" s="29">
        <f>CUSTOS!$E$37</f>
        <v>672851.01631794788</v>
      </c>
      <c r="T45" s="29">
        <f>CUSTOS!$E$38</f>
        <v>0</v>
      </c>
      <c r="U45" s="29">
        <f>CUSTOS!$E$39</f>
        <v>0</v>
      </c>
      <c r="V45" s="29">
        <f>CUSTOS!$E$40</f>
        <v>0</v>
      </c>
      <c r="W45" s="29">
        <f>CUSTOS!$E$41</f>
        <v>0</v>
      </c>
      <c r="X45" s="29">
        <f>CUSTOS!$E$42</f>
        <v>0</v>
      </c>
      <c r="Y45" s="29">
        <f>CUSTOS!$E$43</f>
        <v>0</v>
      </c>
      <c r="Z45" s="29">
        <f>CUSTOS!$E$44</f>
        <v>0</v>
      </c>
      <c r="AA45" s="29">
        <f>CUSTOS!$E$45</f>
        <v>0</v>
      </c>
      <c r="AB45" s="29">
        <f>CUSTOS!$E$46</f>
        <v>672851.01631794788</v>
      </c>
    </row>
    <row r="46" spans="1:28" ht="11.25" customHeight="1" x14ac:dyDescent="0.25">
      <c r="K46" s="34" t="s">
        <v>430</v>
      </c>
      <c r="L46" s="29">
        <f>CUSTOS!$F$30</f>
        <v>0</v>
      </c>
      <c r="M46" s="29">
        <f>CUSTOS!$F$31</f>
        <v>0</v>
      </c>
      <c r="N46" s="29">
        <f>CUSTOS!$F$32</f>
        <v>0</v>
      </c>
      <c r="O46" s="29">
        <f>CUSTOS!$F$33</f>
        <v>0</v>
      </c>
      <c r="P46" s="29">
        <f>CUSTOS!$F$34</f>
        <v>0</v>
      </c>
      <c r="Q46" s="29">
        <f>CUSTOS!$F$35</f>
        <v>0</v>
      </c>
      <c r="R46" s="29">
        <f>CUSTOS!$F$36</f>
        <v>0</v>
      </c>
      <c r="S46" s="29">
        <f>CUSTOS!$F$37</f>
        <v>0</v>
      </c>
      <c r="T46" s="29">
        <f>CUSTOS!$F$38</f>
        <v>0</v>
      </c>
      <c r="U46" s="29">
        <f>CUSTOS!$F$39</f>
        <v>0</v>
      </c>
      <c r="V46" s="29">
        <f>CUSTOS!$F$40</f>
        <v>0</v>
      </c>
      <c r="W46" s="29">
        <f>CUSTOS!$F$41</f>
        <v>0</v>
      </c>
      <c r="X46" s="29">
        <f>CUSTOS!$F$42</f>
        <v>0</v>
      </c>
      <c r="Y46" s="29">
        <f>CUSTOS!$F$43</f>
        <v>0</v>
      </c>
      <c r="Z46" s="29">
        <f>CUSTOS!$F$44</f>
        <v>0</v>
      </c>
      <c r="AA46" s="29">
        <f>CUSTOS!$F$45</f>
        <v>0</v>
      </c>
      <c r="AB46" s="29">
        <f>CUSTOS!$F$46</f>
        <v>0</v>
      </c>
    </row>
    <row r="47" spans="1:28" ht="11.25" customHeight="1" x14ac:dyDescent="0.25"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ht="11.25" customHeight="1" x14ac:dyDescent="0.25"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560" priority="33" operator="notEqual">
      <formula>$L$46</formula>
    </cfRule>
    <cfRule type="cellIs" dxfId="559" priority="34" operator="equal">
      <formula>$L$46</formula>
    </cfRule>
  </conditionalFormatting>
  <conditionalFormatting sqref="M43">
    <cfRule type="cellIs" dxfId="558" priority="31" operator="notEqual">
      <formula>$M$46</formula>
    </cfRule>
    <cfRule type="cellIs" dxfId="557" priority="32" operator="equal">
      <formula>$M$46</formula>
    </cfRule>
  </conditionalFormatting>
  <conditionalFormatting sqref="N43">
    <cfRule type="cellIs" dxfId="556" priority="29" operator="notEqual">
      <formula>$N$46</formula>
    </cfRule>
    <cfRule type="cellIs" dxfId="555" priority="30" operator="equal">
      <formula>$N$46</formula>
    </cfRule>
  </conditionalFormatting>
  <conditionalFormatting sqref="O43">
    <cfRule type="cellIs" dxfId="554" priority="27" operator="notEqual">
      <formula>$O$46</formula>
    </cfRule>
    <cfRule type="cellIs" dxfId="553" priority="28" operator="equal">
      <formula>$O$46</formula>
    </cfRule>
  </conditionalFormatting>
  <conditionalFormatting sqref="P43">
    <cfRule type="cellIs" dxfId="552" priority="25" operator="notEqual">
      <formula>$P$46</formula>
    </cfRule>
    <cfRule type="cellIs" dxfId="551" priority="26" operator="equal">
      <formula>$P$46</formula>
    </cfRule>
  </conditionalFormatting>
  <conditionalFormatting sqref="Q43">
    <cfRule type="cellIs" dxfId="550" priority="23" operator="notEqual">
      <formula>$Q$46</formula>
    </cfRule>
    <cfRule type="cellIs" dxfId="549" priority="24" operator="equal">
      <formula>$Q$46</formula>
    </cfRule>
  </conditionalFormatting>
  <conditionalFormatting sqref="R43">
    <cfRule type="cellIs" dxfId="548" priority="21" operator="notEqual">
      <formula>$R$46</formula>
    </cfRule>
    <cfRule type="cellIs" dxfId="547" priority="22" operator="equal">
      <formula>$R$46</formula>
    </cfRule>
  </conditionalFormatting>
  <conditionalFormatting sqref="S43">
    <cfRule type="cellIs" dxfId="546" priority="19" operator="notEqual">
      <formula>$S$46</formula>
    </cfRule>
    <cfRule type="cellIs" dxfId="545" priority="20" operator="equal">
      <formula>$S$46</formula>
    </cfRule>
  </conditionalFormatting>
  <conditionalFormatting sqref="T43">
    <cfRule type="cellIs" dxfId="544" priority="17" operator="notEqual">
      <formula>$T$46</formula>
    </cfRule>
    <cfRule type="cellIs" dxfId="543" priority="18" operator="equal">
      <formula>$T$46</formula>
    </cfRule>
  </conditionalFormatting>
  <conditionalFormatting sqref="U43">
    <cfRule type="cellIs" dxfId="542" priority="15" operator="notEqual">
      <formula>$U$46</formula>
    </cfRule>
    <cfRule type="cellIs" dxfId="541" priority="16" operator="equal">
      <formula>$U$46</formula>
    </cfRule>
  </conditionalFormatting>
  <conditionalFormatting sqref="V43">
    <cfRule type="cellIs" dxfId="540" priority="13" operator="notEqual">
      <formula>$V$46</formula>
    </cfRule>
    <cfRule type="cellIs" dxfId="539" priority="14" operator="equal">
      <formula>$V$46</formula>
    </cfRule>
  </conditionalFormatting>
  <conditionalFormatting sqref="W43">
    <cfRule type="cellIs" dxfId="538" priority="11" operator="notEqual">
      <formula>$W$46</formula>
    </cfRule>
    <cfRule type="cellIs" dxfId="537" priority="12" operator="equal">
      <formula>$W$46</formula>
    </cfRule>
  </conditionalFormatting>
  <conditionalFormatting sqref="X43">
    <cfRule type="cellIs" dxfId="536" priority="9" operator="notEqual">
      <formula>$X$46</formula>
    </cfRule>
    <cfRule type="cellIs" dxfId="535" priority="10" operator="equal">
      <formula>$X$46</formula>
    </cfRule>
  </conditionalFormatting>
  <conditionalFormatting sqref="Y43">
    <cfRule type="cellIs" dxfId="534" priority="7" operator="notEqual">
      <formula>$Y$46</formula>
    </cfRule>
    <cfRule type="cellIs" dxfId="533" priority="8" operator="equal">
      <formula>$Y$46</formula>
    </cfRule>
  </conditionalFormatting>
  <conditionalFormatting sqref="Z43">
    <cfRule type="cellIs" dxfId="532" priority="5" operator="notEqual">
      <formula>$Z$46</formula>
    </cfRule>
    <cfRule type="cellIs" dxfId="531" priority="6" operator="equal">
      <formula>$Z$46</formula>
    </cfRule>
  </conditionalFormatting>
  <conditionalFormatting sqref="AA43">
    <cfRule type="cellIs" dxfId="530" priority="3" operator="notEqual">
      <formula>$AA$46</formula>
    </cfRule>
    <cfRule type="cellIs" dxfId="529" priority="4" operator="equal">
      <formula>$AA$46</formula>
    </cfRule>
  </conditionalFormatting>
  <conditionalFormatting sqref="AB43">
    <cfRule type="cellIs" dxfId="528" priority="1" operator="notEqual">
      <formula>$AB$46</formula>
    </cfRule>
    <cfRule type="cellIs" dxfId="527" priority="2" operator="equal">
      <formula>$AB$46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0E1B-3021-4F2A-A197-6B3DF36EB16B}">
  <sheetPr codeName="Planilha16"/>
  <dimension ref="A1:AV553"/>
  <sheetViews>
    <sheetView showGridLines="0" workbookViewId="0">
      <selection activeCell="A2" sqref="A2"/>
    </sheetView>
  </sheetViews>
  <sheetFormatPr defaultRowHeight="11.25" customHeight="1" x14ac:dyDescent="0.25"/>
  <cols>
    <col min="1" max="1" width="19.140625" style="4" bestFit="1" customWidth="1"/>
    <col min="2" max="2" width="13.28515625" style="4" bestFit="1" customWidth="1"/>
    <col min="3" max="3" width="14.5703125" style="4" bestFit="1" customWidth="1"/>
    <col min="4" max="4" width="13.5703125" style="4" bestFit="1" customWidth="1"/>
    <col min="5" max="5" width="25.140625" style="4" bestFit="1" customWidth="1"/>
    <col min="6" max="6" width="12.85546875" style="4" bestFit="1" customWidth="1"/>
    <col min="7" max="7" width="13.7109375" style="4" bestFit="1" customWidth="1"/>
    <col min="8" max="8" width="10.28515625" style="4" bestFit="1" customWidth="1"/>
    <col min="9" max="9" width="12.140625" style="5" bestFit="1" customWidth="1"/>
    <col min="10" max="11" width="7.85546875" style="6" bestFit="1" customWidth="1"/>
    <col min="12" max="12" width="11.28515625" style="6" bestFit="1" customWidth="1"/>
    <col min="13" max="13" width="12.5703125" style="6" bestFit="1" customWidth="1"/>
    <col min="14" max="14" width="9.140625" style="6" bestFit="1" customWidth="1"/>
    <col min="15" max="15" width="10.42578125" style="6" bestFit="1" customWidth="1"/>
    <col min="16" max="16" width="7.7109375" style="6" bestFit="1" customWidth="1"/>
    <col min="17" max="17" width="11.140625" style="4" bestFit="1" customWidth="1"/>
    <col min="18" max="18" width="13.140625" style="4" bestFit="1" customWidth="1"/>
    <col min="19" max="19" width="23" style="4" bestFit="1" customWidth="1"/>
    <col min="20" max="20" width="24.42578125" style="4" bestFit="1" customWidth="1"/>
    <col min="21" max="21" width="22.28515625" style="4" bestFit="1" customWidth="1"/>
    <col min="22" max="22" width="15.85546875" style="4" bestFit="1" customWidth="1"/>
    <col min="23" max="23" width="17.28515625" style="4" bestFit="1" customWidth="1"/>
    <col min="24" max="24" width="15.140625" style="4" bestFit="1" customWidth="1"/>
    <col min="25" max="25" width="20.85546875" style="4" bestFit="1" customWidth="1"/>
    <col min="26" max="26" width="22.42578125" style="4" bestFit="1" customWidth="1"/>
    <col min="27" max="27" width="20.140625" style="4" bestFit="1" customWidth="1"/>
    <col min="28" max="28" width="23.28515625" style="4" bestFit="1" customWidth="1"/>
    <col min="29" max="29" width="24.7109375" style="4" bestFit="1" customWidth="1"/>
    <col min="30" max="30" width="22.5703125" style="4" bestFit="1" customWidth="1"/>
    <col min="31" max="31" width="24.140625" style="4" bestFit="1" customWidth="1"/>
    <col min="32" max="32" width="25.5703125" style="4" bestFit="1" customWidth="1"/>
    <col min="33" max="33" width="23.42578125" style="4" bestFit="1" customWidth="1"/>
    <col min="34" max="34" width="9.140625" style="4"/>
    <col min="35" max="35" width="9.28515625" style="4" bestFit="1" customWidth="1"/>
    <col min="36" max="36" width="14.5703125" style="4" bestFit="1" customWidth="1"/>
    <col min="37" max="37" width="15.42578125" style="4" bestFit="1" customWidth="1"/>
    <col min="38" max="38" width="9.28515625" style="4" bestFit="1" customWidth="1"/>
    <col min="39" max="39" width="9.140625" style="4"/>
    <col min="40" max="40" width="9.28515625" style="4" bestFit="1" customWidth="1"/>
    <col min="41" max="41" width="12.28515625" style="4" bestFit="1" customWidth="1"/>
    <col min="42" max="42" width="13.28515625" style="4" bestFit="1" customWidth="1"/>
    <col min="43" max="43" width="9.28515625" style="4" bestFit="1" customWidth="1"/>
    <col min="44" max="44" width="9.140625" style="4"/>
    <col min="45" max="45" width="9.28515625" style="4" bestFit="1" customWidth="1"/>
    <col min="46" max="47" width="10.85546875" style="4" bestFit="1" customWidth="1"/>
    <col min="48" max="48" width="9.28515625" style="4" bestFit="1" customWidth="1"/>
    <col min="49" max="16384" width="9.140625" style="4"/>
  </cols>
  <sheetData>
    <row r="1" spans="1:48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536</v>
      </c>
      <c r="W1" s="1" t="s">
        <v>537</v>
      </c>
      <c r="X1" s="1" t="s">
        <v>538</v>
      </c>
      <c r="Y1" s="1" t="s">
        <v>539</v>
      </c>
      <c r="Z1" s="1" t="s">
        <v>540</v>
      </c>
      <c r="AA1" s="1" t="s">
        <v>541</v>
      </c>
      <c r="AB1" s="1" t="s">
        <v>558</v>
      </c>
      <c r="AC1" s="1" t="s">
        <v>559</v>
      </c>
      <c r="AD1" s="1" t="s">
        <v>560</v>
      </c>
      <c r="AE1" s="1" t="s">
        <v>561</v>
      </c>
      <c r="AF1" s="1" t="s">
        <v>562</v>
      </c>
      <c r="AG1" s="1" t="s">
        <v>563</v>
      </c>
      <c r="AI1" s="43" t="s">
        <v>62</v>
      </c>
      <c r="AJ1" s="43" t="s">
        <v>564</v>
      </c>
      <c r="AK1" s="43" t="s">
        <v>565</v>
      </c>
      <c r="AL1" s="43" t="s">
        <v>566</v>
      </c>
      <c r="AN1" s="43" t="s">
        <v>62</v>
      </c>
      <c r="AO1" s="43" t="s">
        <v>567</v>
      </c>
      <c r="AP1" s="43" t="s">
        <v>568</v>
      </c>
      <c r="AQ1" s="43" t="s">
        <v>566</v>
      </c>
      <c r="AS1" s="43" t="s">
        <v>62</v>
      </c>
      <c r="AT1" s="43" t="s">
        <v>569</v>
      </c>
      <c r="AU1" s="43" t="s">
        <v>570</v>
      </c>
      <c r="AV1" s="43" t="s">
        <v>566</v>
      </c>
    </row>
    <row r="2" spans="1:48" ht="11.25" customHeight="1" x14ac:dyDescent="0.25">
      <c r="A2" s="4" t="s">
        <v>21</v>
      </c>
      <c r="B2" s="4" t="s">
        <v>35</v>
      </c>
      <c r="C2" s="4" t="s">
        <v>48</v>
      </c>
      <c r="D2" s="4" t="s">
        <v>46</v>
      </c>
      <c r="E2" s="4" t="s">
        <v>47</v>
      </c>
      <c r="F2" s="4" t="s">
        <v>25</v>
      </c>
      <c r="G2" s="4" t="s">
        <v>25</v>
      </c>
      <c r="H2" s="4" t="s">
        <v>38</v>
      </c>
      <c r="I2" s="5">
        <v>44440</v>
      </c>
      <c r="J2" s="6">
        <v>497</v>
      </c>
      <c r="K2" s="61">
        <v>497</v>
      </c>
      <c r="L2" s="6">
        <v>245.80799999999999</v>
      </c>
      <c r="M2" s="61">
        <v>245.80799999999999</v>
      </c>
      <c r="N2" s="6">
        <v>245.80799999999999</v>
      </c>
      <c r="O2" s="61">
        <v>245.80799999999999</v>
      </c>
      <c r="P2" s="6">
        <v>0</v>
      </c>
      <c r="Q2" s="4" t="s">
        <v>26</v>
      </c>
      <c r="R2" s="4">
        <v>0</v>
      </c>
      <c r="S2" s="6">
        <v>12</v>
      </c>
      <c r="T2" s="6">
        <v>1</v>
      </c>
      <c r="U2" s="6">
        <v>51</v>
      </c>
      <c r="V2" s="61">
        <f>IF(ISERROR(VLOOKUP($S$2,'TAR FIN'!$A$1:$O$85,15,0)),0,VLOOKUP($S$2,'TAR FIN'!$A$1:$O$85,15,0))*(1-0.06)</f>
        <v>24.1204</v>
      </c>
      <c r="W2" s="61">
        <f>IF(ISERROR(VLOOKUP($T$2,'TAR FIN'!$A$1:$O$85,15,0)),0,VLOOKUP($T$2,'TAR FIN'!$A$1:$O$85,15,0))*(1-0.06)</f>
        <v>62.246799999999993</v>
      </c>
      <c r="X2" s="61">
        <f>IF(ISERROR(VLOOKUP($U$2,'TAR FIN'!$A$1:$O$85,15,0)),0,VLOOKUP($U$2,'TAR FIN'!$A$1:$O$85,15,0))*(1-0.06)</f>
        <v>132.84079999999997</v>
      </c>
      <c r="Y2" s="61">
        <f ca="1">('TUSD BE'!$AM$6+'TUSD BF'!$AM$6+'TUSD CVA'!$AM$6)*1*(1-0.03)</f>
        <v>24.433920211791385</v>
      </c>
      <c r="Z2" s="61">
        <f ca="1">('TUSD BE'!$AM$7+'TUSD BF'!$AM$7+'TUSD CVA'!$AM$7)*1*(1-0.03)</f>
        <v>96.85231722220351</v>
      </c>
      <c r="AA2" s="61">
        <f>('TE BE'!$AB$6+'TE BF'!$AB$6+'TE CVA'!$AB$6)*1*(1-0.03)</f>
        <v>131.73207366460716</v>
      </c>
      <c r="AB2" s="6">
        <f>$K$2*$V$2</f>
        <v>11987.8388</v>
      </c>
      <c r="AC2" s="6">
        <f>$M$2*$W$2</f>
        <v>15300.761414399998</v>
      </c>
      <c r="AD2" s="6">
        <f>$O$2*$X$2</f>
        <v>32653.331366399991</v>
      </c>
      <c r="AE2" s="6">
        <f ca="1">$K$2*$Y$2</f>
        <v>12143.658345260319</v>
      </c>
      <c r="AF2" s="6">
        <f ca="1">$M$2*$Z$2</f>
        <v>23807.074391755399</v>
      </c>
      <c r="AG2" s="6">
        <f>$O$2*$AA$2</f>
        <v>32380.797563349755</v>
      </c>
      <c r="AI2" s="44" t="s">
        <v>35</v>
      </c>
      <c r="AJ2" s="45">
        <f>SUMIF($B$2:$B$553,AI2,$AB$2:$AB$553)+SUMIF($B$2:$B$553,AI2,$AC$2:$AC$553)</f>
        <v>8146317.182027204</v>
      </c>
      <c r="AK2" s="45">
        <f ca="1">SUMIF($B$2:$B$553,AI2,$AE$2:$AE$553)+SUMIF($B$2:$B$553,AI2,$AF$2:$AF$553)</f>
        <v>9154375.9849655814</v>
      </c>
      <c r="AL2" s="46">
        <f t="shared" ref="AL2:AL9" ca="1" si="0">IF(AJ2&lt;&gt;0,AK2/AJ2-1,0)</f>
        <v>0.12374411410869257</v>
      </c>
      <c r="AN2" s="44" t="s">
        <v>35</v>
      </c>
      <c r="AO2" s="45">
        <f>SUMIF($B$2:$B$553,AN2,$AD$2:$AD$553)</f>
        <v>4502323.1505919993</v>
      </c>
      <c r="AP2" s="45">
        <f>SUMIF($B$2:$B$553,AN2,$AG$2:$AG$553)</f>
        <v>4341398.5207044911</v>
      </c>
      <c r="AQ2" s="46">
        <f t="shared" ref="AQ2:AQ9" si="1">IF(AO2&lt;&gt;0,AP2/AO2-1,0)</f>
        <v>-3.5742576555471972E-2</v>
      </c>
      <c r="AS2" s="44" t="s">
        <v>35</v>
      </c>
      <c r="AT2" s="45">
        <f>SUMIF($B$2:$B$553,AS2,$AB$2:$AB$553)+SUMIF($B$2:$B$553,AS2,$AC$2:$AC$553)+SUMIF($B$2:$B$553,AS2,$AD$2:$AD$553)</f>
        <v>12648640.332619203</v>
      </c>
      <c r="AU2" s="45">
        <f ca="1">SUMIF($B$2:$B$553,AS2,$AE$2:$AE$553)+SUMIF($B$2:$B$553,AS2,$AF$2:$AF$553)+SUMIF($B$2:$B$553,AS2,$AG$2:$AG$553)</f>
        <v>13495774.505670073</v>
      </c>
      <c r="AV2" s="46">
        <f t="shared" ref="AV2:AV9" ca="1" si="2">IF(AT2&lt;&gt;0,AU2/AT2-1,0)</f>
        <v>6.6974326945341334E-2</v>
      </c>
    </row>
    <row r="3" spans="1:48" ht="11.25" customHeight="1" x14ac:dyDescent="0.25">
      <c r="A3" s="4" t="s">
        <v>21</v>
      </c>
      <c r="B3" s="4" t="s">
        <v>35</v>
      </c>
      <c r="C3" s="4" t="s">
        <v>48</v>
      </c>
      <c r="D3" s="4" t="s">
        <v>46</v>
      </c>
      <c r="E3" s="4" t="s">
        <v>47</v>
      </c>
      <c r="F3" s="4" t="s">
        <v>25</v>
      </c>
      <c r="G3" s="4" t="s">
        <v>25</v>
      </c>
      <c r="H3" s="4" t="s">
        <v>38</v>
      </c>
      <c r="I3" s="5">
        <v>44470</v>
      </c>
      <c r="J3" s="6">
        <v>503</v>
      </c>
      <c r="K3" s="62">
        <v>503</v>
      </c>
      <c r="L3" s="6">
        <v>232.422</v>
      </c>
      <c r="M3" s="61">
        <v>232.422</v>
      </c>
      <c r="N3" s="6">
        <v>232.422</v>
      </c>
      <c r="O3" s="61">
        <v>232.422</v>
      </c>
      <c r="P3" s="6">
        <v>0</v>
      </c>
      <c r="Q3" s="4" t="s">
        <v>26</v>
      </c>
      <c r="R3" s="4">
        <v>0</v>
      </c>
      <c r="S3" s="6">
        <v>12</v>
      </c>
      <c r="T3" s="6">
        <v>1</v>
      </c>
      <c r="U3" s="6">
        <v>51</v>
      </c>
      <c r="V3" s="61">
        <f>IF(ISERROR(VLOOKUP($S$3,'TAR FIN'!$A$1:$O$85,15,0)),0,VLOOKUP($S$3,'TAR FIN'!$A$1:$O$85,15,0))*(1-0.06)</f>
        <v>24.1204</v>
      </c>
      <c r="W3" s="61">
        <f>IF(ISERROR(VLOOKUP($T$3,'TAR FIN'!$A$1:$O$85,15,0)),0,VLOOKUP($T$3,'TAR FIN'!$A$1:$O$85,15,0))*(1-0.06)</f>
        <v>62.246799999999993</v>
      </c>
      <c r="X3" s="61">
        <f>IF(ISERROR(VLOOKUP($U$3,'TAR FIN'!$A$1:$O$85,15,0)),0,VLOOKUP($U$3,'TAR FIN'!$A$1:$O$85,15,0))*(1-0.06)</f>
        <v>132.84079999999997</v>
      </c>
      <c r="Y3" s="61">
        <f ca="1">('TUSD BE'!$AM$6+'TUSD BF'!$AM$6+'TUSD CVA'!$AM$6)*1*(1-0.03)</f>
        <v>24.433920211791385</v>
      </c>
      <c r="Z3" s="61">
        <f ca="1">('TUSD BE'!$AM$7+'TUSD BF'!$AM$7+'TUSD CVA'!$AM$7)*1*(1-0.03)</f>
        <v>96.85231722220351</v>
      </c>
      <c r="AA3" s="61">
        <f>('TE BE'!$AB$6+'TE BF'!$AB$6+'TE CVA'!$AB$6)*1*(1-0.03)</f>
        <v>131.73207366460716</v>
      </c>
      <c r="AB3" s="6">
        <f>$K$3*$V$3</f>
        <v>12132.5612</v>
      </c>
      <c r="AC3" s="6">
        <f>$M$3*$W$3</f>
        <v>14467.525749599998</v>
      </c>
      <c r="AD3" s="6">
        <f>$O$3*$X$3</f>
        <v>30875.124417599993</v>
      </c>
      <c r="AE3" s="6">
        <f ca="1">$K$3*$Y$3</f>
        <v>12290.261866531067</v>
      </c>
      <c r="AF3" s="6">
        <f ca="1">$M$3*$Z$3</f>
        <v>22510.609273418984</v>
      </c>
      <c r="AG3" s="6">
        <f>$O$3*$AA$3</f>
        <v>30617.432025275324</v>
      </c>
      <c r="AI3" s="44" t="s">
        <v>22</v>
      </c>
      <c r="AJ3" s="45">
        <f>SUMIF($B$2:$B$553,AI3,$AB$2:$AB$553)+SUMIF($B$2:$B$553,AI3,$AC$2:$AC$553)</f>
        <v>4447158.1207300005</v>
      </c>
      <c r="AK3" s="45">
        <f ca="1">SUMIF($B$2:$B$553,AI3,$AE$2:$AE$553)+SUMIF($B$2:$B$553,AI3,$AF$2:$AF$553)</f>
        <v>4899138.447491698</v>
      </c>
      <c r="AL3" s="46">
        <f t="shared" ca="1" si="0"/>
        <v>0.10163351841591473</v>
      </c>
      <c r="AN3" s="44" t="s">
        <v>22</v>
      </c>
      <c r="AO3" s="45">
        <f>SUMIF($B$2:$B$553,AN3,$AD$2:$AD$553)</f>
        <v>1670032.0198310004</v>
      </c>
      <c r="AP3" s="45">
        <f>SUMIF($B$2:$B$553,AN3,$AG$2:$AG$553)</f>
        <v>1604874.1439798912</v>
      </c>
      <c r="AQ3" s="46">
        <f t="shared" si="1"/>
        <v>-3.9015944052200213E-2</v>
      </c>
      <c r="AS3" s="44" t="s">
        <v>22</v>
      </c>
      <c r="AT3" s="45">
        <f>SUMIF($B$2:$B$553,AS3,$AB$2:$AB$553)+SUMIF($B$2:$B$553,AS3,$AC$2:$AC$553)+SUMIF($B$2:$B$553,AS3,$AD$2:$AD$553)</f>
        <v>6117190.1405610014</v>
      </c>
      <c r="AU3" s="45">
        <f ca="1">SUMIF($B$2:$B$553,AS3,$AE$2:$AE$553)+SUMIF($B$2:$B$553,AS3,$AF$2:$AF$553)+SUMIF($B$2:$B$553,AS3,$AG$2:$AG$553)</f>
        <v>6504012.5914715892</v>
      </c>
      <c r="AV3" s="46">
        <f t="shared" ca="1" si="2"/>
        <v>6.3235315892128385E-2</v>
      </c>
    </row>
    <row r="4" spans="1:48" ht="11.25" customHeight="1" x14ac:dyDescent="0.25">
      <c r="A4" s="4" t="s">
        <v>21</v>
      </c>
      <c r="B4" s="4" t="s">
        <v>35</v>
      </c>
      <c r="C4" s="4" t="s">
        <v>48</v>
      </c>
      <c r="D4" s="4" t="s">
        <v>46</v>
      </c>
      <c r="E4" s="4" t="s">
        <v>47</v>
      </c>
      <c r="F4" s="4" t="s">
        <v>25</v>
      </c>
      <c r="G4" s="4" t="s">
        <v>25</v>
      </c>
      <c r="H4" s="4" t="s">
        <v>38</v>
      </c>
      <c r="I4" s="5">
        <v>44501</v>
      </c>
      <c r="J4" s="6">
        <v>485</v>
      </c>
      <c r="K4" s="62">
        <v>485</v>
      </c>
      <c r="L4" s="6">
        <v>199.46799999999999</v>
      </c>
      <c r="M4" s="61">
        <v>199.46799999999999</v>
      </c>
      <c r="N4" s="6">
        <v>199.46799999999999</v>
      </c>
      <c r="O4" s="61">
        <v>199.46799999999999</v>
      </c>
      <c r="P4" s="6">
        <v>0</v>
      </c>
      <c r="Q4" s="4" t="s">
        <v>26</v>
      </c>
      <c r="R4" s="4">
        <v>0</v>
      </c>
      <c r="S4" s="6">
        <v>12</v>
      </c>
      <c r="T4" s="6">
        <v>1</v>
      </c>
      <c r="U4" s="6">
        <v>51</v>
      </c>
      <c r="V4" s="61">
        <f>IF(ISERROR(VLOOKUP($S$4,'TAR FIN'!$A$1:$O$85,15,0)),0,VLOOKUP($S$4,'TAR FIN'!$A$1:$O$85,15,0))*(1-0.06)</f>
        <v>24.1204</v>
      </c>
      <c r="W4" s="61">
        <f>IF(ISERROR(VLOOKUP($T$4,'TAR FIN'!$A$1:$O$85,15,0)),0,VLOOKUP($T$4,'TAR FIN'!$A$1:$O$85,15,0))*(1-0.06)</f>
        <v>62.246799999999993</v>
      </c>
      <c r="X4" s="61">
        <f>IF(ISERROR(VLOOKUP($U$4,'TAR FIN'!$A$1:$O$85,15,0)),0,VLOOKUP($U$4,'TAR FIN'!$A$1:$O$85,15,0))*(1-0.06)</f>
        <v>132.84079999999997</v>
      </c>
      <c r="Y4" s="61">
        <f ca="1">('TUSD BE'!$AM$6+'TUSD BF'!$AM$6+'TUSD CVA'!$AM$6)*1*(1-0.03)</f>
        <v>24.433920211791385</v>
      </c>
      <c r="Z4" s="61">
        <f ca="1">('TUSD BE'!$AM$7+'TUSD BF'!$AM$7+'TUSD CVA'!$AM$7)*1*(1-0.03)</f>
        <v>96.85231722220351</v>
      </c>
      <c r="AA4" s="61">
        <f>('TE BE'!$AB$6+'TE BF'!$AB$6+'TE CVA'!$AB$6)*1*(1-0.03)</f>
        <v>131.73207366460716</v>
      </c>
      <c r="AB4" s="6">
        <f>$K$4*$V$4</f>
        <v>11698.394</v>
      </c>
      <c r="AC4" s="6">
        <f>$M$4*$W$4</f>
        <v>12416.244702399998</v>
      </c>
      <c r="AD4" s="6">
        <f>$O$4*$X$4</f>
        <v>26497.488694399992</v>
      </c>
      <c r="AE4" s="6">
        <f ca="1">$K$4*$Y$4</f>
        <v>11850.451302718822</v>
      </c>
      <c r="AF4" s="6">
        <f ca="1">$M$4*$Z$4</f>
        <v>19318.938011678489</v>
      </c>
      <c r="AG4" s="6">
        <f>$O$4*$AA$4</f>
        <v>26276.333269731858</v>
      </c>
      <c r="AI4" s="44" t="s">
        <v>40</v>
      </c>
      <c r="AJ4" s="45">
        <f>SUMIF($B$2:$B$553,AI4,$AB$2:$AB$553)+SUMIF($B$2:$B$553,AI4,$AC$2:$AC$553)</f>
        <v>13257307.643993998</v>
      </c>
      <c r="AK4" s="45">
        <f ca="1">SUMIF($B$2:$B$553,AI4,$AE$2:$AE$553)+SUMIF($B$2:$B$553,AI4,$AF$2:$AF$553)</f>
        <v>15613471.002045738</v>
      </c>
      <c r="AL4" s="46">
        <f t="shared" ca="1" si="0"/>
        <v>0.17772563037104749</v>
      </c>
      <c r="AN4" s="44" t="s">
        <v>40</v>
      </c>
      <c r="AO4" s="45">
        <f>SUMIF($B$2:$B$553,AN4,$AD$2:$AD$553)</f>
        <v>4969342.5523920003</v>
      </c>
      <c r="AP4" s="45">
        <f>SUMIF($B$2:$B$553,AN4,$AG$2:$AG$553)</f>
        <v>5101123.8674034784</v>
      </c>
      <c r="AQ4" s="46">
        <f t="shared" si="1"/>
        <v>2.6518863133724757E-2</v>
      </c>
      <c r="AS4" s="44" t="s">
        <v>40</v>
      </c>
      <c r="AT4" s="45">
        <f>SUMIF($B$2:$B$553,AS4,$AB$2:$AB$553)+SUMIF($B$2:$B$553,AS4,$AC$2:$AC$553)+SUMIF($B$2:$B$553,AS4,$AD$2:$AD$553)</f>
        <v>18226650.196385998</v>
      </c>
      <c r="AU4" s="45">
        <f ca="1">SUMIF($B$2:$B$553,AS4,$AE$2:$AE$553)+SUMIF($B$2:$B$553,AS4,$AF$2:$AF$553)+SUMIF($B$2:$B$553,AS4,$AG$2:$AG$553)</f>
        <v>20714594.869449217</v>
      </c>
      <c r="AV4" s="46">
        <f t="shared" ca="1" si="2"/>
        <v>0.13650037973277884</v>
      </c>
    </row>
    <row r="5" spans="1:48" ht="11.25" customHeight="1" x14ac:dyDescent="0.25">
      <c r="A5" s="4" t="s">
        <v>21</v>
      </c>
      <c r="B5" s="4" t="s">
        <v>35</v>
      </c>
      <c r="C5" s="4" t="s">
        <v>48</v>
      </c>
      <c r="D5" s="4" t="s">
        <v>46</v>
      </c>
      <c r="E5" s="4" t="s">
        <v>47</v>
      </c>
      <c r="F5" s="4" t="s">
        <v>25</v>
      </c>
      <c r="G5" s="4" t="s">
        <v>25</v>
      </c>
      <c r="H5" s="4" t="s">
        <v>38</v>
      </c>
      <c r="I5" s="5">
        <v>44531</v>
      </c>
      <c r="J5" s="6">
        <v>473</v>
      </c>
      <c r="K5" s="62">
        <v>473</v>
      </c>
      <c r="L5" s="6">
        <v>209.739</v>
      </c>
      <c r="M5" s="61">
        <v>209.739</v>
      </c>
      <c r="N5" s="6">
        <v>209.739</v>
      </c>
      <c r="O5" s="61">
        <v>209.739</v>
      </c>
      <c r="P5" s="6">
        <v>0</v>
      </c>
      <c r="Q5" s="4" t="s">
        <v>26</v>
      </c>
      <c r="R5" s="4">
        <v>0</v>
      </c>
      <c r="S5" s="6">
        <v>12</v>
      </c>
      <c r="T5" s="6">
        <v>1</v>
      </c>
      <c r="U5" s="6">
        <v>51</v>
      </c>
      <c r="V5" s="61">
        <f>IF(ISERROR(VLOOKUP($S$5,'TAR FIN'!$A$1:$O$85,15,0)),0,VLOOKUP($S$5,'TAR FIN'!$A$1:$O$85,15,0))*(1-0.06)</f>
        <v>24.1204</v>
      </c>
      <c r="W5" s="61">
        <f>IF(ISERROR(VLOOKUP($T$5,'TAR FIN'!$A$1:$O$85,15,0)),0,VLOOKUP($T$5,'TAR FIN'!$A$1:$O$85,15,0))*(1-0.06)</f>
        <v>62.246799999999993</v>
      </c>
      <c r="X5" s="61">
        <f>IF(ISERROR(VLOOKUP($U$5,'TAR FIN'!$A$1:$O$85,15,0)),0,VLOOKUP($U$5,'TAR FIN'!$A$1:$O$85,15,0))*(1-0.06)</f>
        <v>132.84079999999997</v>
      </c>
      <c r="Y5" s="61">
        <f ca="1">('TUSD BE'!$AM$6+'TUSD BF'!$AM$6+'TUSD CVA'!$AM$6)*1*(1-0.03)</f>
        <v>24.433920211791385</v>
      </c>
      <c r="Z5" s="61">
        <f ca="1">('TUSD BE'!$AM$7+'TUSD BF'!$AM$7+'TUSD CVA'!$AM$7)*1*(1-0.03)</f>
        <v>96.85231722220351</v>
      </c>
      <c r="AA5" s="61">
        <f>('TE BE'!$AB$6+'TE BF'!$AB$6+'TE CVA'!$AB$6)*1*(1-0.03)</f>
        <v>131.73207366460716</v>
      </c>
      <c r="AB5" s="6">
        <f>$K$5*$V$5</f>
        <v>11408.949200000001</v>
      </c>
      <c r="AC5" s="6">
        <f>$M$5*$W$5</f>
        <v>13055.5815852</v>
      </c>
      <c r="AD5" s="6">
        <f>$O$5*$X$5</f>
        <v>27861.896551199996</v>
      </c>
      <c r="AE5" s="6">
        <f ca="1">$K$5*$Y$5</f>
        <v>11557.244260177325</v>
      </c>
      <c r="AF5" s="6">
        <f ca="1">$M$5*$Z$5</f>
        <v>20313.708161867744</v>
      </c>
      <c r="AG5" s="6">
        <f>$O$5*$AA$5</f>
        <v>27629.353398341042</v>
      </c>
      <c r="AI5" s="44" t="s">
        <v>33</v>
      </c>
      <c r="AJ5" s="45">
        <f>SUMIF($B$2:$B$553,AI5,$AB$2:$AB$553)+SUMIF($B$2:$B$553,AI5,$AC$2:$AC$553)</f>
        <v>2483740.0175706004</v>
      </c>
      <c r="AK5" s="45">
        <f ca="1">SUMIF($B$2:$B$553,AI5,$AE$2:$AE$553)+SUMIF($B$2:$B$553,AI5,$AF$2:$AF$553)</f>
        <v>2745373.1846264568</v>
      </c>
      <c r="AL5" s="46">
        <f t="shared" ca="1" si="0"/>
        <v>0.10533838695072673</v>
      </c>
      <c r="AN5" s="44" t="s">
        <v>33</v>
      </c>
      <c r="AO5" s="45">
        <f>SUMIF($B$2:$B$553,AN5,$AD$2:$AD$553)</f>
        <v>931015.46187920007</v>
      </c>
      <c r="AP5" s="45">
        <f>SUMIF($B$2:$B$553,AN5,$AG$2:$AG$553)</f>
        <v>896949.09448338556</v>
      </c>
      <c r="AQ5" s="46">
        <f t="shared" si="1"/>
        <v>-3.6590549556560048E-2</v>
      </c>
      <c r="AS5" s="44" t="s">
        <v>33</v>
      </c>
      <c r="AT5" s="45">
        <f>SUMIF($B$2:$B$553,AS5,$AB$2:$AB$553)+SUMIF($B$2:$B$553,AS5,$AC$2:$AC$553)+SUMIF($B$2:$B$553,AS5,$AD$2:$AD$553)</f>
        <v>3414755.4794498002</v>
      </c>
      <c r="AU5" s="45">
        <f ca="1">SUMIF($B$2:$B$553,AS5,$AE$2:$AE$553)+SUMIF($B$2:$B$553,AS5,$AF$2:$AF$553)+SUMIF($B$2:$B$553,AS5,$AG$2:$AG$553)</f>
        <v>3642322.2791098421</v>
      </c>
      <c r="AV5" s="46">
        <f t="shared" ca="1" si="2"/>
        <v>6.6642194742654981E-2</v>
      </c>
    </row>
    <row r="6" spans="1:48" ht="11.25" customHeight="1" x14ac:dyDescent="0.25">
      <c r="A6" s="4" t="s">
        <v>21</v>
      </c>
      <c r="B6" s="4" t="s">
        <v>35</v>
      </c>
      <c r="C6" s="4" t="s">
        <v>48</v>
      </c>
      <c r="D6" s="4" t="s">
        <v>46</v>
      </c>
      <c r="E6" s="4" t="s">
        <v>47</v>
      </c>
      <c r="F6" s="4" t="s">
        <v>25</v>
      </c>
      <c r="G6" s="4" t="s">
        <v>25</v>
      </c>
      <c r="H6" s="4" t="s">
        <v>38</v>
      </c>
      <c r="I6" s="5">
        <v>44562</v>
      </c>
      <c r="J6" s="6">
        <v>476</v>
      </c>
      <c r="K6" s="62">
        <v>476</v>
      </c>
      <c r="L6" s="6">
        <v>186.745</v>
      </c>
      <c r="M6" s="61">
        <v>186.745</v>
      </c>
      <c r="N6" s="6">
        <v>186.745</v>
      </c>
      <c r="O6" s="61">
        <v>186.745</v>
      </c>
      <c r="P6" s="6">
        <v>0</v>
      </c>
      <c r="Q6" s="4" t="s">
        <v>26</v>
      </c>
      <c r="R6" s="4">
        <v>0</v>
      </c>
      <c r="S6" s="6">
        <v>12</v>
      </c>
      <c r="T6" s="6">
        <v>1</v>
      </c>
      <c r="U6" s="6">
        <v>51</v>
      </c>
      <c r="V6" s="61">
        <f>IF(ISERROR(VLOOKUP($S$6,'TAR FIN'!$A$1:$O$85,15,0)),0,VLOOKUP($S$6,'TAR FIN'!$A$1:$O$85,15,0))*(1-0.06)</f>
        <v>24.1204</v>
      </c>
      <c r="W6" s="61">
        <f>IF(ISERROR(VLOOKUP($T$6,'TAR FIN'!$A$1:$O$85,15,0)),0,VLOOKUP($T$6,'TAR FIN'!$A$1:$O$85,15,0))*(1-0.06)</f>
        <v>62.246799999999993</v>
      </c>
      <c r="X6" s="61">
        <f>IF(ISERROR(VLOOKUP($U$6,'TAR FIN'!$A$1:$O$85,15,0)),0,VLOOKUP($U$6,'TAR FIN'!$A$1:$O$85,15,0))*(1-0.06)</f>
        <v>132.84079999999997</v>
      </c>
      <c r="Y6" s="61">
        <f ca="1">('TUSD BE'!$AM$6+'TUSD BF'!$AM$6+'TUSD CVA'!$AM$6)*1*(1-0.03)</f>
        <v>24.433920211791385</v>
      </c>
      <c r="Z6" s="61">
        <f ca="1">('TUSD BE'!$AM$7+'TUSD BF'!$AM$7+'TUSD CVA'!$AM$7)*1*(1-0.03)</f>
        <v>96.85231722220351</v>
      </c>
      <c r="AA6" s="61">
        <f>('TE BE'!$AB$6+'TE BF'!$AB$6+'TE CVA'!$AB$6)*1*(1-0.03)</f>
        <v>131.73207366460716</v>
      </c>
      <c r="AB6" s="6">
        <f>$K$6*$V$6</f>
        <v>11481.3104</v>
      </c>
      <c r="AC6" s="6">
        <f>$M$6*$W$6</f>
        <v>11624.278665999998</v>
      </c>
      <c r="AD6" s="6">
        <f>$O$6*$X$6</f>
        <v>24807.355195999997</v>
      </c>
      <c r="AE6" s="6">
        <f ca="1">$K$6*$Y$6</f>
        <v>11630.546020812699</v>
      </c>
      <c r="AF6" s="6">
        <f ca="1">$M$6*$Z$6</f>
        <v>18086.685979660397</v>
      </c>
      <c r="AG6" s="6">
        <f>$O$6*$AA$6</f>
        <v>24600.306096497065</v>
      </c>
      <c r="AI6" s="44" t="s">
        <v>43</v>
      </c>
      <c r="AJ6" s="45">
        <f>SUMIF($B$2:$B$553,AI6,$AB$2:$AB$553)+SUMIF($B$2:$B$553,AI6,$AC$2:$AC$553)</f>
        <v>192957.39648</v>
      </c>
      <c r="AK6" s="45">
        <f ca="1">SUMIF($B$2:$B$553,AI6,$AE$2:$AE$553)+SUMIF($B$2:$B$553,AI6,$AF$2:$AF$553)</f>
        <v>212741.64923972148</v>
      </c>
      <c r="AL6" s="46">
        <f t="shared" ca="1" si="0"/>
        <v>0.10253171487920709</v>
      </c>
      <c r="AN6" s="44" t="s">
        <v>43</v>
      </c>
      <c r="AO6" s="45">
        <f>SUMIF($B$2:$B$553,AN6,$AD$2:$AD$553)</f>
        <v>72331.10738999999</v>
      </c>
      <c r="AP6" s="45">
        <f>SUMIF($B$2:$B$553,AN6,$AG$2:$AG$553)</f>
        <v>69505.461302315976</v>
      </c>
      <c r="AQ6" s="46">
        <f t="shared" si="1"/>
        <v>-3.9065433803584626E-2</v>
      </c>
      <c r="AS6" s="44" t="s">
        <v>43</v>
      </c>
      <c r="AT6" s="45">
        <f>SUMIF($B$2:$B$553,AS6,$AB$2:$AB$553)+SUMIF($B$2:$B$553,AS6,$AC$2:$AC$553)+SUMIF($B$2:$B$553,AS6,$AD$2:$AD$553)</f>
        <v>265288.50387000002</v>
      </c>
      <c r="AU6" s="45">
        <f ca="1">SUMIF($B$2:$B$553,AS6,$AE$2:$AE$553)+SUMIF($B$2:$B$553,AS6,$AF$2:$AF$553)+SUMIF($B$2:$B$553,AS6,$AG$2:$AG$553)</f>
        <v>282247.11054203747</v>
      </c>
      <c r="AV6" s="46">
        <f t="shared" ca="1" si="2"/>
        <v>6.3925147244027203E-2</v>
      </c>
    </row>
    <row r="7" spans="1:48" ht="11.25" customHeight="1" x14ac:dyDescent="0.25">
      <c r="A7" s="4" t="s">
        <v>21</v>
      </c>
      <c r="B7" s="4" t="s">
        <v>35</v>
      </c>
      <c r="C7" s="4" t="s">
        <v>48</v>
      </c>
      <c r="D7" s="4" t="s">
        <v>46</v>
      </c>
      <c r="E7" s="4" t="s">
        <v>47</v>
      </c>
      <c r="F7" s="4" t="s">
        <v>25</v>
      </c>
      <c r="G7" s="4" t="s">
        <v>25</v>
      </c>
      <c r="H7" s="4" t="s">
        <v>38</v>
      </c>
      <c r="I7" s="5">
        <v>44593</v>
      </c>
      <c r="J7" s="6">
        <v>473</v>
      </c>
      <c r="K7" s="62">
        <v>473</v>
      </c>
      <c r="L7" s="6">
        <v>175.04400000000001</v>
      </c>
      <c r="M7" s="61">
        <v>175.04400000000001</v>
      </c>
      <c r="N7" s="6">
        <v>175.04400000000001</v>
      </c>
      <c r="O7" s="61">
        <v>175.04400000000001</v>
      </c>
      <c r="P7" s="6">
        <v>0</v>
      </c>
      <c r="Q7" s="4" t="s">
        <v>26</v>
      </c>
      <c r="R7" s="4">
        <v>0</v>
      </c>
      <c r="S7" s="6">
        <v>12</v>
      </c>
      <c r="T7" s="6">
        <v>1</v>
      </c>
      <c r="U7" s="6">
        <v>51</v>
      </c>
      <c r="V7" s="61">
        <f>IF(ISERROR(VLOOKUP($S$7,'TAR FIN'!$A$1:$O$85,15,0)),0,VLOOKUP($S$7,'TAR FIN'!$A$1:$O$85,15,0))*(1-0.06)</f>
        <v>24.1204</v>
      </c>
      <c r="W7" s="61">
        <f>IF(ISERROR(VLOOKUP($T$7,'TAR FIN'!$A$1:$O$85,15,0)),0,VLOOKUP($T$7,'TAR FIN'!$A$1:$O$85,15,0))*(1-0.06)</f>
        <v>62.246799999999993</v>
      </c>
      <c r="X7" s="61">
        <f>IF(ISERROR(VLOOKUP($U$7,'TAR FIN'!$A$1:$O$85,15,0)),0,VLOOKUP($U$7,'TAR FIN'!$A$1:$O$85,15,0))*(1-0.06)</f>
        <v>132.84079999999997</v>
      </c>
      <c r="Y7" s="61">
        <f ca="1">('TUSD BE'!$AM$6+'TUSD BF'!$AM$6+'TUSD CVA'!$AM$6)*1*(1-0.03)</f>
        <v>24.433920211791385</v>
      </c>
      <c r="Z7" s="61">
        <f ca="1">('TUSD BE'!$AM$7+'TUSD BF'!$AM$7+'TUSD CVA'!$AM$7)*1*(1-0.03)</f>
        <v>96.85231722220351</v>
      </c>
      <c r="AA7" s="61">
        <f>('TE BE'!$AB$6+'TE BF'!$AB$6+'TE CVA'!$AB$6)*1*(1-0.03)</f>
        <v>131.73207366460716</v>
      </c>
      <c r="AB7" s="6">
        <f>$K$7*$V$7</f>
        <v>11408.949200000001</v>
      </c>
      <c r="AC7" s="6">
        <f>$M$7*$W$7</f>
        <v>10895.928859199999</v>
      </c>
      <c r="AD7" s="6">
        <f>$O$7*$X$7</f>
        <v>23252.984995199997</v>
      </c>
      <c r="AE7" s="6">
        <f ca="1">$K$7*$Y$7</f>
        <v>11557.244260177325</v>
      </c>
      <c r="AF7" s="6">
        <f ca="1">$M$7*$Z$7</f>
        <v>16953.417015843392</v>
      </c>
      <c r="AG7" s="6">
        <f>$O$7*$AA$7</f>
        <v>23058.909102547495</v>
      </c>
      <c r="AI7" s="44" t="s">
        <v>571</v>
      </c>
      <c r="AJ7" s="45">
        <f>+$AJ$2</f>
        <v>8146317.182027204</v>
      </c>
      <c r="AK7" s="45">
        <f ca="1">+$AK$2</f>
        <v>9154375.9849655814</v>
      </c>
      <c r="AL7" s="46">
        <f t="shared" ca="1" si="0"/>
        <v>0.12374411410869257</v>
      </c>
      <c r="AN7" s="44" t="s">
        <v>571</v>
      </c>
      <c r="AO7" s="45">
        <f>+$AO$2</f>
        <v>4502323.1505919993</v>
      </c>
      <c r="AP7" s="45">
        <f>+$AP$2</f>
        <v>4341398.5207044911</v>
      </c>
      <c r="AQ7" s="46">
        <f t="shared" si="1"/>
        <v>-3.5742576555471972E-2</v>
      </c>
      <c r="AS7" s="44" t="s">
        <v>571</v>
      </c>
      <c r="AT7" s="45">
        <f>+$AT$2</f>
        <v>12648640.332619203</v>
      </c>
      <c r="AU7" s="45">
        <f ca="1">+$AU$2</f>
        <v>13495774.505670073</v>
      </c>
      <c r="AV7" s="46">
        <f t="shared" ca="1" si="2"/>
        <v>6.6974326945341334E-2</v>
      </c>
    </row>
    <row r="8" spans="1:48" ht="11.25" customHeight="1" x14ac:dyDescent="0.25">
      <c r="A8" s="4" t="s">
        <v>21</v>
      </c>
      <c r="B8" s="4" t="s">
        <v>35</v>
      </c>
      <c r="C8" s="4" t="s">
        <v>48</v>
      </c>
      <c r="D8" s="4" t="s">
        <v>46</v>
      </c>
      <c r="E8" s="4" t="s">
        <v>47</v>
      </c>
      <c r="F8" s="4" t="s">
        <v>25</v>
      </c>
      <c r="G8" s="4" t="s">
        <v>25</v>
      </c>
      <c r="H8" s="4" t="s">
        <v>38</v>
      </c>
      <c r="I8" s="5">
        <v>44621</v>
      </c>
      <c r="J8" s="6">
        <v>476</v>
      </c>
      <c r="K8" s="62">
        <v>476</v>
      </c>
      <c r="L8" s="6">
        <v>190.74100000000001</v>
      </c>
      <c r="M8" s="61">
        <v>190.74100000000001</v>
      </c>
      <c r="N8" s="6">
        <v>190.74100000000001</v>
      </c>
      <c r="O8" s="61">
        <v>190.74100000000001</v>
      </c>
      <c r="P8" s="6">
        <v>0</v>
      </c>
      <c r="Q8" s="4" t="s">
        <v>26</v>
      </c>
      <c r="R8" s="4">
        <v>0</v>
      </c>
      <c r="S8" s="6">
        <v>12</v>
      </c>
      <c r="T8" s="6">
        <v>1</v>
      </c>
      <c r="U8" s="6">
        <v>51</v>
      </c>
      <c r="V8" s="61">
        <f>IF(ISERROR(VLOOKUP($S$8,'TAR FIN'!$A$1:$O$85,15,0)),0,VLOOKUP($S$8,'TAR FIN'!$A$1:$O$85,15,0))*(1-0.06)</f>
        <v>24.1204</v>
      </c>
      <c r="W8" s="61">
        <f>IF(ISERROR(VLOOKUP($T$8,'TAR FIN'!$A$1:$O$85,15,0)),0,VLOOKUP($T$8,'TAR FIN'!$A$1:$O$85,15,0))*(1-0.06)</f>
        <v>62.246799999999993</v>
      </c>
      <c r="X8" s="61">
        <f>IF(ISERROR(VLOOKUP($U$8,'TAR FIN'!$A$1:$O$85,15,0)),0,VLOOKUP($U$8,'TAR FIN'!$A$1:$O$85,15,0))*(1-0.06)</f>
        <v>132.84079999999997</v>
      </c>
      <c r="Y8" s="61">
        <f ca="1">('TUSD BE'!$AM$6+'TUSD BF'!$AM$6+'TUSD CVA'!$AM$6)*1*(1-0.03)</f>
        <v>24.433920211791385</v>
      </c>
      <c r="Z8" s="61">
        <f ca="1">('TUSD BE'!$AM$7+'TUSD BF'!$AM$7+'TUSD CVA'!$AM$7)*1*(1-0.03)</f>
        <v>96.85231722220351</v>
      </c>
      <c r="AA8" s="61">
        <f>('TE BE'!$AB$6+'TE BF'!$AB$6+'TE CVA'!$AB$6)*1*(1-0.03)</f>
        <v>131.73207366460716</v>
      </c>
      <c r="AB8" s="6">
        <f>$K$8*$V$8</f>
        <v>11481.3104</v>
      </c>
      <c r="AC8" s="6">
        <f>$M$8*$W$8</f>
        <v>11873.016878799999</v>
      </c>
      <c r="AD8" s="6">
        <f>$O$8*$X$8</f>
        <v>25338.187032799997</v>
      </c>
      <c r="AE8" s="6">
        <f ca="1">$K$8*$Y$8</f>
        <v>11630.546020812699</v>
      </c>
      <c r="AF8" s="6">
        <f ca="1">$M$8*$Z$8</f>
        <v>18473.70783928032</v>
      </c>
      <c r="AG8" s="6">
        <f>$O$8*$AA$8</f>
        <v>25126.707462860835</v>
      </c>
      <c r="AI8" s="44" t="s">
        <v>80</v>
      </c>
      <c r="AJ8" s="45">
        <f>+$AJ$3+$AJ$4+$AJ$5+$AJ$6</f>
        <v>20381163.178774599</v>
      </c>
      <c r="AK8" s="45">
        <f ca="1">+$AK$3+$AK$4+$AK$5+$AK$6</f>
        <v>23470724.283403613</v>
      </c>
      <c r="AL8" s="46">
        <f t="shared" ca="1" si="0"/>
        <v>0.15158904707885124</v>
      </c>
      <c r="AN8" s="44" t="s">
        <v>80</v>
      </c>
      <c r="AO8" s="45">
        <f>+$AO$3+$AO$4+$AO$5+$AO$6</f>
        <v>7642721.1414922001</v>
      </c>
      <c r="AP8" s="45">
        <f>+$AP$3+$AP$4+$AP$5+$AP$6</f>
        <v>7672452.5671690712</v>
      </c>
      <c r="AQ8" s="46">
        <f t="shared" si="1"/>
        <v>3.8901623029865551E-3</v>
      </c>
      <c r="AS8" s="44" t="s">
        <v>80</v>
      </c>
      <c r="AT8" s="45">
        <f>+$AT$3+$AT$4+$AT$5+$AT$6</f>
        <v>28023884.320266802</v>
      </c>
      <c r="AU8" s="45">
        <f ca="1">+$AU$3+$AU$4+$AU$5+$AU$6</f>
        <v>31143176.850572687</v>
      </c>
      <c r="AV8" s="46">
        <f t="shared" ca="1" si="2"/>
        <v>0.11130835735180433</v>
      </c>
    </row>
    <row r="9" spans="1:48" ht="11.25" customHeight="1" x14ac:dyDescent="0.25">
      <c r="A9" s="4" t="s">
        <v>21</v>
      </c>
      <c r="B9" s="4" t="s">
        <v>35</v>
      </c>
      <c r="C9" s="4" t="s">
        <v>48</v>
      </c>
      <c r="D9" s="4" t="s">
        <v>46</v>
      </c>
      <c r="E9" s="4" t="s">
        <v>47</v>
      </c>
      <c r="F9" s="4" t="s">
        <v>25</v>
      </c>
      <c r="G9" s="4" t="s">
        <v>25</v>
      </c>
      <c r="H9" s="4" t="s">
        <v>38</v>
      </c>
      <c r="I9" s="5">
        <v>44652</v>
      </c>
      <c r="J9" s="6">
        <v>482</v>
      </c>
      <c r="K9" s="62">
        <v>482</v>
      </c>
      <c r="L9" s="6">
        <v>194.71899999999999</v>
      </c>
      <c r="M9" s="61">
        <v>194.71899999999999</v>
      </c>
      <c r="N9" s="6">
        <v>194.71899999999999</v>
      </c>
      <c r="O9" s="61">
        <v>194.71899999999999</v>
      </c>
      <c r="P9" s="6">
        <v>0</v>
      </c>
      <c r="Q9" s="4" t="s">
        <v>26</v>
      </c>
      <c r="R9" s="4">
        <v>0</v>
      </c>
      <c r="S9" s="6">
        <v>12</v>
      </c>
      <c r="T9" s="6">
        <v>1</v>
      </c>
      <c r="U9" s="6">
        <v>51</v>
      </c>
      <c r="V9" s="61">
        <f>IF(ISERROR(VLOOKUP($S$9,'TAR FIN'!$A$1:$O$85,15,0)),0,VLOOKUP($S$9,'TAR FIN'!$A$1:$O$85,15,0))*(1-0.06)</f>
        <v>24.1204</v>
      </c>
      <c r="W9" s="61">
        <f>IF(ISERROR(VLOOKUP($T$9,'TAR FIN'!$A$1:$O$85,15,0)),0,VLOOKUP($T$9,'TAR FIN'!$A$1:$O$85,15,0))*(1-0.06)</f>
        <v>62.246799999999993</v>
      </c>
      <c r="X9" s="61">
        <f>IF(ISERROR(VLOOKUP($U$9,'TAR FIN'!$A$1:$O$85,15,0)),0,VLOOKUP($U$9,'TAR FIN'!$A$1:$O$85,15,0))*(1-0.06)</f>
        <v>132.84079999999997</v>
      </c>
      <c r="Y9" s="61">
        <f ca="1">('TUSD BE'!$AM$6+'TUSD BF'!$AM$6+'TUSD CVA'!$AM$6)*1*(1-0.03)</f>
        <v>24.433920211791385</v>
      </c>
      <c r="Z9" s="61">
        <f ca="1">('TUSD BE'!$AM$7+'TUSD BF'!$AM$7+'TUSD CVA'!$AM$7)*1*(1-0.03)</f>
        <v>96.85231722220351</v>
      </c>
      <c r="AA9" s="61">
        <f>('TE BE'!$AB$6+'TE BF'!$AB$6+'TE CVA'!$AB$6)*1*(1-0.03)</f>
        <v>131.73207366460716</v>
      </c>
      <c r="AB9" s="6">
        <f>$K$9*$V$9</f>
        <v>11626.032800000001</v>
      </c>
      <c r="AC9" s="6">
        <f>$M$9*$W$9</f>
        <v>12120.634649199998</v>
      </c>
      <c r="AD9" s="6">
        <f>$O$9*$X$9</f>
        <v>25866.627735199992</v>
      </c>
      <c r="AE9" s="6">
        <f ca="1">$K$9*$Y$9</f>
        <v>11777.149542083447</v>
      </c>
      <c r="AF9" s="6">
        <f ca="1">$M$9*$Z$9</f>
        <v>18858.986357190246</v>
      </c>
      <c r="AG9" s="6">
        <f>$O$9*$AA$9</f>
        <v>25650.737651898638</v>
      </c>
      <c r="AI9" s="44" t="s">
        <v>572</v>
      </c>
      <c r="AJ9" s="45">
        <f>AJ8+AJ7</f>
        <v>28527480.360801801</v>
      </c>
      <c r="AK9" s="45">
        <f ca="1">AK8+AK7</f>
        <v>32625100.268369194</v>
      </c>
      <c r="AL9" s="46">
        <f t="shared" ca="1" si="0"/>
        <v>0.1436376383663287</v>
      </c>
      <c r="AN9" s="44" t="s">
        <v>572</v>
      </c>
      <c r="AO9" s="45">
        <f>AO8+AO7</f>
        <v>12145044.292084198</v>
      </c>
      <c r="AP9" s="45">
        <f>AP8+AP7</f>
        <v>12013851.087873563</v>
      </c>
      <c r="AQ9" s="46">
        <f t="shared" si="1"/>
        <v>-1.0802200556497166E-2</v>
      </c>
      <c r="AS9" s="44" t="s">
        <v>572</v>
      </c>
      <c r="AT9" s="45">
        <f>AT8+AT7</f>
        <v>40672524.652886003</v>
      </c>
      <c r="AU9" s="45">
        <f ca="1">AU8+AU7</f>
        <v>44638951.356242761</v>
      </c>
      <c r="AV9" s="46">
        <f t="shared" ca="1" si="2"/>
        <v>9.7521035077307694E-2</v>
      </c>
    </row>
    <row r="10" spans="1:48" ht="11.25" customHeight="1" x14ac:dyDescent="0.25">
      <c r="A10" s="4" t="s">
        <v>21</v>
      </c>
      <c r="B10" s="4" t="s">
        <v>35</v>
      </c>
      <c r="C10" s="4" t="s">
        <v>48</v>
      </c>
      <c r="D10" s="4" t="s">
        <v>46</v>
      </c>
      <c r="E10" s="4" t="s">
        <v>47</v>
      </c>
      <c r="F10" s="4" t="s">
        <v>25</v>
      </c>
      <c r="G10" s="4" t="s">
        <v>25</v>
      </c>
      <c r="H10" s="4" t="s">
        <v>38</v>
      </c>
      <c r="I10" s="5">
        <v>44682</v>
      </c>
      <c r="J10" s="6">
        <v>485</v>
      </c>
      <c r="K10" s="62">
        <v>485</v>
      </c>
      <c r="L10" s="6">
        <v>242.363</v>
      </c>
      <c r="M10" s="61">
        <v>242.363</v>
      </c>
      <c r="N10" s="6">
        <v>242.363</v>
      </c>
      <c r="O10" s="61">
        <v>242.363</v>
      </c>
      <c r="P10" s="6">
        <v>0</v>
      </c>
      <c r="Q10" s="4" t="s">
        <v>26</v>
      </c>
      <c r="R10" s="4">
        <v>0</v>
      </c>
      <c r="S10" s="6">
        <v>12</v>
      </c>
      <c r="T10" s="6">
        <v>1</v>
      </c>
      <c r="U10" s="6">
        <v>51</v>
      </c>
      <c r="V10" s="61">
        <f>IF(ISERROR(VLOOKUP($S$10,'TAR FIN'!$A$1:$O$85,15,0)),0,VLOOKUP($S$10,'TAR FIN'!$A$1:$O$85,15,0))*(1-0.06)</f>
        <v>24.1204</v>
      </c>
      <c r="W10" s="61">
        <f>IF(ISERROR(VLOOKUP($T$10,'TAR FIN'!$A$1:$O$85,15,0)),0,VLOOKUP($T$10,'TAR FIN'!$A$1:$O$85,15,0))*(1-0.06)</f>
        <v>62.246799999999993</v>
      </c>
      <c r="X10" s="61">
        <f>IF(ISERROR(VLOOKUP($U$10,'TAR FIN'!$A$1:$O$85,15,0)),0,VLOOKUP($U$10,'TAR FIN'!$A$1:$O$85,15,0))*(1-0.06)</f>
        <v>132.84079999999997</v>
      </c>
      <c r="Y10" s="61">
        <f ca="1">('TUSD BE'!$AM$6+'TUSD BF'!$AM$6+'TUSD CVA'!$AM$6)*1*(1-0.03)</f>
        <v>24.433920211791385</v>
      </c>
      <c r="Z10" s="61">
        <f ca="1">('TUSD BE'!$AM$7+'TUSD BF'!$AM$7+'TUSD CVA'!$AM$7)*1*(1-0.03)</f>
        <v>96.85231722220351</v>
      </c>
      <c r="AA10" s="61">
        <f>('TE BE'!$AB$6+'TE BF'!$AB$6+'TE CVA'!$AB$6)*1*(1-0.03)</f>
        <v>131.73207366460716</v>
      </c>
      <c r="AB10" s="6">
        <f>$K$10*$V$10</f>
        <v>11698.394</v>
      </c>
      <c r="AC10" s="6">
        <f>$M$10*$W$10</f>
        <v>15086.321188399997</v>
      </c>
      <c r="AD10" s="6">
        <f>$O$10*$X$10</f>
        <v>32195.694810399993</v>
      </c>
      <c r="AE10" s="6">
        <f ca="1">$K$10*$Y$10</f>
        <v>11850.451302718822</v>
      </c>
      <c r="AF10" s="6">
        <f ca="1">$M$10*$Z$10</f>
        <v>23473.418158924909</v>
      </c>
      <c r="AG10" s="6">
        <f>$O$10*$AA$10</f>
        <v>31926.980569575186</v>
      </c>
    </row>
    <row r="11" spans="1:48" ht="11.25" customHeight="1" x14ac:dyDescent="0.25">
      <c r="A11" s="4" t="s">
        <v>21</v>
      </c>
      <c r="B11" s="4" t="s">
        <v>35</v>
      </c>
      <c r="C11" s="4" t="s">
        <v>48</v>
      </c>
      <c r="D11" s="4" t="s">
        <v>46</v>
      </c>
      <c r="E11" s="4" t="s">
        <v>47</v>
      </c>
      <c r="F11" s="4" t="s">
        <v>25</v>
      </c>
      <c r="G11" s="4" t="s">
        <v>25</v>
      </c>
      <c r="H11" s="4" t="s">
        <v>38</v>
      </c>
      <c r="I11" s="5">
        <v>44713</v>
      </c>
      <c r="J11" s="6">
        <v>487</v>
      </c>
      <c r="K11" s="62">
        <v>487</v>
      </c>
      <c r="L11" s="6">
        <v>249.66399999999999</v>
      </c>
      <c r="M11" s="61">
        <v>249.66399999999999</v>
      </c>
      <c r="N11" s="6">
        <v>249.66399999999999</v>
      </c>
      <c r="O11" s="61">
        <v>249.66399999999999</v>
      </c>
      <c r="P11" s="6">
        <v>0</v>
      </c>
      <c r="Q11" s="4" t="s">
        <v>26</v>
      </c>
      <c r="R11" s="4">
        <v>0</v>
      </c>
      <c r="S11" s="6">
        <v>12</v>
      </c>
      <c r="T11" s="6">
        <v>1</v>
      </c>
      <c r="U11" s="6">
        <v>51</v>
      </c>
      <c r="V11" s="61">
        <f>IF(ISERROR(VLOOKUP($S$11,'TAR FIN'!$A$1:$O$85,15,0)),0,VLOOKUP($S$11,'TAR FIN'!$A$1:$O$85,15,0))*(1-0.06)</f>
        <v>24.1204</v>
      </c>
      <c r="W11" s="61">
        <f>IF(ISERROR(VLOOKUP($T$11,'TAR FIN'!$A$1:$O$85,15,0)),0,VLOOKUP($T$11,'TAR FIN'!$A$1:$O$85,15,0))*(1-0.06)</f>
        <v>62.246799999999993</v>
      </c>
      <c r="X11" s="61">
        <f>IF(ISERROR(VLOOKUP($U$11,'TAR FIN'!$A$1:$O$85,15,0)),0,VLOOKUP($U$11,'TAR FIN'!$A$1:$O$85,15,0))*(1-0.06)</f>
        <v>132.84079999999997</v>
      </c>
      <c r="Y11" s="61">
        <f ca="1">('TUSD BE'!$AM$6+'TUSD BF'!$AM$6+'TUSD CVA'!$AM$6)*1*(1-0.03)</f>
        <v>24.433920211791385</v>
      </c>
      <c r="Z11" s="61">
        <f ca="1">('TUSD BE'!$AM$7+'TUSD BF'!$AM$7+'TUSD CVA'!$AM$7)*1*(1-0.03)</f>
        <v>96.85231722220351</v>
      </c>
      <c r="AA11" s="61">
        <f>('TE BE'!$AB$6+'TE BF'!$AB$6+'TE CVA'!$AB$6)*1*(1-0.03)</f>
        <v>131.73207366460716</v>
      </c>
      <c r="AB11" s="6">
        <f>$K$11*$V$11</f>
        <v>11746.6348</v>
      </c>
      <c r="AC11" s="6">
        <f>$M$11*$W$11</f>
        <v>15540.785075199998</v>
      </c>
      <c r="AD11" s="6">
        <f>$O$11*$X$11</f>
        <v>33165.565491199988</v>
      </c>
      <c r="AE11" s="6">
        <f ca="1">$K$11*$Y$11</f>
        <v>11899.319143142404</v>
      </c>
      <c r="AF11" s="6">
        <f ca="1">$M$11*$Z$11</f>
        <v>24180.536926964214</v>
      </c>
      <c r="AG11" s="6">
        <f>$O$11*$AA$11</f>
        <v>32888.75643940048</v>
      </c>
    </row>
    <row r="12" spans="1:48" ht="11.25" customHeight="1" x14ac:dyDescent="0.25">
      <c r="A12" s="4" t="s">
        <v>21</v>
      </c>
      <c r="B12" s="4" t="s">
        <v>35</v>
      </c>
      <c r="C12" s="4" t="s">
        <v>48</v>
      </c>
      <c r="D12" s="4" t="s">
        <v>46</v>
      </c>
      <c r="E12" s="4" t="s">
        <v>47</v>
      </c>
      <c r="F12" s="4" t="s">
        <v>25</v>
      </c>
      <c r="G12" s="4" t="s">
        <v>25</v>
      </c>
      <c r="H12" s="4" t="s">
        <v>38</v>
      </c>
      <c r="I12" s="5">
        <v>44743</v>
      </c>
      <c r="J12" s="6">
        <v>483</v>
      </c>
      <c r="K12" s="62">
        <v>483</v>
      </c>
      <c r="L12" s="6">
        <v>241.64599999999999</v>
      </c>
      <c r="M12" s="61">
        <v>241.64599999999999</v>
      </c>
      <c r="N12" s="6">
        <v>241.64599999999999</v>
      </c>
      <c r="O12" s="61">
        <v>241.64599999999999</v>
      </c>
      <c r="P12" s="6">
        <v>0</v>
      </c>
      <c r="Q12" s="4" t="s">
        <v>26</v>
      </c>
      <c r="R12" s="4">
        <v>0</v>
      </c>
      <c r="S12" s="6">
        <v>12</v>
      </c>
      <c r="T12" s="6">
        <v>1</v>
      </c>
      <c r="U12" s="6">
        <v>51</v>
      </c>
      <c r="V12" s="61">
        <f>IF(ISERROR(VLOOKUP($S$12,'TAR FIN'!$A$1:$O$85,15,0)),0,VLOOKUP($S$12,'TAR FIN'!$A$1:$O$85,15,0))*(1-0.06)</f>
        <v>24.1204</v>
      </c>
      <c r="W12" s="61">
        <f>IF(ISERROR(VLOOKUP($T$12,'TAR FIN'!$A$1:$O$85,15,0)),0,VLOOKUP($T$12,'TAR FIN'!$A$1:$O$85,15,0))*(1-0.06)</f>
        <v>62.246799999999993</v>
      </c>
      <c r="X12" s="61">
        <f>IF(ISERROR(VLOOKUP($U$12,'TAR FIN'!$A$1:$O$85,15,0)),0,VLOOKUP($U$12,'TAR FIN'!$A$1:$O$85,15,0))*(1-0.06)</f>
        <v>132.84079999999997</v>
      </c>
      <c r="Y12" s="61">
        <f ca="1">('TUSD BE'!$AM$6+'TUSD BF'!$AM$6+'TUSD CVA'!$AM$6)*1*(1-0.03)</f>
        <v>24.433920211791385</v>
      </c>
      <c r="Z12" s="61">
        <f ca="1">('TUSD BE'!$AM$7+'TUSD BF'!$AM$7+'TUSD CVA'!$AM$7)*1*(1-0.03)</f>
        <v>96.85231722220351</v>
      </c>
      <c r="AA12" s="61">
        <f>('TE BE'!$AB$6+'TE BF'!$AB$6+'TE CVA'!$AB$6)*1*(1-0.03)</f>
        <v>131.73207366460716</v>
      </c>
      <c r="AB12" s="6">
        <f>$K$12*$V$12</f>
        <v>11650.153200000001</v>
      </c>
      <c r="AC12" s="6">
        <f>$M$12*$W$12</f>
        <v>15041.690232799998</v>
      </c>
      <c r="AD12" s="6">
        <f>$O$12*$X$12</f>
        <v>32100.447956799992</v>
      </c>
      <c r="AE12" s="6">
        <f ca="1">$K$12*$Y$12</f>
        <v>11801.583462295239</v>
      </c>
      <c r="AF12" s="6">
        <f ca="1">$M$12*$Z$12</f>
        <v>23403.97504747659</v>
      </c>
      <c r="AG12" s="6">
        <f>$O$12*$AA$12</f>
        <v>31832.52867275766</v>
      </c>
    </row>
    <row r="13" spans="1:48" ht="11.25" customHeight="1" x14ac:dyDescent="0.25">
      <c r="A13" s="4" t="s">
        <v>21</v>
      </c>
      <c r="B13" s="4" t="s">
        <v>35</v>
      </c>
      <c r="C13" s="4" t="s">
        <v>48</v>
      </c>
      <c r="D13" s="4" t="s">
        <v>46</v>
      </c>
      <c r="E13" s="4" t="s">
        <v>47</v>
      </c>
      <c r="F13" s="4" t="s">
        <v>25</v>
      </c>
      <c r="G13" s="4" t="s">
        <v>25</v>
      </c>
      <c r="H13" s="4" t="s">
        <v>38</v>
      </c>
      <c r="I13" s="5">
        <v>44774</v>
      </c>
      <c r="J13" s="6">
        <v>490</v>
      </c>
      <c r="K13" s="62">
        <v>490</v>
      </c>
      <c r="L13" s="6">
        <v>204.32599999999999</v>
      </c>
      <c r="M13" s="61">
        <v>204.32599999999999</v>
      </c>
      <c r="N13" s="6">
        <v>204.32599999999999</v>
      </c>
      <c r="O13" s="61">
        <v>204.32599999999999</v>
      </c>
      <c r="P13" s="6">
        <v>0</v>
      </c>
      <c r="Q13" s="4" t="s">
        <v>26</v>
      </c>
      <c r="R13" s="4">
        <v>0</v>
      </c>
      <c r="S13" s="6">
        <v>12</v>
      </c>
      <c r="T13" s="6">
        <v>1</v>
      </c>
      <c r="U13" s="6">
        <v>51</v>
      </c>
      <c r="V13" s="61">
        <f>IF(ISERROR(VLOOKUP($S$13,'TAR FIN'!$A$1:$O$85,15,0)),0,VLOOKUP($S$13,'TAR FIN'!$A$1:$O$85,15,0))*(1-0.06)</f>
        <v>24.1204</v>
      </c>
      <c r="W13" s="61">
        <f>IF(ISERROR(VLOOKUP($T$13,'TAR FIN'!$A$1:$O$85,15,0)),0,VLOOKUP($T$13,'TAR FIN'!$A$1:$O$85,15,0))*(1-0.06)</f>
        <v>62.246799999999993</v>
      </c>
      <c r="X13" s="61">
        <f>IF(ISERROR(VLOOKUP($U$13,'TAR FIN'!$A$1:$O$85,15,0)),0,VLOOKUP($U$13,'TAR FIN'!$A$1:$O$85,15,0))*(1-0.06)</f>
        <v>132.84079999999997</v>
      </c>
      <c r="Y13" s="61">
        <f ca="1">('TUSD BE'!$AM$6+'TUSD BF'!$AM$6+'TUSD CVA'!$AM$6)*1*(1-0.03)</f>
        <v>24.433920211791385</v>
      </c>
      <c r="Z13" s="61">
        <f ca="1">('TUSD BE'!$AM$7+'TUSD BF'!$AM$7+'TUSD CVA'!$AM$7)*1*(1-0.03)</f>
        <v>96.85231722220351</v>
      </c>
      <c r="AA13" s="61">
        <f>('TE BE'!$AB$6+'TE BF'!$AB$6+'TE CVA'!$AB$6)*1*(1-0.03)</f>
        <v>131.73207366460716</v>
      </c>
      <c r="AB13" s="6">
        <f>$K$13*$V$13</f>
        <v>11818.995999999999</v>
      </c>
      <c r="AC13" s="6">
        <f>$M$13*$W$13</f>
        <v>12718.639656799998</v>
      </c>
      <c r="AD13" s="6">
        <f>$O$13*$X$13</f>
        <v>27142.829300799993</v>
      </c>
      <c r="AE13" s="6">
        <f ca="1">$K$13*$Y$13</f>
        <v>11972.620903777779</v>
      </c>
      <c r="AF13" s="6">
        <f ca="1">$M$13*$Z$13</f>
        <v>19789.446568743955</v>
      </c>
      <c r="AG13" s="6">
        <f>$O$13*$AA$13</f>
        <v>26916.287683594521</v>
      </c>
    </row>
    <row r="14" spans="1:48" ht="11.25" customHeight="1" x14ac:dyDescent="0.25">
      <c r="A14" s="4" t="s">
        <v>21</v>
      </c>
      <c r="B14" s="4" t="s">
        <v>35</v>
      </c>
      <c r="C14" s="4" t="s">
        <v>48</v>
      </c>
      <c r="D14" s="4" t="s">
        <v>46</v>
      </c>
      <c r="E14" s="4" t="s">
        <v>47</v>
      </c>
      <c r="F14" s="4" t="s">
        <v>25</v>
      </c>
      <c r="G14" s="4" t="s">
        <v>25</v>
      </c>
      <c r="H14" s="4" t="s">
        <v>37</v>
      </c>
      <c r="I14" s="5">
        <v>44440</v>
      </c>
      <c r="J14" s="6">
        <v>492</v>
      </c>
      <c r="K14" s="62">
        <v>492</v>
      </c>
      <c r="L14" s="6">
        <v>24.686</v>
      </c>
      <c r="M14" s="61">
        <v>24.686</v>
      </c>
      <c r="N14" s="6">
        <v>24.686</v>
      </c>
      <c r="O14" s="61">
        <v>24.686</v>
      </c>
      <c r="P14" s="6">
        <v>0</v>
      </c>
      <c r="Q14" s="4" t="s">
        <v>26</v>
      </c>
      <c r="R14" s="4">
        <v>0</v>
      </c>
      <c r="S14" s="6">
        <v>10</v>
      </c>
      <c r="T14" s="6">
        <v>1</v>
      </c>
      <c r="U14" s="6">
        <v>44</v>
      </c>
      <c r="V14" s="61">
        <f>IF(ISERROR(VLOOKUP($S$14,'TAR FIN'!$A$1:$O$85,15,0)),0,VLOOKUP($S$14,'TAR FIN'!$A$1:$O$85,15,0))*(1-0.06)</f>
        <v>72.5398</v>
      </c>
      <c r="W14" s="61">
        <f>IF(ISERROR(VLOOKUP($T$14,'TAR FIN'!$A$1:$O$85,15,0)),0,VLOOKUP($T$14,'TAR FIN'!$A$1:$O$85,15,0))*(1-0.06)</f>
        <v>62.246799999999993</v>
      </c>
      <c r="X14" s="61">
        <f>IF(ISERROR(VLOOKUP($U$14,'TAR FIN'!$A$1:$O$85,15,0)),0,VLOOKUP($U$14,'TAR FIN'!$A$1:$O$85,15,0))*(1-0.06)</f>
        <v>132.84079999999997</v>
      </c>
      <c r="Y14" s="61">
        <f ca="1">('TUSD BE'!$AM$5+'TUSD BF'!$AM$5+'TUSD CVA'!$AM$5)*1*(1-0.03)</f>
        <v>73.871448621015489</v>
      </c>
      <c r="Z14" s="61">
        <f ca="1">('TUSD BE'!$AM$7+'TUSD BF'!$AM$7+'TUSD CVA'!$AM$7)*1*(1-0.03)</f>
        <v>96.85231722220351</v>
      </c>
      <c r="AA14" s="61">
        <f>('TE BE'!$AB$5+'TE BF'!$AB$5+'TE CVA'!$AB$5)*1*(1-0.03)</f>
        <v>131.73207366460716</v>
      </c>
      <c r="AB14" s="6">
        <f>$K$14*$V$14</f>
        <v>35689.581599999998</v>
      </c>
      <c r="AC14" s="6">
        <f>$M$14*$W$14</f>
        <v>1536.6245047999998</v>
      </c>
      <c r="AD14" s="6">
        <f>$O$14*$X$14</f>
        <v>3279.3079887999993</v>
      </c>
      <c r="AE14" s="6">
        <f ca="1">$K$14*$Y$14</f>
        <v>36344.752721539619</v>
      </c>
      <c r="AF14" s="6">
        <f ca="1">$M$14*$Z$14</f>
        <v>2390.8963029473157</v>
      </c>
      <c r="AG14" s="6">
        <f>$O$14*$AA$14</f>
        <v>3251.9379704844923</v>
      </c>
    </row>
    <row r="15" spans="1:48" ht="11.25" customHeight="1" x14ac:dyDescent="0.25">
      <c r="A15" s="4" t="s">
        <v>21</v>
      </c>
      <c r="B15" s="4" t="s">
        <v>35</v>
      </c>
      <c r="C15" s="4" t="s">
        <v>48</v>
      </c>
      <c r="D15" s="4" t="s">
        <v>46</v>
      </c>
      <c r="E15" s="4" t="s">
        <v>47</v>
      </c>
      <c r="F15" s="4" t="s">
        <v>25</v>
      </c>
      <c r="G15" s="4" t="s">
        <v>25</v>
      </c>
      <c r="H15" s="4" t="s">
        <v>37</v>
      </c>
      <c r="I15" s="5">
        <v>44470</v>
      </c>
      <c r="J15" s="6">
        <v>503</v>
      </c>
      <c r="K15" s="62">
        <v>503</v>
      </c>
      <c r="L15" s="6">
        <v>22.405000000000001</v>
      </c>
      <c r="M15" s="61">
        <v>22.405000000000001</v>
      </c>
      <c r="N15" s="6">
        <v>22.405000000000001</v>
      </c>
      <c r="O15" s="61">
        <v>22.405000000000001</v>
      </c>
      <c r="P15" s="6">
        <v>0</v>
      </c>
      <c r="Q15" s="4" t="s">
        <v>26</v>
      </c>
      <c r="R15" s="4">
        <v>0</v>
      </c>
      <c r="S15" s="6">
        <v>10</v>
      </c>
      <c r="T15" s="6">
        <v>1</v>
      </c>
      <c r="U15" s="6">
        <v>44</v>
      </c>
      <c r="V15" s="61">
        <f>IF(ISERROR(VLOOKUP($S$15,'TAR FIN'!$A$1:$O$85,15,0)),0,VLOOKUP($S$15,'TAR FIN'!$A$1:$O$85,15,0))*(1-0.06)</f>
        <v>72.5398</v>
      </c>
      <c r="W15" s="61">
        <f>IF(ISERROR(VLOOKUP($T$15,'TAR FIN'!$A$1:$O$85,15,0)),0,VLOOKUP($T$15,'TAR FIN'!$A$1:$O$85,15,0))*(1-0.06)</f>
        <v>62.246799999999993</v>
      </c>
      <c r="X15" s="61">
        <f>IF(ISERROR(VLOOKUP($U$15,'TAR FIN'!$A$1:$O$85,15,0)),0,VLOOKUP($U$15,'TAR FIN'!$A$1:$O$85,15,0))*(1-0.06)</f>
        <v>132.84079999999997</v>
      </c>
      <c r="Y15" s="61">
        <f ca="1">('TUSD BE'!$AM$5+'TUSD BF'!$AM$5+'TUSD CVA'!$AM$5)*1*(1-0.03)</f>
        <v>73.871448621015489</v>
      </c>
      <c r="Z15" s="61">
        <f ca="1">('TUSD BE'!$AM$7+'TUSD BF'!$AM$7+'TUSD CVA'!$AM$7)*1*(1-0.03)</f>
        <v>96.85231722220351</v>
      </c>
      <c r="AA15" s="61">
        <f>('TE BE'!$AB$5+'TE BF'!$AB$5+'TE CVA'!$AB$5)*1*(1-0.03)</f>
        <v>131.73207366460716</v>
      </c>
      <c r="AB15" s="6">
        <f>$K$15*$V$15</f>
        <v>36487.519399999997</v>
      </c>
      <c r="AC15" s="6">
        <f>$M$15*$W$15</f>
        <v>1394.6395539999999</v>
      </c>
      <c r="AD15" s="6">
        <f>$O$15*$X$15</f>
        <v>2976.2981239999995</v>
      </c>
      <c r="AE15" s="6">
        <f ca="1">$K$15*$Y$15</f>
        <v>37157.33865637079</v>
      </c>
      <c r="AF15" s="6">
        <f ca="1">$M$15*$Z$15</f>
        <v>2169.9761673634698</v>
      </c>
      <c r="AG15" s="6">
        <f>$O$15*$AA$15</f>
        <v>2951.4571104555234</v>
      </c>
    </row>
    <row r="16" spans="1:48" ht="11.25" customHeight="1" x14ac:dyDescent="0.25">
      <c r="A16" s="4" t="s">
        <v>21</v>
      </c>
      <c r="B16" s="4" t="s">
        <v>35</v>
      </c>
      <c r="C16" s="4" t="s">
        <v>48</v>
      </c>
      <c r="D16" s="4" t="s">
        <v>46</v>
      </c>
      <c r="E16" s="4" t="s">
        <v>47</v>
      </c>
      <c r="F16" s="4" t="s">
        <v>25</v>
      </c>
      <c r="G16" s="4" t="s">
        <v>25</v>
      </c>
      <c r="H16" s="4" t="s">
        <v>37</v>
      </c>
      <c r="I16" s="5">
        <v>44501</v>
      </c>
      <c r="J16" s="6">
        <v>485</v>
      </c>
      <c r="K16" s="62">
        <v>485</v>
      </c>
      <c r="L16" s="6">
        <v>18.599</v>
      </c>
      <c r="M16" s="61">
        <v>18.599</v>
      </c>
      <c r="N16" s="6">
        <v>18.599</v>
      </c>
      <c r="O16" s="61">
        <v>18.599</v>
      </c>
      <c r="P16" s="6">
        <v>0</v>
      </c>
      <c r="Q16" s="4" t="s">
        <v>26</v>
      </c>
      <c r="R16" s="4">
        <v>0</v>
      </c>
      <c r="S16" s="6">
        <v>10</v>
      </c>
      <c r="T16" s="6">
        <v>1</v>
      </c>
      <c r="U16" s="6">
        <v>44</v>
      </c>
      <c r="V16" s="61">
        <f>IF(ISERROR(VLOOKUP($S$16,'TAR FIN'!$A$1:$O$85,15,0)),0,VLOOKUP($S$16,'TAR FIN'!$A$1:$O$85,15,0))*(1-0.06)</f>
        <v>72.5398</v>
      </c>
      <c r="W16" s="61">
        <f>IF(ISERROR(VLOOKUP($T$16,'TAR FIN'!$A$1:$O$85,15,0)),0,VLOOKUP($T$16,'TAR FIN'!$A$1:$O$85,15,0))*(1-0.06)</f>
        <v>62.246799999999993</v>
      </c>
      <c r="X16" s="61">
        <f>IF(ISERROR(VLOOKUP($U$16,'TAR FIN'!$A$1:$O$85,15,0)),0,VLOOKUP($U$16,'TAR FIN'!$A$1:$O$85,15,0))*(1-0.06)</f>
        <v>132.84079999999997</v>
      </c>
      <c r="Y16" s="61">
        <f ca="1">('TUSD BE'!$AM$5+'TUSD BF'!$AM$5+'TUSD CVA'!$AM$5)*1*(1-0.03)</f>
        <v>73.871448621015489</v>
      </c>
      <c r="Z16" s="61">
        <f ca="1">('TUSD BE'!$AM$7+'TUSD BF'!$AM$7+'TUSD CVA'!$AM$7)*1*(1-0.03)</f>
        <v>96.85231722220351</v>
      </c>
      <c r="AA16" s="61">
        <f>('TE BE'!$AB$5+'TE BF'!$AB$5+'TE CVA'!$AB$5)*1*(1-0.03)</f>
        <v>131.73207366460716</v>
      </c>
      <c r="AB16" s="6">
        <f>$K$16*$V$16</f>
        <v>35181.803</v>
      </c>
      <c r="AC16" s="6">
        <f>$M$16*$W$16</f>
        <v>1157.7282332</v>
      </c>
      <c r="AD16" s="6">
        <f>$O$16*$X$16</f>
        <v>2470.7060391999994</v>
      </c>
      <c r="AE16" s="6">
        <f ca="1">$K$16*$Y$16</f>
        <v>35827.652581192509</v>
      </c>
      <c r="AF16" s="6">
        <f ca="1">$M$16*$Z$16</f>
        <v>1801.3562480157632</v>
      </c>
      <c r="AG16" s="6">
        <f>$O$16*$AA$16</f>
        <v>2450.0848380880284</v>
      </c>
    </row>
    <row r="17" spans="1:33" ht="11.25" customHeight="1" x14ac:dyDescent="0.25">
      <c r="A17" s="4" t="s">
        <v>21</v>
      </c>
      <c r="B17" s="4" t="s">
        <v>35</v>
      </c>
      <c r="C17" s="4" t="s">
        <v>48</v>
      </c>
      <c r="D17" s="4" t="s">
        <v>46</v>
      </c>
      <c r="E17" s="4" t="s">
        <v>47</v>
      </c>
      <c r="F17" s="4" t="s">
        <v>25</v>
      </c>
      <c r="G17" s="4" t="s">
        <v>25</v>
      </c>
      <c r="H17" s="4" t="s">
        <v>37</v>
      </c>
      <c r="I17" s="5">
        <v>44531</v>
      </c>
      <c r="J17" s="6">
        <v>473</v>
      </c>
      <c r="K17" s="62">
        <v>473</v>
      </c>
      <c r="L17" s="6">
        <v>21.518000000000001</v>
      </c>
      <c r="M17" s="61">
        <v>21.518000000000001</v>
      </c>
      <c r="N17" s="6">
        <v>21.518000000000001</v>
      </c>
      <c r="O17" s="61">
        <v>21.518000000000001</v>
      </c>
      <c r="P17" s="6">
        <v>0</v>
      </c>
      <c r="Q17" s="4" t="s">
        <v>26</v>
      </c>
      <c r="R17" s="4">
        <v>0</v>
      </c>
      <c r="S17" s="6">
        <v>10</v>
      </c>
      <c r="T17" s="6">
        <v>1</v>
      </c>
      <c r="U17" s="6">
        <v>44</v>
      </c>
      <c r="V17" s="61">
        <f>IF(ISERROR(VLOOKUP($S$17,'TAR FIN'!$A$1:$O$85,15,0)),0,VLOOKUP($S$17,'TAR FIN'!$A$1:$O$85,15,0))*(1-0.06)</f>
        <v>72.5398</v>
      </c>
      <c r="W17" s="61">
        <f>IF(ISERROR(VLOOKUP($T$17,'TAR FIN'!$A$1:$O$85,15,0)),0,VLOOKUP($T$17,'TAR FIN'!$A$1:$O$85,15,0))*(1-0.06)</f>
        <v>62.246799999999993</v>
      </c>
      <c r="X17" s="61">
        <f>IF(ISERROR(VLOOKUP($U$17,'TAR FIN'!$A$1:$O$85,15,0)),0,VLOOKUP($U$17,'TAR FIN'!$A$1:$O$85,15,0))*(1-0.06)</f>
        <v>132.84079999999997</v>
      </c>
      <c r="Y17" s="61">
        <f ca="1">('TUSD BE'!$AM$5+'TUSD BF'!$AM$5+'TUSD CVA'!$AM$5)*1*(1-0.03)</f>
        <v>73.871448621015489</v>
      </c>
      <c r="Z17" s="61">
        <f ca="1">('TUSD BE'!$AM$7+'TUSD BF'!$AM$7+'TUSD CVA'!$AM$7)*1*(1-0.03)</f>
        <v>96.85231722220351</v>
      </c>
      <c r="AA17" s="61">
        <f>('TE BE'!$AB$5+'TE BF'!$AB$5+'TE CVA'!$AB$5)*1*(1-0.03)</f>
        <v>131.73207366460716</v>
      </c>
      <c r="AB17" s="6">
        <f>$K$17*$V$17</f>
        <v>34311.325400000002</v>
      </c>
      <c r="AC17" s="6">
        <f>$M$17*$W$17</f>
        <v>1339.4266424</v>
      </c>
      <c r="AD17" s="6">
        <f>$O$17*$X$17</f>
        <v>2858.4683343999995</v>
      </c>
      <c r="AE17" s="6">
        <f ca="1">$K$17*$Y$17</f>
        <v>34941.19519774033</v>
      </c>
      <c r="AF17" s="6">
        <f ca="1">$M$17*$Z$17</f>
        <v>2084.0681619873753</v>
      </c>
      <c r="AG17" s="6">
        <f>$O$17*$AA$17</f>
        <v>2834.6107611150169</v>
      </c>
    </row>
    <row r="18" spans="1:33" ht="11.25" customHeight="1" x14ac:dyDescent="0.25">
      <c r="A18" s="4" t="s">
        <v>21</v>
      </c>
      <c r="B18" s="4" t="s">
        <v>35</v>
      </c>
      <c r="C18" s="4" t="s">
        <v>48</v>
      </c>
      <c r="D18" s="4" t="s">
        <v>46</v>
      </c>
      <c r="E18" s="4" t="s">
        <v>47</v>
      </c>
      <c r="F18" s="4" t="s">
        <v>25</v>
      </c>
      <c r="G18" s="4" t="s">
        <v>25</v>
      </c>
      <c r="H18" s="4" t="s">
        <v>37</v>
      </c>
      <c r="I18" s="5">
        <v>44562</v>
      </c>
      <c r="J18" s="6">
        <v>473</v>
      </c>
      <c r="K18" s="62">
        <v>473</v>
      </c>
      <c r="L18" s="6">
        <v>17.815000000000001</v>
      </c>
      <c r="M18" s="61">
        <v>17.815000000000001</v>
      </c>
      <c r="N18" s="6">
        <v>17.815000000000001</v>
      </c>
      <c r="O18" s="61">
        <v>17.815000000000001</v>
      </c>
      <c r="P18" s="6">
        <v>0</v>
      </c>
      <c r="Q18" s="4" t="s">
        <v>26</v>
      </c>
      <c r="R18" s="4">
        <v>0</v>
      </c>
      <c r="S18" s="6">
        <v>10</v>
      </c>
      <c r="T18" s="6">
        <v>1</v>
      </c>
      <c r="U18" s="6">
        <v>44</v>
      </c>
      <c r="V18" s="61">
        <f>IF(ISERROR(VLOOKUP($S$18,'TAR FIN'!$A$1:$O$85,15,0)),0,VLOOKUP($S$18,'TAR FIN'!$A$1:$O$85,15,0))*(1-0.06)</f>
        <v>72.5398</v>
      </c>
      <c r="W18" s="61">
        <f>IF(ISERROR(VLOOKUP($T$18,'TAR FIN'!$A$1:$O$85,15,0)),0,VLOOKUP($T$18,'TAR FIN'!$A$1:$O$85,15,0))*(1-0.06)</f>
        <v>62.246799999999993</v>
      </c>
      <c r="X18" s="61">
        <f>IF(ISERROR(VLOOKUP($U$18,'TAR FIN'!$A$1:$O$85,15,0)),0,VLOOKUP($U$18,'TAR FIN'!$A$1:$O$85,15,0))*(1-0.06)</f>
        <v>132.84079999999997</v>
      </c>
      <c r="Y18" s="61">
        <f ca="1">('TUSD BE'!$AM$5+'TUSD BF'!$AM$5+'TUSD CVA'!$AM$5)*1*(1-0.03)</f>
        <v>73.871448621015489</v>
      </c>
      <c r="Z18" s="61">
        <f ca="1">('TUSD BE'!$AM$7+'TUSD BF'!$AM$7+'TUSD CVA'!$AM$7)*1*(1-0.03)</f>
        <v>96.85231722220351</v>
      </c>
      <c r="AA18" s="61">
        <f>('TE BE'!$AB$5+'TE BF'!$AB$5+'TE CVA'!$AB$5)*1*(1-0.03)</f>
        <v>131.73207366460716</v>
      </c>
      <c r="AB18" s="6">
        <f>$K$18*$V$18</f>
        <v>34311.325400000002</v>
      </c>
      <c r="AC18" s="6">
        <f>$M$18*$W$18</f>
        <v>1108.9267419999999</v>
      </c>
      <c r="AD18" s="6">
        <f>$O$18*$X$18</f>
        <v>2366.5588519999997</v>
      </c>
      <c r="AE18" s="6">
        <f ca="1">$K$18*$Y$18</f>
        <v>34941.19519774033</v>
      </c>
      <c r="AF18" s="6">
        <f ca="1">$M$18*$Z$18</f>
        <v>1725.4240313135556</v>
      </c>
      <c r="AG18" s="6">
        <f>$O$18*$AA$18</f>
        <v>2346.8068923349765</v>
      </c>
    </row>
    <row r="19" spans="1:33" ht="11.25" customHeight="1" x14ac:dyDescent="0.25">
      <c r="A19" s="4" t="s">
        <v>21</v>
      </c>
      <c r="B19" s="4" t="s">
        <v>35</v>
      </c>
      <c r="C19" s="4" t="s">
        <v>48</v>
      </c>
      <c r="D19" s="4" t="s">
        <v>46</v>
      </c>
      <c r="E19" s="4" t="s">
        <v>47</v>
      </c>
      <c r="F19" s="4" t="s">
        <v>25</v>
      </c>
      <c r="G19" s="4" t="s">
        <v>25</v>
      </c>
      <c r="H19" s="4" t="s">
        <v>37</v>
      </c>
      <c r="I19" s="5">
        <v>44593</v>
      </c>
      <c r="J19" s="6">
        <v>473</v>
      </c>
      <c r="K19" s="62">
        <v>473</v>
      </c>
      <c r="L19" s="6">
        <v>17.861999999999998</v>
      </c>
      <c r="M19" s="61">
        <v>17.861999999999998</v>
      </c>
      <c r="N19" s="6">
        <v>17.861999999999998</v>
      </c>
      <c r="O19" s="61">
        <v>17.861999999999998</v>
      </c>
      <c r="P19" s="6">
        <v>0</v>
      </c>
      <c r="Q19" s="4" t="s">
        <v>26</v>
      </c>
      <c r="R19" s="4">
        <v>0</v>
      </c>
      <c r="S19" s="6">
        <v>10</v>
      </c>
      <c r="T19" s="6">
        <v>1</v>
      </c>
      <c r="U19" s="6">
        <v>44</v>
      </c>
      <c r="V19" s="61">
        <f>IF(ISERROR(VLOOKUP($S$19,'TAR FIN'!$A$1:$O$85,15,0)),0,VLOOKUP($S$19,'TAR FIN'!$A$1:$O$85,15,0))*(1-0.06)</f>
        <v>72.5398</v>
      </c>
      <c r="W19" s="61">
        <f>IF(ISERROR(VLOOKUP($T$19,'TAR FIN'!$A$1:$O$85,15,0)),0,VLOOKUP($T$19,'TAR FIN'!$A$1:$O$85,15,0))*(1-0.06)</f>
        <v>62.246799999999993</v>
      </c>
      <c r="X19" s="61">
        <f>IF(ISERROR(VLOOKUP($U$19,'TAR FIN'!$A$1:$O$85,15,0)),0,VLOOKUP($U$19,'TAR FIN'!$A$1:$O$85,15,0))*(1-0.06)</f>
        <v>132.84079999999997</v>
      </c>
      <c r="Y19" s="61">
        <f ca="1">('TUSD BE'!$AM$5+'TUSD BF'!$AM$5+'TUSD CVA'!$AM$5)*1*(1-0.03)</f>
        <v>73.871448621015489</v>
      </c>
      <c r="Z19" s="61">
        <f ca="1">('TUSD BE'!$AM$7+'TUSD BF'!$AM$7+'TUSD CVA'!$AM$7)*1*(1-0.03)</f>
        <v>96.85231722220351</v>
      </c>
      <c r="AA19" s="61">
        <f>('TE BE'!$AB$5+'TE BF'!$AB$5+'TE CVA'!$AB$5)*1*(1-0.03)</f>
        <v>131.73207366460716</v>
      </c>
      <c r="AB19" s="6">
        <f>$K$19*$V$19</f>
        <v>34311.325400000002</v>
      </c>
      <c r="AC19" s="6">
        <f>$M$19*$W$19</f>
        <v>1111.8523415999998</v>
      </c>
      <c r="AD19" s="6">
        <f>$O$19*$X$19</f>
        <v>2372.8023695999991</v>
      </c>
      <c r="AE19" s="6">
        <f ca="1">$K$19*$Y$19</f>
        <v>34941.19519774033</v>
      </c>
      <c r="AF19" s="6">
        <f ca="1">$M$19*$Z$19</f>
        <v>1729.9760902229989</v>
      </c>
      <c r="AG19" s="6">
        <f>$O$19*$AA$19</f>
        <v>2352.9982997972129</v>
      </c>
    </row>
    <row r="20" spans="1:33" ht="11.25" customHeight="1" x14ac:dyDescent="0.25">
      <c r="A20" s="4" t="s">
        <v>21</v>
      </c>
      <c r="B20" s="4" t="s">
        <v>35</v>
      </c>
      <c r="C20" s="4" t="s">
        <v>48</v>
      </c>
      <c r="D20" s="4" t="s">
        <v>46</v>
      </c>
      <c r="E20" s="4" t="s">
        <v>47</v>
      </c>
      <c r="F20" s="4" t="s">
        <v>25</v>
      </c>
      <c r="G20" s="4" t="s">
        <v>25</v>
      </c>
      <c r="H20" s="4" t="s">
        <v>37</v>
      </c>
      <c r="I20" s="5">
        <v>44621</v>
      </c>
      <c r="J20" s="6">
        <v>473</v>
      </c>
      <c r="K20" s="62">
        <v>473</v>
      </c>
      <c r="L20" s="6">
        <v>18.792000000000002</v>
      </c>
      <c r="M20" s="61">
        <v>18.792000000000002</v>
      </c>
      <c r="N20" s="6">
        <v>18.792000000000002</v>
      </c>
      <c r="O20" s="61">
        <v>18.792000000000002</v>
      </c>
      <c r="P20" s="6">
        <v>0</v>
      </c>
      <c r="Q20" s="4" t="s">
        <v>26</v>
      </c>
      <c r="R20" s="4">
        <v>0</v>
      </c>
      <c r="S20" s="6">
        <v>10</v>
      </c>
      <c r="T20" s="6">
        <v>1</v>
      </c>
      <c r="U20" s="6">
        <v>44</v>
      </c>
      <c r="V20" s="61">
        <f>IF(ISERROR(VLOOKUP($S$20,'TAR FIN'!$A$1:$O$85,15,0)),0,VLOOKUP($S$20,'TAR FIN'!$A$1:$O$85,15,0))*(1-0.06)</f>
        <v>72.5398</v>
      </c>
      <c r="W20" s="61">
        <f>IF(ISERROR(VLOOKUP($T$20,'TAR FIN'!$A$1:$O$85,15,0)),0,VLOOKUP($T$20,'TAR FIN'!$A$1:$O$85,15,0))*(1-0.06)</f>
        <v>62.246799999999993</v>
      </c>
      <c r="X20" s="61">
        <f>IF(ISERROR(VLOOKUP($U$20,'TAR FIN'!$A$1:$O$85,15,0)),0,VLOOKUP($U$20,'TAR FIN'!$A$1:$O$85,15,0))*(1-0.06)</f>
        <v>132.84079999999997</v>
      </c>
      <c r="Y20" s="61">
        <f ca="1">('TUSD BE'!$AM$5+'TUSD BF'!$AM$5+'TUSD CVA'!$AM$5)*1*(1-0.03)</f>
        <v>73.871448621015489</v>
      </c>
      <c r="Z20" s="61">
        <f ca="1">('TUSD BE'!$AM$7+'TUSD BF'!$AM$7+'TUSD CVA'!$AM$7)*1*(1-0.03)</f>
        <v>96.85231722220351</v>
      </c>
      <c r="AA20" s="61">
        <f>('TE BE'!$AB$5+'TE BF'!$AB$5+'TE CVA'!$AB$5)*1*(1-0.03)</f>
        <v>131.73207366460716</v>
      </c>
      <c r="AB20" s="6">
        <f>$K$20*$V$20</f>
        <v>34311.325400000002</v>
      </c>
      <c r="AC20" s="6">
        <f>$M$20*$W$20</f>
        <v>1169.7418656</v>
      </c>
      <c r="AD20" s="6">
        <f>$O$20*$X$20</f>
        <v>2496.3443135999996</v>
      </c>
      <c r="AE20" s="6">
        <f ca="1">$K$20*$Y$20</f>
        <v>34941.19519774033</v>
      </c>
      <c r="AF20" s="6">
        <f ca="1">$M$20*$Z$20</f>
        <v>1820.0487452396485</v>
      </c>
      <c r="AG20" s="6">
        <f>$O$20*$AA$20</f>
        <v>2475.509128305298</v>
      </c>
    </row>
    <row r="21" spans="1:33" ht="11.25" customHeight="1" x14ac:dyDescent="0.25">
      <c r="A21" s="4" t="s">
        <v>21</v>
      </c>
      <c r="B21" s="4" t="s">
        <v>35</v>
      </c>
      <c r="C21" s="4" t="s">
        <v>48</v>
      </c>
      <c r="D21" s="4" t="s">
        <v>46</v>
      </c>
      <c r="E21" s="4" t="s">
        <v>47</v>
      </c>
      <c r="F21" s="4" t="s">
        <v>25</v>
      </c>
      <c r="G21" s="4" t="s">
        <v>25</v>
      </c>
      <c r="H21" s="4" t="s">
        <v>37</v>
      </c>
      <c r="I21" s="5">
        <v>44652</v>
      </c>
      <c r="J21" s="6">
        <v>481</v>
      </c>
      <c r="K21" s="62">
        <v>481</v>
      </c>
      <c r="L21" s="6">
        <v>17.777000000000001</v>
      </c>
      <c r="M21" s="61">
        <v>17.777000000000001</v>
      </c>
      <c r="N21" s="6">
        <v>17.777000000000001</v>
      </c>
      <c r="O21" s="61">
        <v>17.777000000000001</v>
      </c>
      <c r="P21" s="6">
        <v>0</v>
      </c>
      <c r="Q21" s="4" t="s">
        <v>26</v>
      </c>
      <c r="R21" s="4">
        <v>0</v>
      </c>
      <c r="S21" s="6">
        <v>10</v>
      </c>
      <c r="T21" s="6">
        <v>1</v>
      </c>
      <c r="U21" s="6">
        <v>44</v>
      </c>
      <c r="V21" s="61">
        <f>IF(ISERROR(VLOOKUP($S$21,'TAR FIN'!$A$1:$O$85,15,0)),0,VLOOKUP($S$21,'TAR FIN'!$A$1:$O$85,15,0))*(1-0.06)</f>
        <v>72.5398</v>
      </c>
      <c r="W21" s="61">
        <f>IF(ISERROR(VLOOKUP($T$21,'TAR FIN'!$A$1:$O$85,15,0)),0,VLOOKUP($T$21,'TAR FIN'!$A$1:$O$85,15,0))*(1-0.06)</f>
        <v>62.246799999999993</v>
      </c>
      <c r="X21" s="61">
        <f>IF(ISERROR(VLOOKUP($U$21,'TAR FIN'!$A$1:$O$85,15,0)),0,VLOOKUP($U$21,'TAR FIN'!$A$1:$O$85,15,0))*(1-0.06)</f>
        <v>132.84079999999997</v>
      </c>
      <c r="Y21" s="61">
        <f ca="1">('TUSD BE'!$AM$5+'TUSD BF'!$AM$5+'TUSD CVA'!$AM$5)*1*(1-0.03)</f>
        <v>73.871448621015489</v>
      </c>
      <c r="Z21" s="61">
        <f ca="1">('TUSD BE'!$AM$7+'TUSD BF'!$AM$7+'TUSD CVA'!$AM$7)*1*(1-0.03)</f>
        <v>96.85231722220351</v>
      </c>
      <c r="AA21" s="61">
        <f>('TE BE'!$AB$5+'TE BF'!$AB$5+'TE CVA'!$AB$5)*1*(1-0.03)</f>
        <v>131.73207366460716</v>
      </c>
      <c r="AB21" s="6">
        <f>$K$21*$V$21</f>
        <v>34891.643799999998</v>
      </c>
      <c r="AC21" s="6">
        <f>$M$21*$W$21</f>
        <v>1106.5613636</v>
      </c>
      <c r="AD21" s="6">
        <f>$O$21*$X$21</f>
        <v>2361.5109015999997</v>
      </c>
      <c r="AE21" s="6">
        <f ca="1">$K$21*$Y$21</f>
        <v>35532.166786708447</v>
      </c>
      <c r="AF21" s="6">
        <f ca="1">$M$21*$Z$21</f>
        <v>1721.7436432591119</v>
      </c>
      <c r="AG21" s="6">
        <f>$O$21*$AA$21</f>
        <v>2341.8010735357216</v>
      </c>
    </row>
    <row r="22" spans="1:33" ht="11.25" customHeight="1" x14ac:dyDescent="0.25">
      <c r="A22" s="4" t="s">
        <v>21</v>
      </c>
      <c r="B22" s="4" t="s">
        <v>35</v>
      </c>
      <c r="C22" s="4" t="s">
        <v>48</v>
      </c>
      <c r="D22" s="4" t="s">
        <v>46</v>
      </c>
      <c r="E22" s="4" t="s">
        <v>47</v>
      </c>
      <c r="F22" s="4" t="s">
        <v>25</v>
      </c>
      <c r="G22" s="4" t="s">
        <v>25</v>
      </c>
      <c r="H22" s="4" t="s">
        <v>37</v>
      </c>
      <c r="I22" s="5">
        <v>44682</v>
      </c>
      <c r="J22" s="6">
        <v>485</v>
      </c>
      <c r="K22" s="62">
        <v>485</v>
      </c>
      <c r="L22" s="6">
        <v>26.413</v>
      </c>
      <c r="M22" s="61">
        <v>26.413</v>
      </c>
      <c r="N22" s="6">
        <v>26.413</v>
      </c>
      <c r="O22" s="61">
        <v>26.413</v>
      </c>
      <c r="P22" s="6">
        <v>0</v>
      </c>
      <c r="Q22" s="4" t="s">
        <v>26</v>
      </c>
      <c r="R22" s="4">
        <v>0</v>
      </c>
      <c r="S22" s="6">
        <v>10</v>
      </c>
      <c r="T22" s="6">
        <v>1</v>
      </c>
      <c r="U22" s="6">
        <v>44</v>
      </c>
      <c r="V22" s="61">
        <f>IF(ISERROR(VLOOKUP($S$22,'TAR FIN'!$A$1:$O$85,15,0)),0,VLOOKUP($S$22,'TAR FIN'!$A$1:$O$85,15,0))*(1-0.06)</f>
        <v>72.5398</v>
      </c>
      <c r="W22" s="61">
        <f>IF(ISERROR(VLOOKUP($T$22,'TAR FIN'!$A$1:$O$85,15,0)),0,VLOOKUP($T$22,'TAR FIN'!$A$1:$O$85,15,0))*(1-0.06)</f>
        <v>62.246799999999993</v>
      </c>
      <c r="X22" s="61">
        <f>IF(ISERROR(VLOOKUP($U$22,'TAR FIN'!$A$1:$O$85,15,0)),0,VLOOKUP($U$22,'TAR FIN'!$A$1:$O$85,15,0))*(1-0.06)</f>
        <v>132.84079999999997</v>
      </c>
      <c r="Y22" s="61">
        <f ca="1">('TUSD BE'!$AM$5+'TUSD BF'!$AM$5+'TUSD CVA'!$AM$5)*1*(1-0.03)</f>
        <v>73.871448621015489</v>
      </c>
      <c r="Z22" s="61">
        <f ca="1">('TUSD BE'!$AM$7+'TUSD BF'!$AM$7+'TUSD CVA'!$AM$7)*1*(1-0.03)</f>
        <v>96.85231722220351</v>
      </c>
      <c r="AA22" s="61">
        <f>('TE BE'!$AB$5+'TE BF'!$AB$5+'TE CVA'!$AB$5)*1*(1-0.03)</f>
        <v>131.73207366460716</v>
      </c>
      <c r="AB22" s="6">
        <f>$K$22*$V$22</f>
        <v>35181.803</v>
      </c>
      <c r="AC22" s="6">
        <f>$M$22*$W$22</f>
        <v>1644.1247283999999</v>
      </c>
      <c r="AD22" s="6">
        <f>$O$22*$X$22</f>
        <v>3508.7240503999992</v>
      </c>
      <c r="AE22" s="6">
        <f ca="1">$K$22*$Y$22</f>
        <v>35827.652581192509</v>
      </c>
      <c r="AF22" s="6">
        <f ca="1">$M$22*$Z$22</f>
        <v>2558.1602547900611</v>
      </c>
      <c r="AG22" s="6">
        <f>$O$22*$AA$22</f>
        <v>3479.439261703269</v>
      </c>
    </row>
    <row r="23" spans="1:33" ht="11.25" customHeight="1" x14ac:dyDescent="0.25">
      <c r="A23" s="4" t="s">
        <v>21</v>
      </c>
      <c r="B23" s="4" t="s">
        <v>35</v>
      </c>
      <c r="C23" s="4" t="s">
        <v>48</v>
      </c>
      <c r="D23" s="4" t="s">
        <v>46</v>
      </c>
      <c r="E23" s="4" t="s">
        <v>47</v>
      </c>
      <c r="F23" s="4" t="s">
        <v>25</v>
      </c>
      <c r="G23" s="4" t="s">
        <v>25</v>
      </c>
      <c r="H23" s="4" t="s">
        <v>37</v>
      </c>
      <c r="I23" s="5">
        <v>44713</v>
      </c>
      <c r="J23" s="6">
        <v>483</v>
      </c>
      <c r="K23" s="62">
        <v>483</v>
      </c>
      <c r="L23" s="6">
        <v>27.216000000000001</v>
      </c>
      <c r="M23" s="61">
        <v>27.216000000000001</v>
      </c>
      <c r="N23" s="6">
        <v>27.216000000000001</v>
      </c>
      <c r="O23" s="61">
        <v>27.216000000000001</v>
      </c>
      <c r="P23" s="6">
        <v>0</v>
      </c>
      <c r="Q23" s="4" t="s">
        <v>26</v>
      </c>
      <c r="R23" s="4">
        <v>0</v>
      </c>
      <c r="S23" s="6">
        <v>10</v>
      </c>
      <c r="T23" s="6">
        <v>1</v>
      </c>
      <c r="U23" s="6">
        <v>44</v>
      </c>
      <c r="V23" s="61">
        <f>IF(ISERROR(VLOOKUP($S$23,'TAR FIN'!$A$1:$O$85,15,0)),0,VLOOKUP($S$23,'TAR FIN'!$A$1:$O$85,15,0))*(1-0.06)</f>
        <v>72.5398</v>
      </c>
      <c r="W23" s="61">
        <f>IF(ISERROR(VLOOKUP($T$23,'TAR FIN'!$A$1:$O$85,15,0)),0,VLOOKUP($T$23,'TAR FIN'!$A$1:$O$85,15,0))*(1-0.06)</f>
        <v>62.246799999999993</v>
      </c>
      <c r="X23" s="61">
        <f>IF(ISERROR(VLOOKUP($U$23,'TAR FIN'!$A$1:$O$85,15,0)),0,VLOOKUP($U$23,'TAR FIN'!$A$1:$O$85,15,0))*(1-0.06)</f>
        <v>132.84079999999997</v>
      </c>
      <c r="Y23" s="61">
        <f ca="1">('TUSD BE'!$AM$5+'TUSD BF'!$AM$5+'TUSD CVA'!$AM$5)*1*(1-0.03)</f>
        <v>73.871448621015489</v>
      </c>
      <c r="Z23" s="61">
        <f ca="1">('TUSD BE'!$AM$7+'TUSD BF'!$AM$7+'TUSD CVA'!$AM$7)*1*(1-0.03)</f>
        <v>96.85231722220351</v>
      </c>
      <c r="AA23" s="61">
        <f>('TE BE'!$AB$5+'TE BF'!$AB$5+'TE CVA'!$AB$5)*1*(1-0.03)</f>
        <v>131.73207366460716</v>
      </c>
      <c r="AB23" s="6">
        <f>$K$23*$V$23</f>
        <v>35036.723400000003</v>
      </c>
      <c r="AC23" s="6">
        <f>$M$23*$W$23</f>
        <v>1694.1089087999999</v>
      </c>
      <c r="AD23" s="6">
        <f>$O$23*$X$23</f>
        <v>3615.3952127999996</v>
      </c>
      <c r="AE23" s="6">
        <f ca="1">$K$23*$Y$23</f>
        <v>35679.909683950478</v>
      </c>
      <c r="AF23" s="6">
        <f ca="1">$M$23*$Z$23</f>
        <v>2635.9326655194909</v>
      </c>
      <c r="AG23" s="6">
        <f>$O$23*$AA$23</f>
        <v>3585.2201168559486</v>
      </c>
    </row>
    <row r="24" spans="1:33" ht="11.25" customHeight="1" x14ac:dyDescent="0.25">
      <c r="A24" s="4" t="s">
        <v>21</v>
      </c>
      <c r="B24" s="4" t="s">
        <v>35</v>
      </c>
      <c r="C24" s="4" t="s">
        <v>48</v>
      </c>
      <c r="D24" s="4" t="s">
        <v>46</v>
      </c>
      <c r="E24" s="4" t="s">
        <v>47</v>
      </c>
      <c r="F24" s="4" t="s">
        <v>25</v>
      </c>
      <c r="G24" s="4" t="s">
        <v>25</v>
      </c>
      <c r="H24" s="4" t="s">
        <v>37</v>
      </c>
      <c r="I24" s="5">
        <v>44743</v>
      </c>
      <c r="J24" s="6">
        <v>480</v>
      </c>
      <c r="K24" s="62">
        <v>480</v>
      </c>
      <c r="L24" s="6">
        <v>25.218</v>
      </c>
      <c r="M24" s="61">
        <v>25.218</v>
      </c>
      <c r="N24" s="6">
        <v>25.218</v>
      </c>
      <c r="O24" s="61">
        <v>25.218</v>
      </c>
      <c r="P24" s="6">
        <v>0</v>
      </c>
      <c r="Q24" s="4" t="s">
        <v>26</v>
      </c>
      <c r="R24" s="4">
        <v>0</v>
      </c>
      <c r="S24" s="6">
        <v>10</v>
      </c>
      <c r="T24" s="6">
        <v>1</v>
      </c>
      <c r="U24" s="6">
        <v>44</v>
      </c>
      <c r="V24" s="61">
        <f>IF(ISERROR(VLOOKUP($S$24,'TAR FIN'!$A$1:$O$85,15,0)),0,VLOOKUP($S$24,'TAR FIN'!$A$1:$O$85,15,0))*(1-0.06)</f>
        <v>72.5398</v>
      </c>
      <c r="W24" s="61">
        <f>IF(ISERROR(VLOOKUP($T$24,'TAR FIN'!$A$1:$O$85,15,0)),0,VLOOKUP($T$24,'TAR FIN'!$A$1:$O$85,15,0))*(1-0.06)</f>
        <v>62.246799999999993</v>
      </c>
      <c r="X24" s="61">
        <f>IF(ISERROR(VLOOKUP($U$24,'TAR FIN'!$A$1:$O$85,15,0)),0,VLOOKUP($U$24,'TAR FIN'!$A$1:$O$85,15,0))*(1-0.06)</f>
        <v>132.84079999999997</v>
      </c>
      <c r="Y24" s="61">
        <f ca="1">('TUSD BE'!$AM$5+'TUSD BF'!$AM$5+'TUSD CVA'!$AM$5)*1*(1-0.03)</f>
        <v>73.871448621015489</v>
      </c>
      <c r="Z24" s="61">
        <f ca="1">('TUSD BE'!$AM$7+'TUSD BF'!$AM$7+'TUSD CVA'!$AM$7)*1*(1-0.03)</f>
        <v>96.85231722220351</v>
      </c>
      <c r="AA24" s="61">
        <f>('TE BE'!$AB$5+'TE BF'!$AB$5+'TE CVA'!$AB$5)*1*(1-0.03)</f>
        <v>131.73207366460716</v>
      </c>
      <c r="AB24" s="6">
        <f>$K$24*$V$24</f>
        <v>34819.103999999999</v>
      </c>
      <c r="AC24" s="6">
        <f>$M$24*$W$24</f>
        <v>1569.7398023999999</v>
      </c>
      <c r="AD24" s="6">
        <f>$O$24*$X$24</f>
        <v>3349.9792943999992</v>
      </c>
      <c r="AE24" s="6">
        <f ca="1">$K$24*$Y$24</f>
        <v>35458.295338087431</v>
      </c>
      <c r="AF24" s="6">
        <f ca="1">$M$24*$Z$24</f>
        <v>2442.4217357095281</v>
      </c>
      <c r="AG24" s="6">
        <f>$O$24*$AA$24</f>
        <v>3322.0194336740633</v>
      </c>
    </row>
    <row r="25" spans="1:33" ht="11.25" customHeight="1" x14ac:dyDescent="0.25">
      <c r="A25" s="4" t="s">
        <v>21</v>
      </c>
      <c r="B25" s="4" t="s">
        <v>35</v>
      </c>
      <c r="C25" s="4" t="s">
        <v>48</v>
      </c>
      <c r="D25" s="4" t="s">
        <v>46</v>
      </c>
      <c r="E25" s="4" t="s">
        <v>47</v>
      </c>
      <c r="F25" s="4" t="s">
        <v>25</v>
      </c>
      <c r="G25" s="4" t="s">
        <v>25</v>
      </c>
      <c r="H25" s="4" t="s">
        <v>37</v>
      </c>
      <c r="I25" s="5">
        <v>44774</v>
      </c>
      <c r="J25" s="6">
        <v>510</v>
      </c>
      <c r="K25" s="62">
        <v>510</v>
      </c>
      <c r="L25" s="6">
        <v>23.26</v>
      </c>
      <c r="M25" s="61">
        <v>23.26</v>
      </c>
      <c r="N25" s="6">
        <v>23.26</v>
      </c>
      <c r="O25" s="61">
        <v>23.26</v>
      </c>
      <c r="P25" s="6">
        <v>0</v>
      </c>
      <c r="Q25" s="4" t="s">
        <v>26</v>
      </c>
      <c r="R25" s="4">
        <v>0</v>
      </c>
      <c r="S25" s="6">
        <v>10</v>
      </c>
      <c r="T25" s="6">
        <v>1</v>
      </c>
      <c r="U25" s="6">
        <v>44</v>
      </c>
      <c r="V25" s="61">
        <f>IF(ISERROR(VLOOKUP($S$25,'TAR FIN'!$A$1:$O$85,15,0)),0,VLOOKUP($S$25,'TAR FIN'!$A$1:$O$85,15,0))*(1-0.06)</f>
        <v>72.5398</v>
      </c>
      <c r="W25" s="61">
        <f>IF(ISERROR(VLOOKUP($T$25,'TAR FIN'!$A$1:$O$85,15,0)),0,VLOOKUP($T$25,'TAR FIN'!$A$1:$O$85,15,0))*(1-0.06)</f>
        <v>62.246799999999993</v>
      </c>
      <c r="X25" s="61">
        <f>IF(ISERROR(VLOOKUP($U$25,'TAR FIN'!$A$1:$O$85,15,0)),0,VLOOKUP($U$25,'TAR FIN'!$A$1:$O$85,15,0))*(1-0.06)</f>
        <v>132.84079999999997</v>
      </c>
      <c r="Y25" s="61">
        <f ca="1">('TUSD BE'!$AM$5+'TUSD BF'!$AM$5+'TUSD CVA'!$AM$5)*1*(1-0.03)</f>
        <v>73.871448621015489</v>
      </c>
      <c r="Z25" s="61">
        <f ca="1">('TUSD BE'!$AM$7+'TUSD BF'!$AM$7+'TUSD CVA'!$AM$7)*1*(1-0.03)</f>
        <v>96.85231722220351</v>
      </c>
      <c r="AA25" s="61">
        <f>('TE BE'!$AB$5+'TE BF'!$AB$5+'TE CVA'!$AB$5)*1*(1-0.03)</f>
        <v>131.73207366460716</v>
      </c>
      <c r="AB25" s="6">
        <f>$K$25*$V$25</f>
        <v>36995.298000000003</v>
      </c>
      <c r="AC25" s="6">
        <f>$M$25*$W$25</f>
        <v>1447.8605679999998</v>
      </c>
      <c r="AD25" s="6">
        <f>$O$25*$X$25</f>
        <v>3089.8770079999995</v>
      </c>
      <c r="AE25" s="6">
        <f ca="1">$K$25*$Y$25</f>
        <v>37674.438796717899</v>
      </c>
      <c r="AF25" s="6">
        <f ca="1">$M$25*$Z$25</f>
        <v>2252.7848985884539</v>
      </c>
      <c r="AG25" s="6">
        <f>$O$25*$AA$25</f>
        <v>3064.0880334387625</v>
      </c>
    </row>
    <row r="26" spans="1:33" ht="11.25" customHeight="1" x14ac:dyDescent="0.25">
      <c r="A26" s="4" t="s">
        <v>21</v>
      </c>
      <c r="B26" s="4" t="s">
        <v>35</v>
      </c>
      <c r="C26" s="4" t="s">
        <v>53</v>
      </c>
      <c r="D26" s="4" t="s">
        <v>25</v>
      </c>
      <c r="E26" s="4" t="s">
        <v>25</v>
      </c>
      <c r="F26" s="4" t="s">
        <v>25</v>
      </c>
      <c r="G26" s="4" t="s">
        <v>54</v>
      </c>
      <c r="H26" s="4" t="s">
        <v>25</v>
      </c>
      <c r="I26" s="5">
        <v>44440</v>
      </c>
      <c r="J26" s="6">
        <v>909</v>
      </c>
      <c r="K26" s="6">
        <v>909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4" t="s">
        <v>55</v>
      </c>
      <c r="R26" s="4">
        <v>35415</v>
      </c>
      <c r="S26" s="6">
        <v>7</v>
      </c>
      <c r="T26" s="6">
        <v>0</v>
      </c>
      <c r="U26" s="6">
        <v>0</v>
      </c>
      <c r="V26" s="6">
        <f>IF(ISERROR(VLOOKUP($S$26,'TAR FIN'!$A$1:$O$85,15,0)),0,VLOOKUP($S$26,'TAR FIN'!$A$1:$O$85,15,0))</f>
        <v>3.37</v>
      </c>
      <c r="W26" s="6">
        <f>IF(ISERROR(VLOOKUP($T$26,'TAR FIN'!$A$1:$O$85,15,0)),0,VLOOKUP($T$26,'TAR FIN'!$A$1:$O$85,15,0))</f>
        <v>0</v>
      </c>
      <c r="X26" s="6">
        <f>IF(ISERROR(VLOOKUP($U$26,'TAR FIN'!$A$1:$O$85,15,0)),0,VLOOKUP($U$26,'TAR FIN'!$A$1:$O$85,15,0))</f>
        <v>0</v>
      </c>
      <c r="Y26" s="6">
        <f ca="1">('TUSD BE'!$AM$9+'TUSD BF'!$AM$9+'TUSD CVA'!$AM$9)*1</f>
        <v>3.410508540351314</v>
      </c>
      <c r="Z26" s="6"/>
      <c r="AA26" s="6"/>
      <c r="AB26" s="6">
        <f>$K$26*$V$26</f>
        <v>3063.33</v>
      </c>
      <c r="AC26" s="6">
        <f>$M$26*$W$26</f>
        <v>0</v>
      </c>
      <c r="AD26" s="6">
        <f>$O$26*$X$26</f>
        <v>0</v>
      </c>
      <c r="AE26" s="6">
        <f ca="1">$K$26*$Y$26</f>
        <v>3100.1522631793446</v>
      </c>
      <c r="AF26" s="6">
        <f>$M$26*$Z$26</f>
        <v>0</v>
      </c>
      <c r="AG26" s="6">
        <f>$O$26*$AA$26</f>
        <v>0</v>
      </c>
    </row>
    <row r="27" spans="1:33" ht="11.25" customHeight="1" x14ac:dyDescent="0.25">
      <c r="A27" s="4" t="s">
        <v>21</v>
      </c>
      <c r="B27" s="4" t="s">
        <v>35</v>
      </c>
      <c r="C27" s="4" t="s">
        <v>53</v>
      </c>
      <c r="D27" s="4" t="s">
        <v>25</v>
      </c>
      <c r="E27" s="4" t="s">
        <v>25</v>
      </c>
      <c r="F27" s="4" t="s">
        <v>25</v>
      </c>
      <c r="G27" s="4" t="s">
        <v>54</v>
      </c>
      <c r="H27" s="4" t="s">
        <v>25</v>
      </c>
      <c r="I27" s="5">
        <v>44470</v>
      </c>
      <c r="J27" s="6">
        <v>909</v>
      </c>
      <c r="K27" s="6">
        <v>454.5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4" t="s">
        <v>55</v>
      </c>
      <c r="R27" s="4">
        <v>35415</v>
      </c>
      <c r="S27" s="6">
        <v>7</v>
      </c>
      <c r="T27" s="6">
        <v>0</v>
      </c>
      <c r="U27" s="6">
        <v>0</v>
      </c>
      <c r="V27" s="6">
        <f>IF(ISERROR(VLOOKUP($S$27,'TAR FIN'!$A$1:$O$85,15,0)),0,VLOOKUP($S$27,'TAR FIN'!$A$1:$O$85,15,0))</f>
        <v>3.37</v>
      </c>
      <c r="W27" s="6">
        <f>IF(ISERROR(VLOOKUP($T$27,'TAR FIN'!$A$1:$O$85,15,0)),0,VLOOKUP($T$27,'TAR FIN'!$A$1:$O$85,15,0))</f>
        <v>0</v>
      </c>
      <c r="X27" s="6">
        <f>IF(ISERROR(VLOOKUP($U$27,'TAR FIN'!$A$1:$O$85,15,0)),0,VLOOKUP($U$27,'TAR FIN'!$A$1:$O$85,15,0))</f>
        <v>0</v>
      </c>
      <c r="Y27" s="6">
        <f ca="1">('TUSD BE'!$AM$9+'TUSD BF'!$AM$9+'TUSD CVA'!$AM$9)*1</f>
        <v>3.410508540351314</v>
      </c>
      <c r="Z27" s="6"/>
      <c r="AA27" s="6"/>
      <c r="AB27" s="6">
        <f>$K$27*$V$27</f>
        <v>1531.665</v>
      </c>
      <c r="AC27" s="6">
        <f>$M$27*$W$27</f>
        <v>0</v>
      </c>
      <c r="AD27" s="6">
        <f>$O$27*$X$27</f>
        <v>0</v>
      </c>
      <c r="AE27" s="6">
        <f ca="1">$K$27*$Y$27</f>
        <v>1550.0761315896723</v>
      </c>
      <c r="AF27" s="6">
        <f>$M$27*$Z$27</f>
        <v>0</v>
      </c>
      <c r="AG27" s="6">
        <f>$O$27*$AA$27</f>
        <v>0</v>
      </c>
    </row>
    <row r="28" spans="1:33" ht="11.25" customHeight="1" x14ac:dyDescent="0.25">
      <c r="A28" s="4" t="s">
        <v>21</v>
      </c>
      <c r="B28" s="4" t="s">
        <v>35</v>
      </c>
      <c r="C28" s="4" t="s">
        <v>53</v>
      </c>
      <c r="D28" s="4" t="s">
        <v>25</v>
      </c>
      <c r="E28" s="4" t="s">
        <v>25</v>
      </c>
      <c r="F28" s="4" t="s">
        <v>25</v>
      </c>
      <c r="G28" s="4" t="s">
        <v>54</v>
      </c>
      <c r="H28" s="4" t="s">
        <v>25</v>
      </c>
      <c r="I28" s="5">
        <v>44501</v>
      </c>
      <c r="J28" s="6">
        <v>909</v>
      </c>
      <c r="K28" s="6">
        <v>454.5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4" t="s">
        <v>55</v>
      </c>
      <c r="R28" s="4">
        <v>35415</v>
      </c>
      <c r="S28" s="6">
        <v>7</v>
      </c>
      <c r="T28" s="6">
        <v>0</v>
      </c>
      <c r="U28" s="6">
        <v>0</v>
      </c>
      <c r="V28" s="6">
        <f>IF(ISERROR(VLOOKUP($S$28,'TAR FIN'!$A$1:$O$85,15,0)),0,VLOOKUP($S$28,'TAR FIN'!$A$1:$O$85,15,0))</f>
        <v>3.37</v>
      </c>
      <c r="W28" s="6">
        <f>IF(ISERROR(VLOOKUP($T$28,'TAR FIN'!$A$1:$O$85,15,0)),0,VLOOKUP($T$28,'TAR FIN'!$A$1:$O$85,15,0))</f>
        <v>0</v>
      </c>
      <c r="X28" s="6">
        <f>IF(ISERROR(VLOOKUP($U$28,'TAR FIN'!$A$1:$O$85,15,0)),0,VLOOKUP($U$28,'TAR FIN'!$A$1:$O$85,15,0))</f>
        <v>0</v>
      </c>
      <c r="Y28" s="6">
        <f ca="1">('TUSD BE'!$AM$9+'TUSD BF'!$AM$9+'TUSD CVA'!$AM$9)*1</f>
        <v>3.410508540351314</v>
      </c>
      <c r="Z28" s="6"/>
      <c r="AA28" s="6"/>
      <c r="AB28" s="6">
        <f>$K$28*$V$28</f>
        <v>1531.665</v>
      </c>
      <c r="AC28" s="6">
        <f>$M$28*$W$28</f>
        <v>0</v>
      </c>
      <c r="AD28" s="6">
        <f>$O$28*$X$28</f>
        <v>0</v>
      </c>
      <c r="AE28" s="6">
        <f ca="1">$K$28*$Y$28</f>
        <v>1550.0761315896723</v>
      </c>
      <c r="AF28" s="6">
        <f>$M$28*$Z$28</f>
        <v>0</v>
      </c>
      <c r="AG28" s="6">
        <f>$O$28*$AA$28</f>
        <v>0</v>
      </c>
    </row>
    <row r="29" spans="1:33" ht="11.25" customHeight="1" x14ac:dyDescent="0.25">
      <c r="A29" s="4" t="s">
        <v>21</v>
      </c>
      <c r="B29" s="4" t="s">
        <v>35</v>
      </c>
      <c r="C29" s="4" t="s">
        <v>53</v>
      </c>
      <c r="D29" s="4" t="s">
        <v>25</v>
      </c>
      <c r="E29" s="4" t="s">
        <v>25</v>
      </c>
      <c r="F29" s="4" t="s">
        <v>25</v>
      </c>
      <c r="G29" s="4" t="s">
        <v>54</v>
      </c>
      <c r="H29" s="4" t="s">
        <v>25</v>
      </c>
      <c r="I29" s="5">
        <v>44531</v>
      </c>
      <c r="J29" s="6">
        <v>909</v>
      </c>
      <c r="K29" s="6">
        <v>454.5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4" t="s">
        <v>55</v>
      </c>
      <c r="R29" s="4">
        <v>35415</v>
      </c>
      <c r="S29" s="6">
        <v>7</v>
      </c>
      <c r="T29" s="6">
        <v>0</v>
      </c>
      <c r="U29" s="6">
        <v>0</v>
      </c>
      <c r="V29" s="6">
        <f>IF(ISERROR(VLOOKUP($S$29,'TAR FIN'!$A$1:$O$85,15,0)),0,VLOOKUP($S$29,'TAR FIN'!$A$1:$O$85,15,0))</f>
        <v>3.37</v>
      </c>
      <c r="W29" s="6">
        <f>IF(ISERROR(VLOOKUP($T$29,'TAR FIN'!$A$1:$O$85,15,0)),0,VLOOKUP($T$29,'TAR FIN'!$A$1:$O$85,15,0))</f>
        <v>0</v>
      </c>
      <c r="X29" s="6">
        <f>IF(ISERROR(VLOOKUP($U$29,'TAR FIN'!$A$1:$O$85,15,0)),0,VLOOKUP($U$29,'TAR FIN'!$A$1:$O$85,15,0))</f>
        <v>0</v>
      </c>
      <c r="Y29" s="6">
        <f ca="1">('TUSD BE'!$AM$9+'TUSD BF'!$AM$9+'TUSD CVA'!$AM$9)*1</f>
        <v>3.410508540351314</v>
      </c>
      <c r="Z29" s="6"/>
      <c r="AA29" s="6"/>
      <c r="AB29" s="6">
        <f>$K$29*$V$29</f>
        <v>1531.665</v>
      </c>
      <c r="AC29" s="6">
        <f>$M$29*$W$29</f>
        <v>0</v>
      </c>
      <c r="AD29" s="6">
        <f>$O$29*$X$29</f>
        <v>0</v>
      </c>
      <c r="AE29" s="6">
        <f ca="1">$K$29*$Y$29</f>
        <v>1550.0761315896723</v>
      </c>
      <c r="AF29" s="6">
        <f>$M$29*$Z$29</f>
        <v>0</v>
      </c>
      <c r="AG29" s="6">
        <f>$O$29*$AA$29</f>
        <v>0</v>
      </c>
    </row>
    <row r="30" spans="1:33" ht="11.25" customHeight="1" x14ac:dyDescent="0.25">
      <c r="A30" s="4" t="s">
        <v>21</v>
      </c>
      <c r="B30" s="4" t="s">
        <v>35</v>
      </c>
      <c r="C30" s="4" t="s">
        <v>53</v>
      </c>
      <c r="D30" s="4" t="s">
        <v>25</v>
      </c>
      <c r="E30" s="4" t="s">
        <v>25</v>
      </c>
      <c r="F30" s="4" t="s">
        <v>25</v>
      </c>
      <c r="G30" s="4" t="s">
        <v>54</v>
      </c>
      <c r="H30" s="4" t="s">
        <v>25</v>
      </c>
      <c r="I30" s="5">
        <v>44562</v>
      </c>
      <c r="J30" s="6">
        <v>909</v>
      </c>
      <c r="K30" s="6">
        <v>454.5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4" t="s">
        <v>55</v>
      </c>
      <c r="R30" s="4">
        <v>35415</v>
      </c>
      <c r="S30" s="6">
        <v>7</v>
      </c>
      <c r="T30" s="6">
        <v>0</v>
      </c>
      <c r="U30" s="6">
        <v>0</v>
      </c>
      <c r="V30" s="6">
        <f>IF(ISERROR(VLOOKUP($S$30,'TAR FIN'!$A$1:$O$85,15,0)),0,VLOOKUP($S$30,'TAR FIN'!$A$1:$O$85,15,0))</f>
        <v>3.37</v>
      </c>
      <c r="W30" s="6">
        <f>IF(ISERROR(VLOOKUP($T$30,'TAR FIN'!$A$1:$O$85,15,0)),0,VLOOKUP($T$30,'TAR FIN'!$A$1:$O$85,15,0))</f>
        <v>0</v>
      </c>
      <c r="X30" s="6">
        <f>IF(ISERROR(VLOOKUP($U$30,'TAR FIN'!$A$1:$O$85,15,0)),0,VLOOKUP($U$30,'TAR FIN'!$A$1:$O$85,15,0))</f>
        <v>0</v>
      </c>
      <c r="Y30" s="6">
        <f ca="1">('TUSD BE'!$AM$9+'TUSD BF'!$AM$9+'TUSD CVA'!$AM$9)*1</f>
        <v>3.410508540351314</v>
      </c>
      <c r="Z30" s="6"/>
      <c r="AA30" s="6"/>
      <c r="AB30" s="6">
        <f>$K$30*$V$30</f>
        <v>1531.665</v>
      </c>
      <c r="AC30" s="6">
        <f>$M$30*$W$30</f>
        <v>0</v>
      </c>
      <c r="AD30" s="6">
        <f>$O$30*$X$30</f>
        <v>0</v>
      </c>
      <c r="AE30" s="6">
        <f ca="1">$K$30*$Y$30</f>
        <v>1550.0761315896723</v>
      </c>
      <c r="AF30" s="6">
        <f>$M$30*$Z$30</f>
        <v>0</v>
      </c>
      <c r="AG30" s="6">
        <f>$O$30*$AA$30</f>
        <v>0</v>
      </c>
    </row>
    <row r="31" spans="1:33" ht="11.25" customHeight="1" x14ac:dyDescent="0.25">
      <c r="A31" s="4" t="s">
        <v>21</v>
      </c>
      <c r="B31" s="4" t="s">
        <v>35</v>
      </c>
      <c r="C31" s="4" t="s">
        <v>53</v>
      </c>
      <c r="D31" s="4" t="s">
        <v>25</v>
      </c>
      <c r="E31" s="4" t="s">
        <v>25</v>
      </c>
      <c r="F31" s="4" t="s">
        <v>25</v>
      </c>
      <c r="G31" s="4" t="s">
        <v>54</v>
      </c>
      <c r="H31" s="4" t="s">
        <v>25</v>
      </c>
      <c r="I31" s="5">
        <v>44593</v>
      </c>
      <c r="J31" s="6">
        <v>909</v>
      </c>
      <c r="K31" s="6">
        <v>454.5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4" t="s">
        <v>55</v>
      </c>
      <c r="R31" s="4">
        <v>35415</v>
      </c>
      <c r="S31" s="6">
        <v>7</v>
      </c>
      <c r="T31" s="6">
        <v>0</v>
      </c>
      <c r="U31" s="6">
        <v>0</v>
      </c>
      <c r="V31" s="6">
        <f>IF(ISERROR(VLOOKUP($S$31,'TAR FIN'!$A$1:$O$85,15,0)),0,VLOOKUP($S$31,'TAR FIN'!$A$1:$O$85,15,0))</f>
        <v>3.37</v>
      </c>
      <c r="W31" s="6">
        <f>IF(ISERROR(VLOOKUP($T$31,'TAR FIN'!$A$1:$O$85,15,0)),0,VLOOKUP($T$31,'TAR FIN'!$A$1:$O$85,15,0))</f>
        <v>0</v>
      </c>
      <c r="X31" s="6">
        <f>IF(ISERROR(VLOOKUP($U$31,'TAR FIN'!$A$1:$O$85,15,0)),0,VLOOKUP($U$31,'TAR FIN'!$A$1:$O$85,15,0))</f>
        <v>0</v>
      </c>
      <c r="Y31" s="6">
        <f ca="1">('TUSD BE'!$AM$9+'TUSD BF'!$AM$9+'TUSD CVA'!$AM$9)*1</f>
        <v>3.410508540351314</v>
      </c>
      <c r="Z31" s="6"/>
      <c r="AA31" s="6"/>
      <c r="AB31" s="6">
        <f>$K$31*$V$31</f>
        <v>1531.665</v>
      </c>
      <c r="AC31" s="6">
        <f>$M$31*$W$31</f>
        <v>0</v>
      </c>
      <c r="AD31" s="6">
        <f>$O$31*$X$31</f>
        <v>0</v>
      </c>
      <c r="AE31" s="6">
        <f ca="1">$K$31*$Y$31</f>
        <v>1550.0761315896723</v>
      </c>
      <c r="AF31" s="6">
        <f>$M$31*$Z$31</f>
        <v>0</v>
      </c>
      <c r="AG31" s="6">
        <f>$O$31*$AA$31</f>
        <v>0</v>
      </c>
    </row>
    <row r="32" spans="1:33" ht="11.25" customHeight="1" x14ac:dyDescent="0.25">
      <c r="A32" s="4" t="s">
        <v>21</v>
      </c>
      <c r="B32" s="4" t="s">
        <v>35</v>
      </c>
      <c r="C32" s="4" t="s">
        <v>53</v>
      </c>
      <c r="D32" s="4" t="s">
        <v>25</v>
      </c>
      <c r="E32" s="4" t="s">
        <v>25</v>
      </c>
      <c r="F32" s="4" t="s">
        <v>25</v>
      </c>
      <c r="G32" s="4" t="s">
        <v>54</v>
      </c>
      <c r="H32" s="4" t="s">
        <v>25</v>
      </c>
      <c r="I32" s="5">
        <v>44621</v>
      </c>
      <c r="J32" s="6">
        <v>909</v>
      </c>
      <c r="K32" s="6">
        <v>454.5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4" t="s">
        <v>55</v>
      </c>
      <c r="R32" s="4">
        <v>35415</v>
      </c>
      <c r="S32" s="6">
        <v>7</v>
      </c>
      <c r="T32" s="6">
        <v>0</v>
      </c>
      <c r="U32" s="6">
        <v>0</v>
      </c>
      <c r="V32" s="6">
        <f>IF(ISERROR(VLOOKUP($S$32,'TAR FIN'!$A$1:$O$85,15,0)),0,VLOOKUP($S$32,'TAR FIN'!$A$1:$O$85,15,0))</f>
        <v>3.37</v>
      </c>
      <c r="W32" s="6">
        <f>IF(ISERROR(VLOOKUP($T$32,'TAR FIN'!$A$1:$O$85,15,0)),0,VLOOKUP($T$32,'TAR FIN'!$A$1:$O$85,15,0))</f>
        <v>0</v>
      </c>
      <c r="X32" s="6">
        <f>IF(ISERROR(VLOOKUP($U$32,'TAR FIN'!$A$1:$O$85,15,0)),0,VLOOKUP($U$32,'TAR FIN'!$A$1:$O$85,15,0))</f>
        <v>0</v>
      </c>
      <c r="Y32" s="6">
        <f ca="1">('TUSD BE'!$AM$9+'TUSD BF'!$AM$9+'TUSD CVA'!$AM$9)*1</f>
        <v>3.410508540351314</v>
      </c>
      <c r="Z32" s="6"/>
      <c r="AA32" s="6"/>
      <c r="AB32" s="6">
        <f>$K$32*$V$32</f>
        <v>1531.665</v>
      </c>
      <c r="AC32" s="6">
        <f>$M$32*$W$32</f>
        <v>0</v>
      </c>
      <c r="AD32" s="6">
        <f>$O$32*$X$32</f>
        <v>0</v>
      </c>
      <c r="AE32" s="6">
        <f ca="1">$K$32*$Y$32</f>
        <v>1550.0761315896723</v>
      </c>
      <c r="AF32" s="6">
        <f>$M$32*$Z$32</f>
        <v>0</v>
      </c>
      <c r="AG32" s="6">
        <f>$O$32*$AA$32</f>
        <v>0</v>
      </c>
    </row>
    <row r="33" spans="1:33" ht="11.25" customHeight="1" x14ac:dyDescent="0.25">
      <c r="A33" s="4" t="s">
        <v>21</v>
      </c>
      <c r="B33" s="4" t="s">
        <v>35</v>
      </c>
      <c r="C33" s="4" t="s">
        <v>53</v>
      </c>
      <c r="D33" s="4" t="s">
        <v>25</v>
      </c>
      <c r="E33" s="4" t="s">
        <v>25</v>
      </c>
      <c r="F33" s="4" t="s">
        <v>25</v>
      </c>
      <c r="G33" s="4" t="s">
        <v>54</v>
      </c>
      <c r="H33" s="4" t="s">
        <v>25</v>
      </c>
      <c r="I33" s="5">
        <v>44652</v>
      </c>
      <c r="J33" s="6">
        <v>909</v>
      </c>
      <c r="K33" s="6">
        <v>454.5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4" t="s">
        <v>55</v>
      </c>
      <c r="R33" s="4">
        <v>35415</v>
      </c>
      <c r="S33" s="6">
        <v>7</v>
      </c>
      <c r="T33" s="6">
        <v>0</v>
      </c>
      <c r="U33" s="6">
        <v>0</v>
      </c>
      <c r="V33" s="6">
        <f>IF(ISERROR(VLOOKUP($S$33,'TAR FIN'!$A$1:$O$85,15,0)),0,VLOOKUP($S$33,'TAR FIN'!$A$1:$O$85,15,0))</f>
        <v>3.37</v>
      </c>
      <c r="W33" s="6">
        <f>IF(ISERROR(VLOOKUP($T$33,'TAR FIN'!$A$1:$O$85,15,0)),0,VLOOKUP($T$33,'TAR FIN'!$A$1:$O$85,15,0))</f>
        <v>0</v>
      </c>
      <c r="X33" s="6">
        <f>IF(ISERROR(VLOOKUP($U$33,'TAR FIN'!$A$1:$O$85,15,0)),0,VLOOKUP($U$33,'TAR FIN'!$A$1:$O$85,15,0))</f>
        <v>0</v>
      </c>
      <c r="Y33" s="6">
        <f ca="1">('TUSD BE'!$AM$9+'TUSD BF'!$AM$9+'TUSD CVA'!$AM$9)*1</f>
        <v>3.410508540351314</v>
      </c>
      <c r="Z33" s="6"/>
      <c r="AA33" s="6"/>
      <c r="AB33" s="6">
        <f>$K$33*$V$33</f>
        <v>1531.665</v>
      </c>
      <c r="AC33" s="6">
        <f>$M$33*$W$33</f>
        <v>0</v>
      </c>
      <c r="AD33" s="6">
        <f>$O$33*$X$33</f>
        <v>0</v>
      </c>
      <c r="AE33" s="6">
        <f ca="1">$K$33*$Y$33</f>
        <v>1550.0761315896723</v>
      </c>
      <c r="AF33" s="6">
        <f>$M$33*$Z$33</f>
        <v>0</v>
      </c>
      <c r="AG33" s="6">
        <f>$O$33*$AA$33</f>
        <v>0</v>
      </c>
    </row>
    <row r="34" spans="1:33" ht="11.25" customHeight="1" x14ac:dyDescent="0.25">
      <c r="A34" s="4" t="s">
        <v>21</v>
      </c>
      <c r="B34" s="4" t="s">
        <v>35</v>
      </c>
      <c r="C34" s="4" t="s">
        <v>53</v>
      </c>
      <c r="D34" s="4" t="s">
        <v>25</v>
      </c>
      <c r="E34" s="4" t="s">
        <v>25</v>
      </c>
      <c r="F34" s="4" t="s">
        <v>25</v>
      </c>
      <c r="G34" s="4" t="s">
        <v>54</v>
      </c>
      <c r="H34" s="4" t="s">
        <v>25</v>
      </c>
      <c r="I34" s="5">
        <v>44682</v>
      </c>
      <c r="J34" s="6">
        <v>909</v>
      </c>
      <c r="K34" s="6">
        <v>454.5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4" t="s">
        <v>55</v>
      </c>
      <c r="R34" s="4">
        <v>35415</v>
      </c>
      <c r="S34" s="6">
        <v>7</v>
      </c>
      <c r="T34" s="6">
        <v>0</v>
      </c>
      <c r="U34" s="6">
        <v>0</v>
      </c>
      <c r="V34" s="6">
        <f>IF(ISERROR(VLOOKUP($S$34,'TAR FIN'!$A$1:$O$85,15,0)),0,VLOOKUP($S$34,'TAR FIN'!$A$1:$O$85,15,0))</f>
        <v>3.37</v>
      </c>
      <c r="W34" s="6">
        <f>IF(ISERROR(VLOOKUP($T$34,'TAR FIN'!$A$1:$O$85,15,0)),0,VLOOKUP($T$34,'TAR FIN'!$A$1:$O$85,15,0))</f>
        <v>0</v>
      </c>
      <c r="X34" s="6">
        <f>IF(ISERROR(VLOOKUP($U$34,'TAR FIN'!$A$1:$O$85,15,0)),0,VLOOKUP($U$34,'TAR FIN'!$A$1:$O$85,15,0))</f>
        <v>0</v>
      </c>
      <c r="Y34" s="6">
        <f ca="1">('TUSD BE'!$AM$9+'TUSD BF'!$AM$9+'TUSD CVA'!$AM$9)*1</f>
        <v>3.410508540351314</v>
      </c>
      <c r="Z34" s="6"/>
      <c r="AA34" s="6"/>
      <c r="AB34" s="6">
        <f>$K$34*$V$34</f>
        <v>1531.665</v>
      </c>
      <c r="AC34" s="6">
        <f>$M$34*$W$34</f>
        <v>0</v>
      </c>
      <c r="AD34" s="6">
        <f>$O$34*$X$34</f>
        <v>0</v>
      </c>
      <c r="AE34" s="6">
        <f ca="1">$K$34*$Y$34</f>
        <v>1550.0761315896723</v>
      </c>
      <c r="AF34" s="6">
        <f>$M$34*$Z$34</f>
        <v>0</v>
      </c>
      <c r="AG34" s="6">
        <f>$O$34*$AA$34</f>
        <v>0</v>
      </c>
    </row>
    <row r="35" spans="1:33" ht="11.25" customHeight="1" x14ac:dyDescent="0.25">
      <c r="A35" s="4" t="s">
        <v>21</v>
      </c>
      <c r="B35" s="4" t="s">
        <v>35</v>
      </c>
      <c r="C35" s="4" t="s">
        <v>53</v>
      </c>
      <c r="D35" s="4" t="s">
        <v>25</v>
      </c>
      <c r="E35" s="4" t="s">
        <v>25</v>
      </c>
      <c r="F35" s="4" t="s">
        <v>25</v>
      </c>
      <c r="G35" s="4" t="s">
        <v>54</v>
      </c>
      <c r="H35" s="4" t="s">
        <v>25</v>
      </c>
      <c r="I35" s="5">
        <v>44713</v>
      </c>
      <c r="J35" s="6">
        <v>909</v>
      </c>
      <c r="K35" s="6">
        <v>454.5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4" t="s">
        <v>55</v>
      </c>
      <c r="R35" s="4">
        <v>35415</v>
      </c>
      <c r="S35" s="6">
        <v>7</v>
      </c>
      <c r="T35" s="6">
        <v>0</v>
      </c>
      <c r="U35" s="6">
        <v>0</v>
      </c>
      <c r="V35" s="6">
        <f>IF(ISERROR(VLOOKUP($S$35,'TAR FIN'!$A$1:$O$85,15,0)),0,VLOOKUP($S$35,'TAR FIN'!$A$1:$O$85,15,0))</f>
        <v>3.37</v>
      </c>
      <c r="W35" s="6">
        <f>IF(ISERROR(VLOOKUP($T$35,'TAR FIN'!$A$1:$O$85,15,0)),0,VLOOKUP($T$35,'TAR FIN'!$A$1:$O$85,15,0))</f>
        <v>0</v>
      </c>
      <c r="X35" s="6">
        <f>IF(ISERROR(VLOOKUP($U$35,'TAR FIN'!$A$1:$O$85,15,0)),0,VLOOKUP($U$35,'TAR FIN'!$A$1:$O$85,15,0))</f>
        <v>0</v>
      </c>
      <c r="Y35" s="6">
        <f ca="1">('TUSD BE'!$AM$9+'TUSD BF'!$AM$9+'TUSD CVA'!$AM$9)*1</f>
        <v>3.410508540351314</v>
      </c>
      <c r="Z35" s="6"/>
      <c r="AA35" s="6"/>
      <c r="AB35" s="6">
        <f>$K$35*$V$35</f>
        <v>1531.665</v>
      </c>
      <c r="AC35" s="6">
        <f>$M$35*$W$35</f>
        <v>0</v>
      </c>
      <c r="AD35" s="6">
        <f>$O$35*$X$35</f>
        <v>0</v>
      </c>
      <c r="AE35" s="6">
        <f ca="1">$K$35*$Y$35</f>
        <v>1550.0761315896723</v>
      </c>
      <c r="AF35" s="6">
        <f>$M$35*$Z$35</f>
        <v>0</v>
      </c>
      <c r="AG35" s="6">
        <f>$O$35*$AA$35</f>
        <v>0</v>
      </c>
    </row>
    <row r="36" spans="1:33" ht="11.25" customHeight="1" x14ac:dyDescent="0.25">
      <c r="A36" s="4" t="s">
        <v>21</v>
      </c>
      <c r="B36" s="4" t="s">
        <v>35</v>
      </c>
      <c r="C36" s="4" t="s">
        <v>53</v>
      </c>
      <c r="D36" s="4" t="s">
        <v>25</v>
      </c>
      <c r="E36" s="4" t="s">
        <v>25</v>
      </c>
      <c r="F36" s="4" t="s">
        <v>25</v>
      </c>
      <c r="G36" s="4" t="s">
        <v>54</v>
      </c>
      <c r="H36" s="4" t="s">
        <v>25</v>
      </c>
      <c r="I36" s="5">
        <v>44743</v>
      </c>
      <c r="J36" s="6">
        <v>909</v>
      </c>
      <c r="K36" s="6">
        <v>454.5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4" t="s">
        <v>55</v>
      </c>
      <c r="R36" s="4">
        <v>35415</v>
      </c>
      <c r="S36" s="6">
        <v>7</v>
      </c>
      <c r="T36" s="6">
        <v>0</v>
      </c>
      <c r="U36" s="6">
        <v>0</v>
      </c>
      <c r="V36" s="6">
        <f>IF(ISERROR(VLOOKUP($S$36,'TAR FIN'!$A$1:$O$85,15,0)),0,VLOOKUP($S$36,'TAR FIN'!$A$1:$O$85,15,0))</f>
        <v>3.37</v>
      </c>
      <c r="W36" s="6">
        <f>IF(ISERROR(VLOOKUP($T$36,'TAR FIN'!$A$1:$O$85,15,0)),0,VLOOKUP($T$36,'TAR FIN'!$A$1:$O$85,15,0))</f>
        <v>0</v>
      </c>
      <c r="X36" s="6">
        <f>IF(ISERROR(VLOOKUP($U$36,'TAR FIN'!$A$1:$O$85,15,0)),0,VLOOKUP($U$36,'TAR FIN'!$A$1:$O$85,15,0))</f>
        <v>0</v>
      </c>
      <c r="Y36" s="6">
        <f ca="1">('TUSD BE'!$AM$9+'TUSD BF'!$AM$9+'TUSD CVA'!$AM$9)*1</f>
        <v>3.410508540351314</v>
      </c>
      <c r="Z36" s="6"/>
      <c r="AA36" s="6"/>
      <c r="AB36" s="6">
        <f>$K$36*$V$36</f>
        <v>1531.665</v>
      </c>
      <c r="AC36" s="6">
        <f>$M$36*$W$36</f>
        <v>0</v>
      </c>
      <c r="AD36" s="6">
        <f>$O$36*$X$36</f>
        <v>0</v>
      </c>
      <c r="AE36" s="6">
        <f ca="1">$K$36*$Y$36</f>
        <v>1550.0761315896723</v>
      </c>
      <c r="AF36" s="6">
        <f>$M$36*$Z$36</f>
        <v>0</v>
      </c>
      <c r="AG36" s="6">
        <f>$O$36*$AA$36</f>
        <v>0</v>
      </c>
    </row>
    <row r="37" spans="1:33" ht="11.25" customHeight="1" x14ac:dyDescent="0.25">
      <c r="A37" s="4" t="s">
        <v>21</v>
      </c>
      <c r="B37" s="4" t="s">
        <v>35</v>
      </c>
      <c r="C37" s="4" t="s">
        <v>53</v>
      </c>
      <c r="D37" s="4" t="s">
        <v>25</v>
      </c>
      <c r="E37" s="4" t="s">
        <v>25</v>
      </c>
      <c r="F37" s="4" t="s">
        <v>25</v>
      </c>
      <c r="G37" s="4" t="s">
        <v>54</v>
      </c>
      <c r="H37" s="4" t="s">
        <v>25</v>
      </c>
      <c r="I37" s="5">
        <v>44774</v>
      </c>
      <c r="J37" s="6">
        <v>909</v>
      </c>
      <c r="K37" s="6">
        <v>454.5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4" t="s">
        <v>55</v>
      </c>
      <c r="R37" s="4">
        <v>35415</v>
      </c>
      <c r="S37" s="6">
        <v>7</v>
      </c>
      <c r="T37" s="6">
        <v>0</v>
      </c>
      <c r="U37" s="6">
        <v>0</v>
      </c>
      <c r="V37" s="6">
        <f>IF(ISERROR(VLOOKUP($S$37,'TAR FIN'!$A$1:$O$85,15,0)),0,VLOOKUP($S$37,'TAR FIN'!$A$1:$O$85,15,0))</f>
        <v>3.37</v>
      </c>
      <c r="W37" s="6">
        <f>IF(ISERROR(VLOOKUP($T$37,'TAR FIN'!$A$1:$O$85,15,0)),0,VLOOKUP($T$37,'TAR FIN'!$A$1:$O$85,15,0))</f>
        <v>0</v>
      </c>
      <c r="X37" s="6">
        <f>IF(ISERROR(VLOOKUP($U$37,'TAR FIN'!$A$1:$O$85,15,0)),0,VLOOKUP($U$37,'TAR FIN'!$A$1:$O$85,15,0))</f>
        <v>0</v>
      </c>
      <c r="Y37" s="6">
        <f ca="1">('TUSD BE'!$AM$9+'TUSD BF'!$AM$9+'TUSD CVA'!$AM$9)*1</f>
        <v>3.410508540351314</v>
      </c>
      <c r="Z37" s="6"/>
      <c r="AA37" s="6"/>
      <c r="AB37" s="6">
        <f>$K$37*$V$37</f>
        <v>1531.665</v>
      </c>
      <c r="AC37" s="6">
        <f>$M$37*$W$37</f>
        <v>0</v>
      </c>
      <c r="AD37" s="6">
        <f>$O$37*$X$37</f>
        <v>0</v>
      </c>
      <c r="AE37" s="6">
        <f ca="1">$K$37*$Y$37</f>
        <v>1550.0761315896723</v>
      </c>
      <c r="AF37" s="6">
        <f>$M$37*$Z$37</f>
        <v>0</v>
      </c>
      <c r="AG37" s="6">
        <f>$O$37*$AA$37</f>
        <v>0</v>
      </c>
    </row>
    <row r="38" spans="1:33" ht="11.25" customHeight="1" x14ac:dyDescent="0.25">
      <c r="A38" s="4" t="s">
        <v>21</v>
      </c>
      <c r="B38" s="4" t="s">
        <v>35</v>
      </c>
      <c r="C38" s="4" t="s">
        <v>36</v>
      </c>
      <c r="D38" s="4" t="s">
        <v>39</v>
      </c>
      <c r="E38" s="4" t="s">
        <v>25</v>
      </c>
      <c r="F38" s="4" t="s">
        <v>25</v>
      </c>
      <c r="G38" s="4" t="s">
        <v>25</v>
      </c>
      <c r="H38" s="4" t="s">
        <v>38</v>
      </c>
      <c r="I38" s="5">
        <v>44440</v>
      </c>
      <c r="J38" s="6">
        <v>0</v>
      </c>
      <c r="K38" s="6">
        <v>0</v>
      </c>
      <c r="L38" s="6">
        <v>29.594000000000001</v>
      </c>
      <c r="M38" s="6">
        <v>29.594000000000001</v>
      </c>
      <c r="N38" s="6">
        <v>29.594000000000001</v>
      </c>
      <c r="O38" s="6">
        <v>29.594000000000001</v>
      </c>
      <c r="P38" s="6">
        <v>0</v>
      </c>
      <c r="Q38" s="4" t="s">
        <v>26</v>
      </c>
      <c r="R38" s="4">
        <v>0</v>
      </c>
      <c r="S38" s="6">
        <v>0</v>
      </c>
      <c r="T38" s="6">
        <v>23</v>
      </c>
      <c r="U38" s="6">
        <v>51</v>
      </c>
      <c r="V38" s="6">
        <f>IF(ISERROR(VLOOKUP($S$38,'TAR FIN'!$A$1:$O$85,15,0)),0,VLOOKUP($S$38,'TAR FIN'!$A$1:$O$85,15,0))</f>
        <v>0</v>
      </c>
      <c r="W38" s="6">
        <f>IF(ISERROR(VLOOKUP($T$38,'TAR FIN'!$A$1:$O$85,15,0)),0,VLOOKUP($T$38,'TAR FIN'!$A$1:$O$85,15,0))</f>
        <v>66.22</v>
      </c>
      <c r="X38" s="6">
        <f>IF(ISERROR(VLOOKUP($U$38,'TAR FIN'!$A$1:$O$85,15,0)),0,VLOOKUP($U$38,'TAR FIN'!$A$1:$O$85,15,0))</f>
        <v>141.32</v>
      </c>
      <c r="Y38" s="6"/>
      <c r="Z38" s="6">
        <f ca="1">('TUSD BE'!$AM$12+'TUSD BF'!$AM$12+'TUSD CVA'!$AM$12)*1</f>
        <v>99.847749713611876</v>
      </c>
      <c r="AA38" s="6">
        <f>('TE BE'!$AB$6+'TE BF'!$AB$6+'TE CVA'!$AB$6)*1</f>
        <v>135.80626150990429</v>
      </c>
      <c r="AB38" s="6">
        <f>$K$38*$V$38</f>
        <v>0</v>
      </c>
      <c r="AC38" s="6">
        <f>$M$38*$W$38</f>
        <v>1959.71468</v>
      </c>
      <c r="AD38" s="6">
        <f>$O$38*$X$38</f>
        <v>4182.22408</v>
      </c>
      <c r="AE38" s="6">
        <f>$K$38*$Y$38</f>
        <v>0</v>
      </c>
      <c r="AF38" s="6">
        <f ca="1">$M$38*$Z$38</f>
        <v>2954.8943050246298</v>
      </c>
      <c r="AG38" s="6">
        <f>$O$38*$AA$38</f>
        <v>4019.0505031241078</v>
      </c>
    </row>
    <row r="39" spans="1:33" ht="11.25" customHeight="1" x14ac:dyDescent="0.25">
      <c r="A39" s="4" t="s">
        <v>21</v>
      </c>
      <c r="B39" s="4" t="s">
        <v>35</v>
      </c>
      <c r="C39" s="4" t="s">
        <v>36</v>
      </c>
      <c r="D39" s="4" t="s">
        <v>39</v>
      </c>
      <c r="E39" s="4" t="s">
        <v>25</v>
      </c>
      <c r="F39" s="4" t="s">
        <v>25</v>
      </c>
      <c r="G39" s="4" t="s">
        <v>25</v>
      </c>
      <c r="H39" s="4" t="s">
        <v>38</v>
      </c>
      <c r="I39" s="5">
        <v>44470</v>
      </c>
      <c r="J39" s="6">
        <v>0</v>
      </c>
      <c r="K39" s="6">
        <v>0</v>
      </c>
      <c r="L39" s="6">
        <v>36.151000000000003</v>
      </c>
      <c r="M39" s="6">
        <v>36.151000000000003</v>
      </c>
      <c r="N39" s="6">
        <v>36.151000000000003</v>
      </c>
      <c r="O39" s="6">
        <v>36.151000000000003</v>
      </c>
      <c r="P39" s="6">
        <v>0</v>
      </c>
      <c r="Q39" s="4" t="s">
        <v>26</v>
      </c>
      <c r="R39" s="4">
        <v>0</v>
      </c>
      <c r="S39" s="6">
        <v>0</v>
      </c>
      <c r="T39" s="6">
        <v>23</v>
      </c>
      <c r="U39" s="6">
        <v>51</v>
      </c>
      <c r="V39" s="6">
        <f>IF(ISERROR(VLOOKUP($S$39,'TAR FIN'!$A$1:$O$85,15,0)),0,VLOOKUP($S$39,'TAR FIN'!$A$1:$O$85,15,0))</f>
        <v>0</v>
      </c>
      <c r="W39" s="6">
        <f>IF(ISERROR(VLOOKUP($T$39,'TAR FIN'!$A$1:$O$85,15,0)),0,VLOOKUP($T$39,'TAR FIN'!$A$1:$O$85,15,0))</f>
        <v>66.22</v>
      </c>
      <c r="X39" s="6">
        <f>IF(ISERROR(VLOOKUP($U$39,'TAR FIN'!$A$1:$O$85,15,0)),0,VLOOKUP($U$39,'TAR FIN'!$A$1:$O$85,15,0))</f>
        <v>141.32</v>
      </c>
      <c r="Y39" s="6"/>
      <c r="Z39" s="6">
        <f ca="1">('TUSD BE'!$AM$12+'TUSD BF'!$AM$12+'TUSD CVA'!$AM$12)*1</f>
        <v>99.847749713611876</v>
      </c>
      <c r="AA39" s="6">
        <f>('TE BE'!$AB$6+'TE BF'!$AB$6+'TE CVA'!$AB$6)*1</f>
        <v>135.80626150990429</v>
      </c>
      <c r="AB39" s="6">
        <f>$K$39*$V$39</f>
        <v>0</v>
      </c>
      <c r="AC39" s="6">
        <f>$M$39*$W$39</f>
        <v>2393.9192200000002</v>
      </c>
      <c r="AD39" s="6">
        <f>$O$39*$X$39</f>
        <v>5108.8593200000005</v>
      </c>
      <c r="AE39" s="6">
        <f>$K$39*$Y$39</f>
        <v>0</v>
      </c>
      <c r="AF39" s="6">
        <f ca="1">$M$39*$Z$39</f>
        <v>3609.5959998967833</v>
      </c>
      <c r="AG39" s="6">
        <f>$O$39*$AA$39</f>
        <v>4909.5321598445507</v>
      </c>
    </row>
    <row r="40" spans="1:33" ht="11.25" customHeight="1" x14ac:dyDescent="0.25">
      <c r="A40" s="4" t="s">
        <v>21</v>
      </c>
      <c r="B40" s="4" t="s">
        <v>35</v>
      </c>
      <c r="C40" s="4" t="s">
        <v>36</v>
      </c>
      <c r="D40" s="4" t="s">
        <v>39</v>
      </c>
      <c r="E40" s="4" t="s">
        <v>25</v>
      </c>
      <c r="F40" s="4" t="s">
        <v>25</v>
      </c>
      <c r="G40" s="4" t="s">
        <v>25</v>
      </c>
      <c r="H40" s="4" t="s">
        <v>38</v>
      </c>
      <c r="I40" s="5">
        <v>44501</v>
      </c>
      <c r="J40" s="6">
        <v>0</v>
      </c>
      <c r="K40" s="6">
        <v>0</v>
      </c>
      <c r="L40" s="6">
        <v>30.135000000000002</v>
      </c>
      <c r="M40" s="6">
        <v>30.135000000000002</v>
      </c>
      <c r="N40" s="6">
        <v>30.135000000000002</v>
      </c>
      <c r="O40" s="6">
        <v>30.135000000000002</v>
      </c>
      <c r="P40" s="6">
        <v>0</v>
      </c>
      <c r="Q40" s="4" t="s">
        <v>26</v>
      </c>
      <c r="R40" s="4">
        <v>0</v>
      </c>
      <c r="S40" s="6">
        <v>0</v>
      </c>
      <c r="T40" s="6">
        <v>23</v>
      </c>
      <c r="U40" s="6">
        <v>51</v>
      </c>
      <c r="V40" s="6">
        <f>IF(ISERROR(VLOOKUP($S$40,'TAR FIN'!$A$1:$O$85,15,0)),0,VLOOKUP($S$40,'TAR FIN'!$A$1:$O$85,15,0))</f>
        <v>0</v>
      </c>
      <c r="W40" s="6">
        <f>IF(ISERROR(VLOOKUP($T$40,'TAR FIN'!$A$1:$O$85,15,0)),0,VLOOKUP($T$40,'TAR FIN'!$A$1:$O$85,15,0))</f>
        <v>66.22</v>
      </c>
      <c r="X40" s="6">
        <f>IF(ISERROR(VLOOKUP($U$40,'TAR FIN'!$A$1:$O$85,15,0)),0,VLOOKUP($U$40,'TAR FIN'!$A$1:$O$85,15,0))</f>
        <v>141.32</v>
      </c>
      <c r="Y40" s="6"/>
      <c r="Z40" s="6">
        <f ca="1">('TUSD BE'!$AM$12+'TUSD BF'!$AM$12+'TUSD CVA'!$AM$12)*1</f>
        <v>99.847749713611876</v>
      </c>
      <c r="AA40" s="6">
        <f>('TE BE'!$AB$6+'TE BF'!$AB$6+'TE CVA'!$AB$6)*1</f>
        <v>135.80626150990429</v>
      </c>
      <c r="AB40" s="6">
        <f>$K$40*$V$40</f>
        <v>0</v>
      </c>
      <c r="AC40" s="6">
        <f>$M$40*$W$40</f>
        <v>1995.5397</v>
      </c>
      <c r="AD40" s="6">
        <f>$O$40*$X$40</f>
        <v>4258.6782000000003</v>
      </c>
      <c r="AE40" s="6">
        <f>$K$40*$Y$40</f>
        <v>0</v>
      </c>
      <c r="AF40" s="6">
        <f ca="1">$M$40*$Z$40</f>
        <v>3008.9119376196941</v>
      </c>
      <c r="AG40" s="6">
        <f>$O$40*$AA$40</f>
        <v>4092.5216906009659</v>
      </c>
    </row>
    <row r="41" spans="1:33" ht="11.25" customHeight="1" x14ac:dyDescent="0.25">
      <c r="A41" s="4" t="s">
        <v>21</v>
      </c>
      <c r="B41" s="4" t="s">
        <v>35</v>
      </c>
      <c r="C41" s="4" t="s">
        <v>36</v>
      </c>
      <c r="D41" s="4" t="s">
        <v>39</v>
      </c>
      <c r="E41" s="4" t="s">
        <v>25</v>
      </c>
      <c r="F41" s="4" t="s">
        <v>25</v>
      </c>
      <c r="G41" s="4" t="s">
        <v>25</v>
      </c>
      <c r="H41" s="4" t="s">
        <v>38</v>
      </c>
      <c r="I41" s="5">
        <v>44531</v>
      </c>
      <c r="J41" s="6">
        <v>0</v>
      </c>
      <c r="K41" s="6">
        <v>0</v>
      </c>
      <c r="L41" s="6">
        <v>29.385999999999999</v>
      </c>
      <c r="M41" s="6">
        <v>29.385999999999999</v>
      </c>
      <c r="N41" s="6">
        <v>29.385999999999999</v>
      </c>
      <c r="O41" s="6">
        <v>29.385999999999999</v>
      </c>
      <c r="P41" s="6">
        <v>0</v>
      </c>
      <c r="Q41" s="4" t="s">
        <v>26</v>
      </c>
      <c r="R41" s="4">
        <v>0</v>
      </c>
      <c r="S41" s="6">
        <v>0</v>
      </c>
      <c r="T41" s="6">
        <v>23</v>
      </c>
      <c r="U41" s="6">
        <v>51</v>
      </c>
      <c r="V41" s="6">
        <f>IF(ISERROR(VLOOKUP($S$41,'TAR FIN'!$A$1:$O$85,15,0)),0,VLOOKUP($S$41,'TAR FIN'!$A$1:$O$85,15,0))</f>
        <v>0</v>
      </c>
      <c r="W41" s="6">
        <f>IF(ISERROR(VLOOKUP($T$41,'TAR FIN'!$A$1:$O$85,15,0)),0,VLOOKUP($T$41,'TAR FIN'!$A$1:$O$85,15,0))</f>
        <v>66.22</v>
      </c>
      <c r="X41" s="6">
        <f>IF(ISERROR(VLOOKUP($U$41,'TAR FIN'!$A$1:$O$85,15,0)),0,VLOOKUP($U$41,'TAR FIN'!$A$1:$O$85,15,0))</f>
        <v>141.32</v>
      </c>
      <c r="Y41" s="6"/>
      <c r="Z41" s="6">
        <f ca="1">('TUSD BE'!$AM$12+'TUSD BF'!$AM$12+'TUSD CVA'!$AM$12)*1</f>
        <v>99.847749713611876</v>
      </c>
      <c r="AA41" s="6">
        <f>('TE BE'!$AB$6+'TE BF'!$AB$6+'TE CVA'!$AB$6)*1</f>
        <v>135.80626150990429</v>
      </c>
      <c r="AB41" s="6">
        <f>$K$41*$V$41</f>
        <v>0</v>
      </c>
      <c r="AC41" s="6">
        <f>$M$41*$W$41</f>
        <v>1945.94092</v>
      </c>
      <c r="AD41" s="6">
        <f>$O$41*$X$41</f>
        <v>4152.8295199999993</v>
      </c>
      <c r="AE41" s="6">
        <f>$K$41*$Y$41</f>
        <v>0</v>
      </c>
      <c r="AF41" s="6">
        <f ca="1">$M$41*$Z$41</f>
        <v>2934.1259730841984</v>
      </c>
      <c r="AG41" s="6">
        <f>$O$41*$AA$41</f>
        <v>3990.8028007300472</v>
      </c>
    </row>
    <row r="42" spans="1:33" ht="11.25" customHeight="1" x14ac:dyDescent="0.25">
      <c r="A42" s="4" t="s">
        <v>21</v>
      </c>
      <c r="B42" s="4" t="s">
        <v>35</v>
      </c>
      <c r="C42" s="4" t="s">
        <v>36</v>
      </c>
      <c r="D42" s="4" t="s">
        <v>39</v>
      </c>
      <c r="E42" s="4" t="s">
        <v>25</v>
      </c>
      <c r="F42" s="4" t="s">
        <v>25</v>
      </c>
      <c r="G42" s="4" t="s">
        <v>25</v>
      </c>
      <c r="H42" s="4" t="s">
        <v>38</v>
      </c>
      <c r="I42" s="5">
        <v>44562</v>
      </c>
      <c r="J42" s="6">
        <v>0</v>
      </c>
      <c r="K42" s="6">
        <v>0</v>
      </c>
      <c r="L42" s="6">
        <v>24.986999999999998</v>
      </c>
      <c r="M42" s="6">
        <v>24.986999999999998</v>
      </c>
      <c r="N42" s="6">
        <v>24.986999999999998</v>
      </c>
      <c r="O42" s="6">
        <v>24.986999999999998</v>
      </c>
      <c r="P42" s="6">
        <v>0</v>
      </c>
      <c r="Q42" s="4" t="s">
        <v>26</v>
      </c>
      <c r="R42" s="4">
        <v>0</v>
      </c>
      <c r="S42" s="6">
        <v>0</v>
      </c>
      <c r="T42" s="6">
        <v>23</v>
      </c>
      <c r="U42" s="6">
        <v>51</v>
      </c>
      <c r="V42" s="6">
        <f>IF(ISERROR(VLOOKUP($S$42,'TAR FIN'!$A$1:$O$85,15,0)),0,VLOOKUP($S$42,'TAR FIN'!$A$1:$O$85,15,0))</f>
        <v>0</v>
      </c>
      <c r="W42" s="6">
        <f>IF(ISERROR(VLOOKUP($T$42,'TAR FIN'!$A$1:$O$85,15,0)),0,VLOOKUP($T$42,'TAR FIN'!$A$1:$O$85,15,0))</f>
        <v>66.22</v>
      </c>
      <c r="X42" s="6">
        <f>IF(ISERROR(VLOOKUP($U$42,'TAR FIN'!$A$1:$O$85,15,0)),0,VLOOKUP($U$42,'TAR FIN'!$A$1:$O$85,15,0))</f>
        <v>141.32</v>
      </c>
      <c r="Y42" s="6"/>
      <c r="Z42" s="6">
        <f ca="1">('TUSD BE'!$AM$12+'TUSD BF'!$AM$12+'TUSD CVA'!$AM$12)*1</f>
        <v>99.847749713611876</v>
      </c>
      <c r="AA42" s="6">
        <f>('TE BE'!$AB$6+'TE BF'!$AB$6+'TE CVA'!$AB$6)*1</f>
        <v>135.80626150990429</v>
      </c>
      <c r="AB42" s="6">
        <f>$K$42*$V$42</f>
        <v>0</v>
      </c>
      <c r="AC42" s="6">
        <f>$M$42*$W$42</f>
        <v>1654.6391399999998</v>
      </c>
      <c r="AD42" s="6">
        <f>$O$42*$X$42</f>
        <v>3531.1628399999995</v>
      </c>
      <c r="AE42" s="6">
        <f>$K$42*$Y$42</f>
        <v>0</v>
      </c>
      <c r="AF42" s="6">
        <f ca="1">$M$42*$Z$42</f>
        <v>2494.8957220940197</v>
      </c>
      <c r="AG42" s="6">
        <f>$O$42*$AA$42</f>
        <v>3393.3910563479781</v>
      </c>
    </row>
    <row r="43" spans="1:33" ht="11.25" customHeight="1" x14ac:dyDescent="0.25">
      <c r="A43" s="4" t="s">
        <v>21</v>
      </c>
      <c r="B43" s="4" t="s">
        <v>35</v>
      </c>
      <c r="C43" s="4" t="s">
        <v>36</v>
      </c>
      <c r="D43" s="4" t="s">
        <v>39</v>
      </c>
      <c r="E43" s="4" t="s">
        <v>25</v>
      </c>
      <c r="F43" s="4" t="s">
        <v>25</v>
      </c>
      <c r="G43" s="4" t="s">
        <v>25</v>
      </c>
      <c r="H43" s="4" t="s">
        <v>38</v>
      </c>
      <c r="I43" s="5">
        <v>44593</v>
      </c>
      <c r="J43" s="6">
        <v>0</v>
      </c>
      <c r="K43" s="6">
        <v>0</v>
      </c>
      <c r="L43" s="6">
        <v>27.552</v>
      </c>
      <c r="M43" s="6">
        <v>27.552</v>
      </c>
      <c r="N43" s="6">
        <v>27.552</v>
      </c>
      <c r="O43" s="6">
        <v>27.552</v>
      </c>
      <c r="P43" s="6">
        <v>0</v>
      </c>
      <c r="Q43" s="4" t="s">
        <v>26</v>
      </c>
      <c r="R43" s="4">
        <v>0</v>
      </c>
      <c r="S43" s="6">
        <v>0</v>
      </c>
      <c r="T43" s="6">
        <v>23</v>
      </c>
      <c r="U43" s="6">
        <v>51</v>
      </c>
      <c r="V43" s="6">
        <f>IF(ISERROR(VLOOKUP($S$43,'TAR FIN'!$A$1:$O$85,15,0)),0,VLOOKUP($S$43,'TAR FIN'!$A$1:$O$85,15,0))</f>
        <v>0</v>
      </c>
      <c r="W43" s="6">
        <f>IF(ISERROR(VLOOKUP($T$43,'TAR FIN'!$A$1:$O$85,15,0)),0,VLOOKUP($T$43,'TAR FIN'!$A$1:$O$85,15,0))</f>
        <v>66.22</v>
      </c>
      <c r="X43" s="6">
        <f>IF(ISERROR(VLOOKUP($U$43,'TAR FIN'!$A$1:$O$85,15,0)),0,VLOOKUP($U$43,'TAR FIN'!$A$1:$O$85,15,0))</f>
        <v>141.32</v>
      </c>
      <c r="Y43" s="6"/>
      <c r="Z43" s="6">
        <f ca="1">('TUSD BE'!$AM$12+'TUSD BF'!$AM$12+'TUSD CVA'!$AM$12)*1</f>
        <v>99.847749713611876</v>
      </c>
      <c r="AA43" s="6">
        <f>('TE BE'!$AB$6+'TE BF'!$AB$6+'TE CVA'!$AB$6)*1</f>
        <v>135.80626150990429</v>
      </c>
      <c r="AB43" s="6">
        <f>$K$43*$V$43</f>
        <v>0</v>
      </c>
      <c r="AC43" s="6">
        <f>$M$43*$W$43</f>
        <v>1824.49344</v>
      </c>
      <c r="AD43" s="6">
        <f>$O$43*$X$43</f>
        <v>3893.6486399999999</v>
      </c>
      <c r="AE43" s="6">
        <f>$K$43*$Y$43</f>
        <v>0</v>
      </c>
      <c r="AF43" s="6">
        <f ca="1">$M$43*$Z$43</f>
        <v>2751.0052001094346</v>
      </c>
      <c r="AG43" s="6">
        <f>$O$43*$AA$43</f>
        <v>3741.7341171208827</v>
      </c>
    </row>
    <row r="44" spans="1:33" ht="11.25" customHeight="1" x14ac:dyDescent="0.25">
      <c r="A44" s="4" t="s">
        <v>21</v>
      </c>
      <c r="B44" s="4" t="s">
        <v>35</v>
      </c>
      <c r="C44" s="4" t="s">
        <v>36</v>
      </c>
      <c r="D44" s="4" t="s">
        <v>39</v>
      </c>
      <c r="E44" s="4" t="s">
        <v>25</v>
      </c>
      <c r="F44" s="4" t="s">
        <v>25</v>
      </c>
      <c r="G44" s="4" t="s">
        <v>25</v>
      </c>
      <c r="H44" s="4" t="s">
        <v>38</v>
      </c>
      <c r="I44" s="5">
        <v>44621</v>
      </c>
      <c r="J44" s="6">
        <v>0</v>
      </c>
      <c r="K44" s="6">
        <v>0</v>
      </c>
      <c r="L44" s="6">
        <v>32.405000000000001</v>
      </c>
      <c r="M44" s="6">
        <v>32.405000000000001</v>
      </c>
      <c r="N44" s="6">
        <v>32.405000000000001</v>
      </c>
      <c r="O44" s="6">
        <v>32.405000000000001</v>
      </c>
      <c r="P44" s="6">
        <v>0</v>
      </c>
      <c r="Q44" s="4" t="s">
        <v>26</v>
      </c>
      <c r="R44" s="4">
        <v>0</v>
      </c>
      <c r="S44" s="6">
        <v>0</v>
      </c>
      <c r="T44" s="6">
        <v>23</v>
      </c>
      <c r="U44" s="6">
        <v>51</v>
      </c>
      <c r="V44" s="6">
        <f>IF(ISERROR(VLOOKUP($S$44,'TAR FIN'!$A$1:$O$85,15,0)),0,VLOOKUP($S$44,'TAR FIN'!$A$1:$O$85,15,0))</f>
        <v>0</v>
      </c>
      <c r="W44" s="6">
        <f>IF(ISERROR(VLOOKUP($T$44,'TAR FIN'!$A$1:$O$85,15,0)),0,VLOOKUP($T$44,'TAR FIN'!$A$1:$O$85,15,0))</f>
        <v>66.22</v>
      </c>
      <c r="X44" s="6">
        <f>IF(ISERROR(VLOOKUP($U$44,'TAR FIN'!$A$1:$O$85,15,0)),0,VLOOKUP($U$44,'TAR FIN'!$A$1:$O$85,15,0))</f>
        <v>141.32</v>
      </c>
      <c r="Y44" s="6"/>
      <c r="Z44" s="6">
        <f ca="1">('TUSD BE'!$AM$12+'TUSD BF'!$AM$12+'TUSD CVA'!$AM$12)*1</f>
        <v>99.847749713611876</v>
      </c>
      <c r="AA44" s="6">
        <f>('TE BE'!$AB$6+'TE BF'!$AB$6+'TE CVA'!$AB$6)*1</f>
        <v>135.80626150990429</v>
      </c>
      <c r="AB44" s="6">
        <f>$K$44*$V$44</f>
        <v>0</v>
      </c>
      <c r="AC44" s="6">
        <f>$M$44*$W$44</f>
        <v>2145.8591000000001</v>
      </c>
      <c r="AD44" s="6">
        <f>$O$44*$X$44</f>
        <v>4579.4745999999996</v>
      </c>
      <c r="AE44" s="6">
        <f>$K$44*$Y$44</f>
        <v>0</v>
      </c>
      <c r="AF44" s="6">
        <f ca="1">$M$44*$Z$44</f>
        <v>3235.5663294695928</v>
      </c>
      <c r="AG44" s="6">
        <f>$O$44*$AA$44</f>
        <v>4400.8019042284486</v>
      </c>
    </row>
    <row r="45" spans="1:33" ht="11.25" customHeight="1" x14ac:dyDescent="0.25">
      <c r="A45" s="4" t="s">
        <v>21</v>
      </c>
      <c r="B45" s="4" t="s">
        <v>35</v>
      </c>
      <c r="C45" s="4" t="s">
        <v>36</v>
      </c>
      <c r="D45" s="4" t="s">
        <v>39</v>
      </c>
      <c r="E45" s="4" t="s">
        <v>25</v>
      </c>
      <c r="F45" s="4" t="s">
        <v>25</v>
      </c>
      <c r="G45" s="4" t="s">
        <v>25</v>
      </c>
      <c r="H45" s="4" t="s">
        <v>38</v>
      </c>
      <c r="I45" s="5">
        <v>44652</v>
      </c>
      <c r="J45" s="6">
        <v>0</v>
      </c>
      <c r="K45" s="6">
        <v>0</v>
      </c>
      <c r="L45" s="6">
        <v>31.109000000000002</v>
      </c>
      <c r="M45" s="6">
        <v>31.109000000000002</v>
      </c>
      <c r="N45" s="6">
        <v>31.109000000000002</v>
      </c>
      <c r="O45" s="6">
        <v>31.109000000000002</v>
      </c>
      <c r="P45" s="6">
        <v>0</v>
      </c>
      <c r="Q45" s="4" t="s">
        <v>26</v>
      </c>
      <c r="R45" s="4">
        <v>0</v>
      </c>
      <c r="S45" s="6">
        <v>0</v>
      </c>
      <c r="T45" s="6">
        <v>23</v>
      </c>
      <c r="U45" s="6">
        <v>51</v>
      </c>
      <c r="V45" s="6">
        <f>IF(ISERROR(VLOOKUP($S$45,'TAR FIN'!$A$1:$O$85,15,0)),0,VLOOKUP($S$45,'TAR FIN'!$A$1:$O$85,15,0))</f>
        <v>0</v>
      </c>
      <c r="W45" s="6">
        <f>IF(ISERROR(VLOOKUP($T$45,'TAR FIN'!$A$1:$O$85,15,0)),0,VLOOKUP($T$45,'TAR FIN'!$A$1:$O$85,15,0))</f>
        <v>66.22</v>
      </c>
      <c r="X45" s="6">
        <f>IF(ISERROR(VLOOKUP($U$45,'TAR FIN'!$A$1:$O$85,15,0)),0,VLOOKUP($U$45,'TAR FIN'!$A$1:$O$85,15,0))</f>
        <v>141.32</v>
      </c>
      <c r="Y45" s="6"/>
      <c r="Z45" s="6">
        <f ca="1">('TUSD BE'!$AM$12+'TUSD BF'!$AM$12+'TUSD CVA'!$AM$12)*1</f>
        <v>99.847749713611876</v>
      </c>
      <c r="AA45" s="6">
        <f>('TE BE'!$AB$6+'TE BF'!$AB$6+'TE CVA'!$AB$6)*1</f>
        <v>135.80626150990429</v>
      </c>
      <c r="AB45" s="6">
        <f>$K$45*$V$45</f>
        <v>0</v>
      </c>
      <c r="AC45" s="6">
        <f>$M$45*$W$45</f>
        <v>2060.0379800000001</v>
      </c>
      <c r="AD45" s="6">
        <f>$O$45*$X$45</f>
        <v>4396.3238799999999</v>
      </c>
      <c r="AE45" s="6">
        <f>$K$45*$Y$45</f>
        <v>0</v>
      </c>
      <c r="AF45" s="6">
        <f ca="1">$M$45*$Z$45</f>
        <v>3106.163645840752</v>
      </c>
      <c r="AG45" s="6">
        <f>$O$45*$AA$45</f>
        <v>4224.7969893116124</v>
      </c>
    </row>
    <row r="46" spans="1:33" ht="11.25" customHeight="1" x14ac:dyDescent="0.25">
      <c r="A46" s="4" t="s">
        <v>21</v>
      </c>
      <c r="B46" s="4" t="s">
        <v>35</v>
      </c>
      <c r="C46" s="4" t="s">
        <v>36</v>
      </c>
      <c r="D46" s="4" t="s">
        <v>39</v>
      </c>
      <c r="E46" s="4" t="s">
        <v>25</v>
      </c>
      <c r="F46" s="4" t="s">
        <v>25</v>
      </c>
      <c r="G46" s="4" t="s">
        <v>25</v>
      </c>
      <c r="H46" s="4" t="s">
        <v>38</v>
      </c>
      <c r="I46" s="5">
        <v>44682</v>
      </c>
      <c r="J46" s="6">
        <v>0</v>
      </c>
      <c r="K46" s="6">
        <v>0</v>
      </c>
      <c r="L46" s="6">
        <v>34.581000000000003</v>
      </c>
      <c r="M46" s="6">
        <v>34.581000000000003</v>
      </c>
      <c r="N46" s="6">
        <v>34.581000000000003</v>
      </c>
      <c r="O46" s="6">
        <v>34.581000000000003</v>
      </c>
      <c r="P46" s="6">
        <v>0</v>
      </c>
      <c r="Q46" s="4" t="s">
        <v>26</v>
      </c>
      <c r="R46" s="4">
        <v>0</v>
      </c>
      <c r="S46" s="6">
        <v>0</v>
      </c>
      <c r="T46" s="6">
        <v>23</v>
      </c>
      <c r="U46" s="6">
        <v>51</v>
      </c>
      <c r="V46" s="6">
        <f>IF(ISERROR(VLOOKUP($S$46,'TAR FIN'!$A$1:$O$85,15,0)),0,VLOOKUP($S$46,'TAR FIN'!$A$1:$O$85,15,0))</f>
        <v>0</v>
      </c>
      <c r="W46" s="6">
        <f>IF(ISERROR(VLOOKUP($T$46,'TAR FIN'!$A$1:$O$85,15,0)),0,VLOOKUP($T$46,'TAR FIN'!$A$1:$O$85,15,0))</f>
        <v>66.22</v>
      </c>
      <c r="X46" s="6">
        <f>IF(ISERROR(VLOOKUP($U$46,'TAR FIN'!$A$1:$O$85,15,0)),0,VLOOKUP($U$46,'TAR FIN'!$A$1:$O$85,15,0))</f>
        <v>141.32</v>
      </c>
      <c r="Y46" s="6"/>
      <c r="Z46" s="6">
        <f ca="1">('TUSD BE'!$AM$12+'TUSD BF'!$AM$12+'TUSD CVA'!$AM$12)*1</f>
        <v>99.847749713611876</v>
      </c>
      <c r="AA46" s="6">
        <f>('TE BE'!$AB$6+'TE BF'!$AB$6+'TE CVA'!$AB$6)*1</f>
        <v>135.80626150990429</v>
      </c>
      <c r="AB46" s="6">
        <f>$K$46*$V$46</f>
        <v>0</v>
      </c>
      <c r="AC46" s="6">
        <f>$M$46*$W$46</f>
        <v>2289.9538200000002</v>
      </c>
      <c r="AD46" s="6">
        <f>$O$46*$X$46</f>
        <v>4886.9869200000003</v>
      </c>
      <c r="AE46" s="6">
        <f>$K$46*$Y$46</f>
        <v>0</v>
      </c>
      <c r="AF46" s="6">
        <f ca="1">$M$46*$Z$46</f>
        <v>3452.8350328464126</v>
      </c>
      <c r="AG46" s="6">
        <f>$O$46*$AA$46</f>
        <v>4696.316329274001</v>
      </c>
    </row>
    <row r="47" spans="1:33" ht="11.25" customHeight="1" x14ac:dyDescent="0.25">
      <c r="A47" s="4" t="s">
        <v>21</v>
      </c>
      <c r="B47" s="4" t="s">
        <v>35</v>
      </c>
      <c r="C47" s="4" t="s">
        <v>36</v>
      </c>
      <c r="D47" s="4" t="s">
        <v>39</v>
      </c>
      <c r="E47" s="4" t="s">
        <v>25</v>
      </c>
      <c r="F47" s="4" t="s">
        <v>25</v>
      </c>
      <c r="G47" s="4" t="s">
        <v>25</v>
      </c>
      <c r="H47" s="4" t="s">
        <v>38</v>
      </c>
      <c r="I47" s="5">
        <v>44713</v>
      </c>
      <c r="J47" s="6">
        <v>0</v>
      </c>
      <c r="K47" s="6">
        <v>0</v>
      </c>
      <c r="L47" s="6">
        <v>34.792000000000002</v>
      </c>
      <c r="M47" s="6">
        <v>34.792000000000002</v>
      </c>
      <c r="N47" s="6">
        <v>34.792000000000002</v>
      </c>
      <c r="O47" s="6">
        <v>34.792000000000002</v>
      </c>
      <c r="P47" s="6">
        <v>0</v>
      </c>
      <c r="Q47" s="4" t="s">
        <v>26</v>
      </c>
      <c r="R47" s="4">
        <v>0</v>
      </c>
      <c r="S47" s="6">
        <v>0</v>
      </c>
      <c r="T47" s="6">
        <v>23</v>
      </c>
      <c r="U47" s="6">
        <v>51</v>
      </c>
      <c r="V47" s="6">
        <f>IF(ISERROR(VLOOKUP($S$47,'TAR FIN'!$A$1:$O$85,15,0)),0,VLOOKUP($S$47,'TAR FIN'!$A$1:$O$85,15,0))</f>
        <v>0</v>
      </c>
      <c r="W47" s="6">
        <f>IF(ISERROR(VLOOKUP($T$47,'TAR FIN'!$A$1:$O$85,15,0)),0,VLOOKUP($T$47,'TAR FIN'!$A$1:$O$85,15,0))</f>
        <v>66.22</v>
      </c>
      <c r="X47" s="6">
        <f>IF(ISERROR(VLOOKUP($U$47,'TAR FIN'!$A$1:$O$85,15,0)),0,VLOOKUP($U$47,'TAR FIN'!$A$1:$O$85,15,0))</f>
        <v>141.32</v>
      </c>
      <c r="Y47" s="6"/>
      <c r="Z47" s="6">
        <f ca="1">('TUSD BE'!$AM$12+'TUSD BF'!$AM$12+'TUSD CVA'!$AM$12)*1</f>
        <v>99.847749713611876</v>
      </c>
      <c r="AA47" s="6">
        <f>('TE BE'!$AB$6+'TE BF'!$AB$6+'TE CVA'!$AB$6)*1</f>
        <v>135.80626150990429</v>
      </c>
      <c r="AB47" s="6">
        <f>$K$47*$V$47</f>
        <v>0</v>
      </c>
      <c r="AC47" s="6">
        <f>$M$47*$W$47</f>
        <v>2303.9262400000002</v>
      </c>
      <c r="AD47" s="6">
        <f>$O$47*$X$47</f>
        <v>4916.8054400000001</v>
      </c>
      <c r="AE47" s="6">
        <f>$K$47*$Y$47</f>
        <v>0</v>
      </c>
      <c r="AF47" s="6">
        <f ca="1">$M$47*$Z$47</f>
        <v>3473.9029080359846</v>
      </c>
      <c r="AG47" s="6">
        <f>$O$47*$AA$47</f>
        <v>4724.97145045259</v>
      </c>
    </row>
    <row r="48" spans="1:33" ht="11.25" customHeight="1" x14ac:dyDescent="0.25">
      <c r="A48" s="4" t="s">
        <v>21</v>
      </c>
      <c r="B48" s="4" t="s">
        <v>35</v>
      </c>
      <c r="C48" s="4" t="s">
        <v>36</v>
      </c>
      <c r="D48" s="4" t="s">
        <v>39</v>
      </c>
      <c r="E48" s="4" t="s">
        <v>25</v>
      </c>
      <c r="F48" s="4" t="s">
        <v>25</v>
      </c>
      <c r="G48" s="4" t="s">
        <v>25</v>
      </c>
      <c r="H48" s="4" t="s">
        <v>38</v>
      </c>
      <c r="I48" s="5">
        <v>44743</v>
      </c>
      <c r="J48" s="6">
        <v>0</v>
      </c>
      <c r="K48" s="6">
        <v>0</v>
      </c>
      <c r="L48" s="6">
        <v>41.357999999999997</v>
      </c>
      <c r="M48" s="6">
        <v>41.357999999999997</v>
      </c>
      <c r="N48" s="6">
        <v>41.357999999999997</v>
      </c>
      <c r="O48" s="6">
        <v>41.357999999999997</v>
      </c>
      <c r="P48" s="6">
        <v>0</v>
      </c>
      <c r="Q48" s="4" t="s">
        <v>26</v>
      </c>
      <c r="R48" s="4">
        <v>0</v>
      </c>
      <c r="S48" s="6">
        <v>0</v>
      </c>
      <c r="T48" s="6">
        <v>23</v>
      </c>
      <c r="U48" s="6">
        <v>51</v>
      </c>
      <c r="V48" s="6">
        <f>IF(ISERROR(VLOOKUP($S$48,'TAR FIN'!$A$1:$O$85,15,0)),0,VLOOKUP($S$48,'TAR FIN'!$A$1:$O$85,15,0))</f>
        <v>0</v>
      </c>
      <c r="W48" s="6">
        <f>IF(ISERROR(VLOOKUP($T$48,'TAR FIN'!$A$1:$O$85,15,0)),0,VLOOKUP($T$48,'TAR FIN'!$A$1:$O$85,15,0))</f>
        <v>66.22</v>
      </c>
      <c r="X48" s="6">
        <f>IF(ISERROR(VLOOKUP($U$48,'TAR FIN'!$A$1:$O$85,15,0)),0,VLOOKUP($U$48,'TAR FIN'!$A$1:$O$85,15,0))</f>
        <v>141.32</v>
      </c>
      <c r="Y48" s="6"/>
      <c r="Z48" s="6">
        <f ca="1">('TUSD BE'!$AM$12+'TUSD BF'!$AM$12+'TUSD CVA'!$AM$12)*1</f>
        <v>99.847749713611876</v>
      </c>
      <c r="AA48" s="6">
        <f>('TE BE'!$AB$6+'TE BF'!$AB$6+'TE CVA'!$AB$6)*1</f>
        <v>135.80626150990429</v>
      </c>
      <c r="AB48" s="6">
        <f>$K$48*$V$48</f>
        <v>0</v>
      </c>
      <c r="AC48" s="6">
        <f>$M$48*$W$48</f>
        <v>2738.7267599999996</v>
      </c>
      <c r="AD48" s="6">
        <f>$O$48*$X$48</f>
        <v>5844.712559999999</v>
      </c>
      <c r="AE48" s="6">
        <f>$K$48*$Y$48</f>
        <v>0</v>
      </c>
      <c r="AF48" s="6">
        <f ca="1">$M$48*$Z$48</f>
        <v>4129.5032326555593</v>
      </c>
      <c r="AG48" s="6">
        <f>$O$48*$AA$48</f>
        <v>5616.6753635266214</v>
      </c>
    </row>
    <row r="49" spans="1:33" ht="11.25" customHeight="1" x14ac:dyDescent="0.25">
      <c r="A49" s="4" t="s">
        <v>21</v>
      </c>
      <c r="B49" s="4" t="s">
        <v>35</v>
      </c>
      <c r="C49" s="4" t="s">
        <v>36</v>
      </c>
      <c r="D49" s="4" t="s">
        <v>39</v>
      </c>
      <c r="E49" s="4" t="s">
        <v>25</v>
      </c>
      <c r="F49" s="4" t="s">
        <v>25</v>
      </c>
      <c r="G49" s="4" t="s">
        <v>25</v>
      </c>
      <c r="H49" s="4" t="s">
        <v>38</v>
      </c>
      <c r="I49" s="5">
        <v>44774</v>
      </c>
      <c r="J49" s="6">
        <v>0</v>
      </c>
      <c r="K49" s="6">
        <v>0</v>
      </c>
      <c r="L49" s="6">
        <v>33.491</v>
      </c>
      <c r="M49" s="6">
        <v>33.491</v>
      </c>
      <c r="N49" s="6">
        <v>33.491</v>
      </c>
      <c r="O49" s="6">
        <v>33.491</v>
      </c>
      <c r="P49" s="6">
        <v>0</v>
      </c>
      <c r="Q49" s="4" t="s">
        <v>26</v>
      </c>
      <c r="R49" s="4">
        <v>0</v>
      </c>
      <c r="S49" s="6">
        <v>0</v>
      </c>
      <c r="T49" s="6">
        <v>23</v>
      </c>
      <c r="U49" s="6">
        <v>51</v>
      </c>
      <c r="V49" s="6">
        <f>IF(ISERROR(VLOOKUP($S$49,'TAR FIN'!$A$1:$O$85,15,0)),0,VLOOKUP($S$49,'TAR FIN'!$A$1:$O$85,15,0))</f>
        <v>0</v>
      </c>
      <c r="W49" s="6">
        <f>IF(ISERROR(VLOOKUP($T$49,'TAR FIN'!$A$1:$O$85,15,0)),0,VLOOKUP($T$49,'TAR FIN'!$A$1:$O$85,15,0))</f>
        <v>66.22</v>
      </c>
      <c r="X49" s="6">
        <f>IF(ISERROR(VLOOKUP($U$49,'TAR FIN'!$A$1:$O$85,15,0)),0,VLOOKUP($U$49,'TAR FIN'!$A$1:$O$85,15,0))</f>
        <v>141.32</v>
      </c>
      <c r="Y49" s="6"/>
      <c r="Z49" s="6">
        <f ca="1">('TUSD BE'!$AM$12+'TUSD BF'!$AM$12+'TUSD CVA'!$AM$12)*1</f>
        <v>99.847749713611876</v>
      </c>
      <c r="AA49" s="6">
        <f>('TE BE'!$AB$6+'TE BF'!$AB$6+'TE CVA'!$AB$6)*1</f>
        <v>135.80626150990429</v>
      </c>
      <c r="AB49" s="6">
        <f>$K$49*$V$49</f>
        <v>0</v>
      </c>
      <c r="AC49" s="6">
        <f>$M$49*$W$49</f>
        <v>2217.7740199999998</v>
      </c>
      <c r="AD49" s="6">
        <f>$O$49*$X$49</f>
        <v>4732.94812</v>
      </c>
      <c r="AE49" s="6">
        <f>$K$49*$Y$49</f>
        <v>0</v>
      </c>
      <c r="AF49" s="6">
        <f ca="1">$M$49*$Z$49</f>
        <v>3344.0009856585752</v>
      </c>
      <c r="AG49" s="6">
        <f>$O$49*$AA$49</f>
        <v>4548.2875042282049</v>
      </c>
    </row>
    <row r="50" spans="1:33" ht="11.25" customHeight="1" x14ac:dyDescent="0.25">
      <c r="A50" s="4" t="s">
        <v>21</v>
      </c>
      <c r="B50" s="4" t="s">
        <v>35</v>
      </c>
      <c r="C50" s="4" t="s">
        <v>36</v>
      </c>
      <c r="D50" s="4" t="s">
        <v>39</v>
      </c>
      <c r="E50" s="4" t="s">
        <v>25</v>
      </c>
      <c r="F50" s="4" t="s">
        <v>25</v>
      </c>
      <c r="G50" s="4" t="s">
        <v>25</v>
      </c>
      <c r="H50" s="4" t="s">
        <v>25</v>
      </c>
      <c r="I50" s="5">
        <v>44440</v>
      </c>
      <c r="J50" s="6">
        <v>263</v>
      </c>
      <c r="K50" s="6">
        <v>263</v>
      </c>
      <c r="L50" s="6">
        <v>0</v>
      </c>
      <c r="M50" s="6">
        <v>0</v>
      </c>
      <c r="N50" s="6">
        <v>0</v>
      </c>
      <c r="O50" s="6">
        <v>0</v>
      </c>
      <c r="P50" s="6">
        <v>3</v>
      </c>
      <c r="Q50" s="4" t="s">
        <v>26</v>
      </c>
      <c r="R50" s="4">
        <v>0</v>
      </c>
      <c r="S50" s="6">
        <v>16</v>
      </c>
      <c r="T50" s="6">
        <v>0</v>
      </c>
      <c r="U50" s="6">
        <v>0</v>
      </c>
      <c r="V50" s="6">
        <f>IF(ISERROR(VLOOKUP($S$50,'TAR FIN'!$A$1:$O$85,15,0)),0,VLOOKUP($S$50,'TAR FIN'!$A$1:$O$85,15,0))</f>
        <v>25.66</v>
      </c>
      <c r="W50" s="6">
        <f>IF(ISERROR(VLOOKUP($T$50,'TAR FIN'!$A$1:$O$85,15,0)),0,VLOOKUP($T$50,'TAR FIN'!$A$1:$O$85,15,0))</f>
        <v>0</v>
      </c>
      <c r="X50" s="6">
        <f>IF(ISERROR(VLOOKUP($U$50,'TAR FIN'!$A$1:$O$85,15,0)),0,VLOOKUP($U$50,'TAR FIN'!$A$1:$O$85,15,0))</f>
        <v>0</v>
      </c>
      <c r="Y50" s="6">
        <f ca="1">('TUSD BE'!$AM$10+'TUSD BF'!$AM$10+'TUSD CVA'!$AM$10)*1</f>
        <v>25.189608465764316</v>
      </c>
      <c r="Z50" s="6"/>
      <c r="AA50" s="6"/>
      <c r="AB50" s="6">
        <f>$K$50*$V$50</f>
        <v>6748.58</v>
      </c>
      <c r="AC50" s="6">
        <f>$M$50*$W$50</f>
        <v>0</v>
      </c>
      <c r="AD50" s="6">
        <f>$O$50*$X$50</f>
        <v>0</v>
      </c>
      <c r="AE50" s="6">
        <f ca="1">$K$50*$Y$50</f>
        <v>6624.8670264960147</v>
      </c>
      <c r="AF50" s="6">
        <f>$M$50*$Z$50</f>
        <v>0</v>
      </c>
      <c r="AG50" s="6">
        <f>$O$50*$AA$50</f>
        <v>0</v>
      </c>
    </row>
    <row r="51" spans="1:33" ht="11.25" customHeight="1" x14ac:dyDescent="0.25">
      <c r="A51" s="4" t="s">
        <v>21</v>
      </c>
      <c r="B51" s="4" t="s">
        <v>35</v>
      </c>
      <c r="C51" s="4" t="s">
        <v>36</v>
      </c>
      <c r="D51" s="4" t="s">
        <v>39</v>
      </c>
      <c r="E51" s="4" t="s">
        <v>25</v>
      </c>
      <c r="F51" s="4" t="s">
        <v>25</v>
      </c>
      <c r="G51" s="4" t="s">
        <v>25</v>
      </c>
      <c r="H51" s="4" t="s">
        <v>25</v>
      </c>
      <c r="I51" s="5">
        <v>44470</v>
      </c>
      <c r="J51" s="6">
        <v>300</v>
      </c>
      <c r="K51" s="6">
        <v>300</v>
      </c>
      <c r="L51" s="6">
        <v>0</v>
      </c>
      <c r="M51" s="6">
        <v>0</v>
      </c>
      <c r="N51" s="6">
        <v>0</v>
      </c>
      <c r="O51" s="6">
        <v>0</v>
      </c>
      <c r="P51" s="6">
        <v>3</v>
      </c>
      <c r="Q51" s="4" t="s">
        <v>26</v>
      </c>
      <c r="R51" s="4">
        <v>0</v>
      </c>
      <c r="S51" s="6">
        <v>16</v>
      </c>
      <c r="T51" s="6">
        <v>0</v>
      </c>
      <c r="U51" s="6">
        <v>0</v>
      </c>
      <c r="V51" s="6">
        <f>IF(ISERROR(VLOOKUP($S$51,'TAR FIN'!$A$1:$O$85,15,0)),0,VLOOKUP($S$51,'TAR FIN'!$A$1:$O$85,15,0))</f>
        <v>25.66</v>
      </c>
      <c r="W51" s="6">
        <f>IF(ISERROR(VLOOKUP($T$51,'TAR FIN'!$A$1:$O$85,15,0)),0,VLOOKUP($T$51,'TAR FIN'!$A$1:$O$85,15,0))</f>
        <v>0</v>
      </c>
      <c r="X51" s="6">
        <f>IF(ISERROR(VLOOKUP($U$51,'TAR FIN'!$A$1:$O$85,15,0)),0,VLOOKUP($U$51,'TAR FIN'!$A$1:$O$85,15,0))</f>
        <v>0</v>
      </c>
      <c r="Y51" s="6">
        <f ca="1">('TUSD BE'!$AM$10+'TUSD BF'!$AM$10+'TUSD CVA'!$AM$10)*1</f>
        <v>25.189608465764316</v>
      </c>
      <c r="Z51" s="6"/>
      <c r="AA51" s="6"/>
      <c r="AB51" s="6">
        <f>$K$51*$V$51</f>
        <v>7698</v>
      </c>
      <c r="AC51" s="6">
        <f>$M$51*$W$51</f>
        <v>0</v>
      </c>
      <c r="AD51" s="6">
        <f>$O$51*$X$51</f>
        <v>0</v>
      </c>
      <c r="AE51" s="6">
        <f ca="1">$K$51*$Y$51</f>
        <v>7556.8825397292949</v>
      </c>
      <c r="AF51" s="6">
        <f>$M$51*$Z$51</f>
        <v>0</v>
      </c>
      <c r="AG51" s="6">
        <f>$O$51*$AA$51</f>
        <v>0</v>
      </c>
    </row>
    <row r="52" spans="1:33" ht="11.25" customHeight="1" x14ac:dyDescent="0.25">
      <c r="A52" s="4" t="s">
        <v>21</v>
      </c>
      <c r="B52" s="4" t="s">
        <v>35</v>
      </c>
      <c r="C52" s="4" t="s">
        <v>36</v>
      </c>
      <c r="D52" s="4" t="s">
        <v>39</v>
      </c>
      <c r="E52" s="4" t="s">
        <v>25</v>
      </c>
      <c r="F52" s="4" t="s">
        <v>25</v>
      </c>
      <c r="G52" s="4" t="s">
        <v>25</v>
      </c>
      <c r="H52" s="4" t="s">
        <v>25</v>
      </c>
      <c r="I52" s="5">
        <v>44501</v>
      </c>
      <c r="J52" s="6">
        <v>310</v>
      </c>
      <c r="K52" s="6">
        <v>310</v>
      </c>
      <c r="L52" s="6">
        <v>0</v>
      </c>
      <c r="M52" s="6">
        <v>0</v>
      </c>
      <c r="N52" s="6">
        <v>0</v>
      </c>
      <c r="O52" s="6">
        <v>0</v>
      </c>
      <c r="P52" s="6">
        <v>3</v>
      </c>
      <c r="Q52" s="4" t="s">
        <v>26</v>
      </c>
      <c r="R52" s="4">
        <v>0</v>
      </c>
      <c r="S52" s="6">
        <v>16</v>
      </c>
      <c r="T52" s="6">
        <v>0</v>
      </c>
      <c r="U52" s="6">
        <v>0</v>
      </c>
      <c r="V52" s="6">
        <f>IF(ISERROR(VLOOKUP($S$52,'TAR FIN'!$A$1:$O$85,15,0)),0,VLOOKUP($S$52,'TAR FIN'!$A$1:$O$85,15,0))</f>
        <v>25.66</v>
      </c>
      <c r="W52" s="6">
        <f>IF(ISERROR(VLOOKUP($T$52,'TAR FIN'!$A$1:$O$85,15,0)),0,VLOOKUP($T$52,'TAR FIN'!$A$1:$O$85,15,0))</f>
        <v>0</v>
      </c>
      <c r="X52" s="6">
        <f>IF(ISERROR(VLOOKUP($U$52,'TAR FIN'!$A$1:$O$85,15,0)),0,VLOOKUP($U$52,'TAR FIN'!$A$1:$O$85,15,0))</f>
        <v>0</v>
      </c>
      <c r="Y52" s="6">
        <f ca="1">('TUSD BE'!$AM$10+'TUSD BF'!$AM$10+'TUSD CVA'!$AM$10)*1</f>
        <v>25.189608465764316</v>
      </c>
      <c r="Z52" s="6"/>
      <c r="AA52" s="6"/>
      <c r="AB52" s="6">
        <f>$K$52*$V$52</f>
        <v>7954.6</v>
      </c>
      <c r="AC52" s="6">
        <f>$M$52*$W$52</f>
        <v>0</v>
      </c>
      <c r="AD52" s="6">
        <f>$O$52*$X$52</f>
        <v>0</v>
      </c>
      <c r="AE52" s="6">
        <f ca="1">$K$52*$Y$52</f>
        <v>7808.7786243869377</v>
      </c>
      <c r="AF52" s="6">
        <f>$M$52*$Z$52</f>
        <v>0</v>
      </c>
      <c r="AG52" s="6">
        <f>$O$52*$AA$52</f>
        <v>0</v>
      </c>
    </row>
    <row r="53" spans="1:33" ht="11.25" customHeight="1" x14ac:dyDescent="0.25">
      <c r="A53" s="4" t="s">
        <v>21</v>
      </c>
      <c r="B53" s="4" t="s">
        <v>35</v>
      </c>
      <c r="C53" s="4" t="s">
        <v>36</v>
      </c>
      <c r="D53" s="4" t="s">
        <v>39</v>
      </c>
      <c r="E53" s="4" t="s">
        <v>25</v>
      </c>
      <c r="F53" s="4" t="s">
        <v>25</v>
      </c>
      <c r="G53" s="4" t="s">
        <v>25</v>
      </c>
      <c r="H53" s="4" t="s">
        <v>25</v>
      </c>
      <c r="I53" s="5">
        <v>44531</v>
      </c>
      <c r="J53" s="6">
        <v>320</v>
      </c>
      <c r="K53" s="6">
        <v>320</v>
      </c>
      <c r="L53" s="6">
        <v>0</v>
      </c>
      <c r="M53" s="6">
        <v>0</v>
      </c>
      <c r="N53" s="6">
        <v>0</v>
      </c>
      <c r="O53" s="6">
        <v>0</v>
      </c>
      <c r="P53" s="6">
        <v>3</v>
      </c>
      <c r="Q53" s="4" t="s">
        <v>26</v>
      </c>
      <c r="R53" s="4">
        <v>0</v>
      </c>
      <c r="S53" s="6">
        <v>16</v>
      </c>
      <c r="T53" s="6">
        <v>0</v>
      </c>
      <c r="U53" s="6">
        <v>0</v>
      </c>
      <c r="V53" s="6">
        <f>IF(ISERROR(VLOOKUP($S$53,'TAR FIN'!$A$1:$O$85,15,0)),0,VLOOKUP($S$53,'TAR FIN'!$A$1:$O$85,15,0))</f>
        <v>25.66</v>
      </c>
      <c r="W53" s="6">
        <f>IF(ISERROR(VLOOKUP($T$53,'TAR FIN'!$A$1:$O$85,15,0)),0,VLOOKUP($T$53,'TAR FIN'!$A$1:$O$85,15,0))</f>
        <v>0</v>
      </c>
      <c r="X53" s="6">
        <f>IF(ISERROR(VLOOKUP($U$53,'TAR FIN'!$A$1:$O$85,15,0)),0,VLOOKUP($U$53,'TAR FIN'!$A$1:$O$85,15,0))</f>
        <v>0</v>
      </c>
      <c r="Y53" s="6">
        <f ca="1">('TUSD BE'!$AM$10+'TUSD BF'!$AM$10+'TUSD CVA'!$AM$10)*1</f>
        <v>25.189608465764316</v>
      </c>
      <c r="Z53" s="6"/>
      <c r="AA53" s="6"/>
      <c r="AB53" s="6">
        <f>$K$53*$V$53</f>
        <v>8211.2000000000007</v>
      </c>
      <c r="AC53" s="6">
        <f>$M$53*$W$53</f>
        <v>0</v>
      </c>
      <c r="AD53" s="6">
        <f>$O$53*$X$53</f>
        <v>0</v>
      </c>
      <c r="AE53" s="6">
        <f ca="1">$K$53*$Y$53</f>
        <v>8060.6747090445806</v>
      </c>
      <c r="AF53" s="6">
        <f>$M$53*$Z$53</f>
        <v>0</v>
      </c>
      <c r="AG53" s="6">
        <f>$O$53*$AA$53</f>
        <v>0</v>
      </c>
    </row>
    <row r="54" spans="1:33" ht="11.25" customHeight="1" x14ac:dyDescent="0.25">
      <c r="A54" s="4" t="s">
        <v>21</v>
      </c>
      <c r="B54" s="4" t="s">
        <v>35</v>
      </c>
      <c r="C54" s="4" t="s">
        <v>36</v>
      </c>
      <c r="D54" s="4" t="s">
        <v>39</v>
      </c>
      <c r="E54" s="4" t="s">
        <v>25</v>
      </c>
      <c r="F54" s="4" t="s">
        <v>25</v>
      </c>
      <c r="G54" s="4" t="s">
        <v>25</v>
      </c>
      <c r="H54" s="4" t="s">
        <v>25</v>
      </c>
      <c r="I54" s="5">
        <v>44562</v>
      </c>
      <c r="J54" s="6">
        <v>313</v>
      </c>
      <c r="K54" s="6">
        <v>313</v>
      </c>
      <c r="L54" s="6">
        <v>0</v>
      </c>
      <c r="M54" s="6">
        <v>0</v>
      </c>
      <c r="N54" s="6">
        <v>0</v>
      </c>
      <c r="O54" s="6">
        <v>0</v>
      </c>
      <c r="P54" s="6">
        <v>3</v>
      </c>
      <c r="Q54" s="4" t="s">
        <v>26</v>
      </c>
      <c r="R54" s="4">
        <v>0</v>
      </c>
      <c r="S54" s="6">
        <v>16</v>
      </c>
      <c r="T54" s="6">
        <v>0</v>
      </c>
      <c r="U54" s="6">
        <v>0</v>
      </c>
      <c r="V54" s="6">
        <f>IF(ISERROR(VLOOKUP($S$54,'TAR FIN'!$A$1:$O$85,15,0)),0,VLOOKUP($S$54,'TAR FIN'!$A$1:$O$85,15,0))</f>
        <v>25.66</v>
      </c>
      <c r="W54" s="6">
        <f>IF(ISERROR(VLOOKUP($T$54,'TAR FIN'!$A$1:$O$85,15,0)),0,VLOOKUP($T$54,'TAR FIN'!$A$1:$O$85,15,0))</f>
        <v>0</v>
      </c>
      <c r="X54" s="6">
        <f>IF(ISERROR(VLOOKUP($U$54,'TAR FIN'!$A$1:$O$85,15,0)),0,VLOOKUP($U$54,'TAR FIN'!$A$1:$O$85,15,0))</f>
        <v>0</v>
      </c>
      <c r="Y54" s="6">
        <f ca="1">('TUSD BE'!$AM$10+'TUSD BF'!$AM$10+'TUSD CVA'!$AM$10)*1</f>
        <v>25.189608465764316</v>
      </c>
      <c r="Z54" s="6"/>
      <c r="AA54" s="6"/>
      <c r="AB54" s="6">
        <f>$K$54*$V$54</f>
        <v>8031.58</v>
      </c>
      <c r="AC54" s="6">
        <f>$M$54*$W$54</f>
        <v>0</v>
      </c>
      <c r="AD54" s="6">
        <f>$O$54*$X$54</f>
        <v>0</v>
      </c>
      <c r="AE54" s="6">
        <f ca="1">$K$54*$Y$54</f>
        <v>7884.3474497842308</v>
      </c>
      <c r="AF54" s="6">
        <f>$M$54*$Z$54</f>
        <v>0</v>
      </c>
      <c r="AG54" s="6">
        <f>$O$54*$AA$54</f>
        <v>0</v>
      </c>
    </row>
    <row r="55" spans="1:33" ht="11.25" customHeight="1" x14ac:dyDescent="0.25">
      <c r="A55" s="4" t="s">
        <v>21</v>
      </c>
      <c r="B55" s="4" t="s">
        <v>35</v>
      </c>
      <c r="C55" s="4" t="s">
        <v>36</v>
      </c>
      <c r="D55" s="4" t="s">
        <v>39</v>
      </c>
      <c r="E55" s="4" t="s">
        <v>25</v>
      </c>
      <c r="F55" s="4" t="s">
        <v>25</v>
      </c>
      <c r="G55" s="4" t="s">
        <v>25</v>
      </c>
      <c r="H55" s="4" t="s">
        <v>25</v>
      </c>
      <c r="I55" s="5">
        <v>44593</v>
      </c>
      <c r="J55" s="6">
        <v>321</v>
      </c>
      <c r="K55" s="6">
        <v>321</v>
      </c>
      <c r="L55" s="6">
        <v>0</v>
      </c>
      <c r="M55" s="6">
        <v>0</v>
      </c>
      <c r="N55" s="6">
        <v>0</v>
      </c>
      <c r="O55" s="6">
        <v>0</v>
      </c>
      <c r="P55" s="6">
        <v>3</v>
      </c>
      <c r="Q55" s="4" t="s">
        <v>26</v>
      </c>
      <c r="R55" s="4">
        <v>0</v>
      </c>
      <c r="S55" s="6">
        <v>16</v>
      </c>
      <c r="T55" s="6">
        <v>0</v>
      </c>
      <c r="U55" s="6">
        <v>0</v>
      </c>
      <c r="V55" s="6">
        <f>IF(ISERROR(VLOOKUP($S$55,'TAR FIN'!$A$1:$O$85,15,0)),0,VLOOKUP($S$55,'TAR FIN'!$A$1:$O$85,15,0))</f>
        <v>25.66</v>
      </c>
      <c r="W55" s="6">
        <f>IF(ISERROR(VLOOKUP($T$55,'TAR FIN'!$A$1:$O$85,15,0)),0,VLOOKUP($T$55,'TAR FIN'!$A$1:$O$85,15,0))</f>
        <v>0</v>
      </c>
      <c r="X55" s="6">
        <f>IF(ISERROR(VLOOKUP($U$55,'TAR FIN'!$A$1:$O$85,15,0)),0,VLOOKUP($U$55,'TAR FIN'!$A$1:$O$85,15,0))</f>
        <v>0</v>
      </c>
      <c r="Y55" s="6">
        <f ca="1">('TUSD BE'!$AM$10+'TUSD BF'!$AM$10+'TUSD CVA'!$AM$10)*1</f>
        <v>25.189608465764316</v>
      </c>
      <c r="Z55" s="6"/>
      <c r="AA55" s="6"/>
      <c r="AB55" s="6">
        <f>$K$55*$V$55</f>
        <v>8236.86</v>
      </c>
      <c r="AC55" s="6">
        <f>$M$55*$W$55</f>
        <v>0</v>
      </c>
      <c r="AD55" s="6">
        <f>$O$55*$X$55</f>
        <v>0</v>
      </c>
      <c r="AE55" s="6">
        <f ca="1">$K$55*$Y$55</f>
        <v>8085.8643175103452</v>
      </c>
      <c r="AF55" s="6">
        <f>$M$55*$Z$55</f>
        <v>0</v>
      </c>
      <c r="AG55" s="6">
        <f>$O$55*$AA$55</f>
        <v>0</v>
      </c>
    </row>
    <row r="56" spans="1:33" ht="11.25" customHeight="1" x14ac:dyDescent="0.25">
      <c r="A56" s="4" t="s">
        <v>21</v>
      </c>
      <c r="B56" s="4" t="s">
        <v>35</v>
      </c>
      <c r="C56" s="4" t="s">
        <v>36</v>
      </c>
      <c r="D56" s="4" t="s">
        <v>39</v>
      </c>
      <c r="E56" s="4" t="s">
        <v>25</v>
      </c>
      <c r="F56" s="4" t="s">
        <v>25</v>
      </c>
      <c r="G56" s="4" t="s">
        <v>25</v>
      </c>
      <c r="H56" s="4" t="s">
        <v>25</v>
      </c>
      <c r="I56" s="5">
        <v>44621</v>
      </c>
      <c r="J56" s="6">
        <v>326</v>
      </c>
      <c r="K56" s="6">
        <v>326</v>
      </c>
      <c r="L56" s="6">
        <v>0</v>
      </c>
      <c r="M56" s="6">
        <v>0</v>
      </c>
      <c r="N56" s="6">
        <v>0</v>
      </c>
      <c r="O56" s="6">
        <v>0</v>
      </c>
      <c r="P56" s="6">
        <v>3</v>
      </c>
      <c r="Q56" s="4" t="s">
        <v>26</v>
      </c>
      <c r="R56" s="4">
        <v>0</v>
      </c>
      <c r="S56" s="6">
        <v>16</v>
      </c>
      <c r="T56" s="6">
        <v>0</v>
      </c>
      <c r="U56" s="6">
        <v>0</v>
      </c>
      <c r="V56" s="6">
        <f>IF(ISERROR(VLOOKUP($S$56,'TAR FIN'!$A$1:$O$85,15,0)),0,VLOOKUP($S$56,'TAR FIN'!$A$1:$O$85,15,0))</f>
        <v>25.66</v>
      </c>
      <c r="W56" s="6">
        <f>IF(ISERROR(VLOOKUP($T$56,'TAR FIN'!$A$1:$O$85,15,0)),0,VLOOKUP($T$56,'TAR FIN'!$A$1:$O$85,15,0))</f>
        <v>0</v>
      </c>
      <c r="X56" s="6">
        <f>IF(ISERROR(VLOOKUP($U$56,'TAR FIN'!$A$1:$O$85,15,0)),0,VLOOKUP($U$56,'TAR FIN'!$A$1:$O$85,15,0))</f>
        <v>0</v>
      </c>
      <c r="Y56" s="6">
        <f ca="1">('TUSD BE'!$AM$10+'TUSD BF'!$AM$10+'TUSD CVA'!$AM$10)*1</f>
        <v>25.189608465764316</v>
      </c>
      <c r="Z56" s="6"/>
      <c r="AA56" s="6"/>
      <c r="AB56" s="6">
        <f>$K$56*$V$56</f>
        <v>8365.16</v>
      </c>
      <c r="AC56" s="6">
        <f>$M$56*$W$56</f>
        <v>0</v>
      </c>
      <c r="AD56" s="6">
        <f>$O$56*$X$56</f>
        <v>0</v>
      </c>
      <c r="AE56" s="6">
        <f ca="1">$K$56*$Y$56</f>
        <v>8211.8123598391667</v>
      </c>
      <c r="AF56" s="6">
        <f>$M$56*$Z$56</f>
        <v>0</v>
      </c>
      <c r="AG56" s="6">
        <f>$O$56*$AA$56</f>
        <v>0</v>
      </c>
    </row>
    <row r="57" spans="1:33" ht="11.25" customHeight="1" x14ac:dyDescent="0.25">
      <c r="A57" s="4" t="s">
        <v>21</v>
      </c>
      <c r="B57" s="4" t="s">
        <v>35</v>
      </c>
      <c r="C57" s="4" t="s">
        <v>36</v>
      </c>
      <c r="D57" s="4" t="s">
        <v>39</v>
      </c>
      <c r="E57" s="4" t="s">
        <v>25</v>
      </c>
      <c r="F57" s="4" t="s">
        <v>25</v>
      </c>
      <c r="G57" s="4" t="s">
        <v>25</v>
      </c>
      <c r="H57" s="4" t="s">
        <v>25</v>
      </c>
      <c r="I57" s="5">
        <v>44652</v>
      </c>
      <c r="J57" s="6">
        <v>314</v>
      </c>
      <c r="K57" s="6">
        <v>314</v>
      </c>
      <c r="L57" s="6">
        <v>0</v>
      </c>
      <c r="M57" s="6">
        <v>0</v>
      </c>
      <c r="N57" s="6">
        <v>0</v>
      </c>
      <c r="O57" s="6">
        <v>0</v>
      </c>
      <c r="P57" s="6">
        <v>3</v>
      </c>
      <c r="Q57" s="4" t="s">
        <v>26</v>
      </c>
      <c r="R57" s="4">
        <v>0</v>
      </c>
      <c r="S57" s="6">
        <v>16</v>
      </c>
      <c r="T57" s="6">
        <v>0</v>
      </c>
      <c r="U57" s="6">
        <v>0</v>
      </c>
      <c r="V57" s="6">
        <f>IF(ISERROR(VLOOKUP($S$57,'TAR FIN'!$A$1:$O$85,15,0)),0,VLOOKUP($S$57,'TAR FIN'!$A$1:$O$85,15,0))</f>
        <v>25.66</v>
      </c>
      <c r="W57" s="6">
        <f>IF(ISERROR(VLOOKUP($T$57,'TAR FIN'!$A$1:$O$85,15,0)),0,VLOOKUP($T$57,'TAR FIN'!$A$1:$O$85,15,0))</f>
        <v>0</v>
      </c>
      <c r="X57" s="6">
        <f>IF(ISERROR(VLOOKUP($U$57,'TAR FIN'!$A$1:$O$85,15,0)),0,VLOOKUP($U$57,'TAR FIN'!$A$1:$O$85,15,0))</f>
        <v>0</v>
      </c>
      <c r="Y57" s="6">
        <f ca="1">('TUSD BE'!$AM$10+'TUSD BF'!$AM$10+'TUSD CVA'!$AM$10)*1</f>
        <v>25.189608465764316</v>
      </c>
      <c r="Z57" s="6"/>
      <c r="AA57" s="6"/>
      <c r="AB57" s="6">
        <f>$K$57*$V$57</f>
        <v>8057.24</v>
      </c>
      <c r="AC57" s="6">
        <f>$M$57*$W$57</f>
        <v>0</v>
      </c>
      <c r="AD57" s="6">
        <f>$O$57*$X$57</f>
        <v>0</v>
      </c>
      <c r="AE57" s="6">
        <f ca="1">$K$57*$Y$57</f>
        <v>7909.5370582499954</v>
      </c>
      <c r="AF57" s="6">
        <f>$M$57*$Z$57</f>
        <v>0</v>
      </c>
      <c r="AG57" s="6">
        <f>$O$57*$AA$57</f>
        <v>0</v>
      </c>
    </row>
    <row r="58" spans="1:33" ht="11.25" customHeight="1" x14ac:dyDescent="0.25">
      <c r="A58" s="4" t="s">
        <v>21</v>
      </c>
      <c r="B58" s="4" t="s">
        <v>35</v>
      </c>
      <c r="C58" s="4" t="s">
        <v>36</v>
      </c>
      <c r="D58" s="4" t="s">
        <v>39</v>
      </c>
      <c r="E58" s="4" t="s">
        <v>25</v>
      </c>
      <c r="F58" s="4" t="s">
        <v>25</v>
      </c>
      <c r="G58" s="4" t="s">
        <v>25</v>
      </c>
      <c r="H58" s="4" t="s">
        <v>25</v>
      </c>
      <c r="I58" s="5">
        <v>44682</v>
      </c>
      <c r="J58" s="6">
        <v>335</v>
      </c>
      <c r="K58" s="6">
        <v>335</v>
      </c>
      <c r="L58" s="6">
        <v>0</v>
      </c>
      <c r="M58" s="6">
        <v>0</v>
      </c>
      <c r="N58" s="6">
        <v>0</v>
      </c>
      <c r="O58" s="6">
        <v>0</v>
      </c>
      <c r="P58" s="6">
        <v>3</v>
      </c>
      <c r="Q58" s="4" t="s">
        <v>26</v>
      </c>
      <c r="R58" s="4">
        <v>0</v>
      </c>
      <c r="S58" s="6">
        <v>16</v>
      </c>
      <c r="T58" s="6">
        <v>0</v>
      </c>
      <c r="U58" s="6">
        <v>0</v>
      </c>
      <c r="V58" s="6">
        <f>IF(ISERROR(VLOOKUP($S$58,'TAR FIN'!$A$1:$O$85,15,0)),0,VLOOKUP($S$58,'TAR FIN'!$A$1:$O$85,15,0))</f>
        <v>25.66</v>
      </c>
      <c r="W58" s="6">
        <f>IF(ISERROR(VLOOKUP($T$58,'TAR FIN'!$A$1:$O$85,15,0)),0,VLOOKUP($T$58,'TAR FIN'!$A$1:$O$85,15,0))</f>
        <v>0</v>
      </c>
      <c r="X58" s="6">
        <f>IF(ISERROR(VLOOKUP($U$58,'TAR FIN'!$A$1:$O$85,15,0)),0,VLOOKUP($U$58,'TAR FIN'!$A$1:$O$85,15,0))</f>
        <v>0</v>
      </c>
      <c r="Y58" s="6">
        <f ca="1">('TUSD BE'!$AM$10+'TUSD BF'!$AM$10+'TUSD CVA'!$AM$10)*1</f>
        <v>25.189608465764316</v>
      </c>
      <c r="Z58" s="6"/>
      <c r="AA58" s="6"/>
      <c r="AB58" s="6">
        <f>$K$58*$V$58</f>
        <v>8596.1</v>
      </c>
      <c r="AC58" s="6">
        <f>$M$58*$W$58</f>
        <v>0</v>
      </c>
      <c r="AD58" s="6">
        <f>$O$58*$X$58</f>
        <v>0</v>
      </c>
      <c r="AE58" s="6">
        <f ca="1">$K$58*$Y$58</f>
        <v>8438.5188360310458</v>
      </c>
      <c r="AF58" s="6">
        <f>$M$58*$Z$58</f>
        <v>0</v>
      </c>
      <c r="AG58" s="6">
        <f>$O$58*$AA$58</f>
        <v>0</v>
      </c>
    </row>
    <row r="59" spans="1:33" ht="11.25" customHeight="1" x14ac:dyDescent="0.25">
      <c r="A59" s="4" t="s">
        <v>21</v>
      </c>
      <c r="B59" s="4" t="s">
        <v>35</v>
      </c>
      <c r="C59" s="4" t="s">
        <v>36</v>
      </c>
      <c r="D59" s="4" t="s">
        <v>39</v>
      </c>
      <c r="E59" s="4" t="s">
        <v>25</v>
      </c>
      <c r="F59" s="4" t="s">
        <v>25</v>
      </c>
      <c r="G59" s="4" t="s">
        <v>25</v>
      </c>
      <c r="H59" s="4" t="s">
        <v>25</v>
      </c>
      <c r="I59" s="5">
        <v>44713</v>
      </c>
      <c r="J59" s="6">
        <v>326</v>
      </c>
      <c r="K59" s="6">
        <v>326</v>
      </c>
      <c r="L59" s="6">
        <v>0</v>
      </c>
      <c r="M59" s="6">
        <v>0</v>
      </c>
      <c r="N59" s="6">
        <v>0</v>
      </c>
      <c r="O59" s="6">
        <v>0</v>
      </c>
      <c r="P59" s="6">
        <v>3</v>
      </c>
      <c r="Q59" s="4" t="s">
        <v>26</v>
      </c>
      <c r="R59" s="4">
        <v>0</v>
      </c>
      <c r="S59" s="6">
        <v>16</v>
      </c>
      <c r="T59" s="6">
        <v>0</v>
      </c>
      <c r="U59" s="6">
        <v>0</v>
      </c>
      <c r="V59" s="6">
        <f>IF(ISERROR(VLOOKUP($S$59,'TAR FIN'!$A$1:$O$85,15,0)),0,VLOOKUP($S$59,'TAR FIN'!$A$1:$O$85,15,0))</f>
        <v>25.66</v>
      </c>
      <c r="W59" s="6">
        <f>IF(ISERROR(VLOOKUP($T$59,'TAR FIN'!$A$1:$O$85,15,0)),0,VLOOKUP($T$59,'TAR FIN'!$A$1:$O$85,15,0))</f>
        <v>0</v>
      </c>
      <c r="X59" s="6">
        <f>IF(ISERROR(VLOOKUP($U$59,'TAR FIN'!$A$1:$O$85,15,0)),0,VLOOKUP($U$59,'TAR FIN'!$A$1:$O$85,15,0))</f>
        <v>0</v>
      </c>
      <c r="Y59" s="6">
        <f ca="1">('TUSD BE'!$AM$10+'TUSD BF'!$AM$10+'TUSD CVA'!$AM$10)*1</f>
        <v>25.189608465764316</v>
      </c>
      <c r="Z59" s="6"/>
      <c r="AA59" s="6"/>
      <c r="AB59" s="6">
        <f>$K$59*$V$59</f>
        <v>8365.16</v>
      </c>
      <c r="AC59" s="6">
        <f>$M$59*$W$59</f>
        <v>0</v>
      </c>
      <c r="AD59" s="6">
        <f>$O$59*$X$59</f>
        <v>0</v>
      </c>
      <c r="AE59" s="6">
        <f ca="1">$K$59*$Y$59</f>
        <v>8211.8123598391667</v>
      </c>
      <c r="AF59" s="6">
        <f>$M$59*$Z$59</f>
        <v>0</v>
      </c>
      <c r="AG59" s="6">
        <f>$O$59*$AA$59</f>
        <v>0</v>
      </c>
    </row>
    <row r="60" spans="1:33" ht="11.25" customHeight="1" x14ac:dyDescent="0.25">
      <c r="A60" s="4" t="s">
        <v>21</v>
      </c>
      <c r="B60" s="4" t="s">
        <v>35</v>
      </c>
      <c r="C60" s="4" t="s">
        <v>36</v>
      </c>
      <c r="D60" s="4" t="s">
        <v>39</v>
      </c>
      <c r="E60" s="4" t="s">
        <v>25</v>
      </c>
      <c r="F60" s="4" t="s">
        <v>25</v>
      </c>
      <c r="G60" s="4" t="s">
        <v>25</v>
      </c>
      <c r="H60" s="4" t="s">
        <v>25</v>
      </c>
      <c r="I60" s="5">
        <v>44743</v>
      </c>
      <c r="J60" s="6">
        <v>359</v>
      </c>
      <c r="K60" s="6">
        <v>359</v>
      </c>
      <c r="L60" s="6">
        <v>0</v>
      </c>
      <c r="M60" s="6">
        <v>0</v>
      </c>
      <c r="N60" s="6">
        <v>0</v>
      </c>
      <c r="O60" s="6">
        <v>0</v>
      </c>
      <c r="P60" s="6">
        <v>3</v>
      </c>
      <c r="Q60" s="4" t="s">
        <v>26</v>
      </c>
      <c r="R60" s="4">
        <v>0</v>
      </c>
      <c r="S60" s="6">
        <v>16</v>
      </c>
      <c r="T60" s="6">
        <v>0</v>
      </c>
      <c r="U60" s="6">
        <v>0</v>
      </c>
      <c r="V60" s="6">
        <f>IF(ISERROR(VLOOKUP($S$60,'TAR FIN'!$A$1:$O$85,15,0)),0,VLOOKUP($S$60,'TAR FIN'!$A$1:$O$85,15,0))</f>
        <v>25.66</v>
      </c>
      <c r="W60" s="6">
        <f>IF(ISERROR(VLOOKUP($T$60,'TAR FIN'!$A$1:$O$85,15,0)),0,VLOOKUP($T$60,'TAR FIN'!$A$1:$O$85,15,0))</f>
        <v>0</v>
      </c>
      <c r="X60" s="6">
        <f>IF(ISERROR(VLOOKUP($U$60,'TAR FIN'!$A$1:$O$85,15,0)),0,VLOOKUP($U$60,'TAR FIN'!$A$1:$O$85,15,0))</f>
        <v>0</v>
      </c>
      <c r="Y60" s="6">
        <f ca="1">('TUSD BE'!$AM$10+'TUSD BF'!$AM$10+'TUSD CVA'!$AM$10)*1</f>
        <v>25.189608465764316</v>
      </c>
      <c r="Z60" s="6"/>
      <c r="AA60" s="6"/>
      <c r="AB60" s="6">
        <f>$K$60*$V$60</f>
        <v>9211.94</v>
      </c>
      <c r="AC60" s="6">
        <f>$M$60*$W$60</f>
        <v>0</v>
      </c>
      <c r="AD60" s="6">
        <f>$O$60*$X$60</f>
        <v>0</v>
      </c>
      <c r="AE60" s="6">
        <f ca="1">$K$60*$Y$60</f>
        <v>9043.0694392093901</v>
      </c>
      <c r="AF60" s="6">
        <f>$M$60*$Z$60</f>
        <v>0</v>
      </c>
      <c r="AG60" s="6">
        <f>$O$60*$AA$60</f>
        <v>0</v>
      </c>
    </row>
    <row r="61" spans="1:33" ht="11.25" customHeight="1" x14ac:dyDescent="0.25">
      <c r="A61" s="4" t="s">
        <v>21</v>
      </c>
      <c r="B61" s="4" t="s">
        <v>35</v>
      </c>
      <c r="C61" s="4" t="s">
        <v>36</v>
      </c>
      <c r="D61" s="4" t="s">
        <v>39</v>
      </c>
      <c r="E61" s="4" t="s">
        <v>25</v>
      </c>
      <c r="F61" s="4" t="s">
        <v>25</v>
      </c>
      <c r="G61" s="4" t="s">
        <v>25</v>
      </c>
      <c r="H61" s="4" t="s">
        <v>25</v>
      </c>
      <c r="I61" s="5">
        <v>44774</v>
      </c>
      <c r="J61" s="6">
        <v>356</v>
      </c>
      <c r="K61" s="6">
        <v>356</v>
      </c>
      <c r="L61" s="6">
        <v>0</v>
      </c>
      <c r="M61" s="6">
        <v>0</v>
      </c>
      <c r="N61" s="6">
        <v>0</v>
      </c>
      <c r="O61" s="6">
        <v>0</v>
      </c>
      <c r="P61" s="6">
        <v>3</v>
      </c>
      <c r="Q61" s="4" t="s">
        <v>26</v>
      </c>
      <c r="R61" s="4">
        <v>0</v>
      </c>
      <c r="S61" s="6">
        <v>16</v>
      </c>
      <c r="T61" s="6">
        <v>0</v>
      </c>
      <c r="U61" s="6">
        <v>0</v>
      </c>
      <c r="V61" s="6">
        <f>IF(ISERROR(VLOOKUP($S$61,'TAR FIN'!$A$1:$O$85,15,0)),0,VLOOKUP($S$61,'TAR FIN'!$A$1:$O$85,15,0))</f>
        <v>25.66</v>
      </c>
      <c r="W61" s="6">
        <f>IF(ISERROR(VLOOKUP($T$61,'TAR FIN'!$A$1:$O$85,15,0)),0,VLOOKUP($T$61,'TAR FIN'!$A$1:$O$85,15,0))</f>
        <v>0</v>
      </c>
      <c r="X61" s="6">
        <f>IF(ISERROR(VLOOKUP($U$61,'TAR FIN'!$A$1:$O$85,15,0)),0,VLOOKUP($U$61,'TAR FIN'!$A$1:$O$85,15,0))</f>
        <v>0</v>
      </c>
      <c r="Y61" s="6">
        <f ca="1">('TUSD BE'!$AM$10+'TUSD BF'!$AM$10+'TUSD CVA'!$AM$10)*1</f>
        <v>25.189608465764316</v>
      </c>
      <c r="Z61" s="6"/>
      <c r="AA61" s="6"/>
      <c r="AB61" s="6">
        <f>$K$61*$V$61</f>
        <v>9134.9600000000009</v>
      </c>
      <c r="AC61" s="6">
        <f>$M$61*$W$61</f>
        <v>0</v>
      </c>
      <c r="AD61" s="6">
        <f>$O$61*$X$61</f>
        <v>0</v>
      </c>
      <c r="AE61" s="6">
        <f ca="1">$K$61*$Y$61</f>
        <v>8967.5006138120971</v>
      </c>
      <c r="AF61" s="6">
        <f>$M$61*$Z$61</f>
        <v>0</v>
      </c>
      <c r="AG61" s="6">
        <f>$O$61*$AA$61</f>
        <v>0</v>
      </c>
    </row>
    <row r="62" spans="1:33" ht="11.25" customHeight="1" x14ac:dyDescent="0.25">
      <c r="A62" s="4" t="s">
        <v>21</v>
      </c>
      <c r="B62" s="4" t="s">
        <v>35</v>
      </c>
      <c r="C62" s="4" t="s">
        <v>36</v>
      </c>
      <c r="D62" s="4" t="s">
        <v>39</v>
      </c>
      <c r="E62" s="4" t="s">
        <v>25</v>
      </c>
      <c r="F62" s="4" t="s">
        <v>25</v>
      </c>
      <c r="G62" s="4" t="s">
        <v>25</v>
      </c>
      <c r="H62" s="4" t="s">
        <v>37</v>
      </c>
      <c r="I62" s="5">
        <v>44440</v>
      </c>
      <c r="J62" s="6">
        <v>0</v>
      </c>
      <c r="K62" s="6">
        <v>0</v>
      </c>
      <c r="L62" s="6">
        <v>2.1179999999999999</v>
      </c>
      <c r="M62" s="6">
        <v>2.1179999999999999</v>
      </c>
      <c r="N62" s="6">
        <v>2.1179999999999999</v>
      </c>
      <c r="O62" s="6">
        <v>2.1179999999999999</v>
      </c>
      <c r="P62" s="6">
        <v>0</v>
      </c>
      <c r="Q62" s="4" t="s">
        <v>26</v>
      </c>
      <c r="R62" s="4">
        <v>0</v>
      </c>
      <c r="S62" s="6">
        <v>0</v>
      </c>
      <c r="T62" s="6">
        <v>25</v>
      </c>
      <c r="U62" s="6">
        <v>44</v>
      </c>
      <c r="V62" s="6">
        <f>IF(ISERROR(VLOOKUP($S$62,'TAR FIN'!$A$1:$O$85,15,0)),0,VLOOKUP($S$62,'TAR FIN'!$A$1:$O$85,15,0))</f>
        <v>0</v>
      </c>
      <c r="W62" s="6">
        <f>IF(ISERROR(VLOOKUP($T$62,'TAR FIN'!$A$1:$O$85,15,0)),0,VLOOKUP($T$62,'TAR FIN'!$A$1:$O$85,15,0))</f>
        <v>1922.56</v>
      </c>
      <c r="X62" s="6">
        <f>IF(ISERROR(VLOOKUP($U$62,'TAR FIN'!$A$1:$O$85,15,0)),0,VLOOKUP($U$62,'TAR FIN'!$A$1:$O$85,15,0))</f>
        <v>141.32</v>
      </c>
      <c r="Y62" s="6"/>
      <c r="Z62" s="6">
        <f ca="1">('TUSD BE'!$AM$11+'TUSD BF'!$AM$11+'TUSD CVA'!$AM$11)*1</f>
        <v>1931.7033804673958</v>
      </c>
      <c r="AA62" s="6">
        <f>('TE BE'!$AB$5+'TE BF'!$AB$5+'TE CVA'!$AB$5)*1</f>
        <v>135.80626150990429</v>
      </c>
      <c r="AB62" s="6">
        <f>$K$62*$V$62</f>
        <v>0</v>
      </c>
      <c r="AC62" s="6">
        <f>$M$62*$W$62</f>
        <v>4071.9820799999998</v>
      </c>
      <c r="AD62" s="6">
        <f>$O$62*$X$62</f>
        <v>299.31575999999995</v>
      </c>
      <c r="AE62" s="6">
        <f>$K$62*$Y$62</f>
        <v>0</v>
      </c>
      <c r="AF62" s="6">
        <f ca="1">$M$62*$Z$62</f>
        <v>4091.3477598299442</v>
      </c>
      <c r="AG62" s="6">
        <f>$O$62*$AA$62</f>
        <v>287.63766187797728</v>
      </c>
    </row>
    <row r="63" spans="1:33" ht="11.25" customHeight="1" x14ac:dyDescent="0.25">
      <c r="A63" s="4" t="s">
        <v>21</v>
      </c>
      <c r="B63" s="4" t="s">
        <v>35</v>
      </c>
      <c r="C63" s="4" t="s">
        <v>36</v>
      </c>
      <c r="D63" s="4" t="s">
        <v>39</v>
      </c>
      <c r="E63" s="4" t="s">
        <v>25</v>
      </c>
      <c r="F63" s="4" t="s">
        <v>25</v>
      </c>
      <c r="G63" s="4" t="s">
        <v>25</v>
      </c>
      <c r="H63" s="4" t="s">
        <v>37</v>
      </c>
      <c r="I63" s="5">
        <v>44470</v>
      </c>
      <c r="J63" s="6">
        <v>0</v>
      </c>
      <c r="K63" s="6">
        <v>0</v>
      </c>
      <c r="L63" s="6">
        <v>2.3210000000000002</v>
      </c>
      <c r="M63" s="6">
        <v>2.3210000000000002</v>
      </c>
      <c r="N63" s="6">
        <v>2.3210000000000002</v>
      </c>
      <c r="O63" s="6">
        <v>2.3210000000000002</v>
      </c>
      <c r="P63" s="6">
        <v>0</v>
      </c>
      <c r="Q63" s="4" t="s">
        <v>26</v>
      </c>
      <c r="R63" s="4">
        <v>0</v>
      </c>
      <c r="S63" s="6">
        <v>0</v>
      </c>
      <c r="T63" s="6">
        <v>25</v>
      </c>
      <c r="U63" s="6">
        <v>44</v>
      </c>
      <c r="V63" s="6">
        <f>IF(ISERROR(VLOOKUP($S$63,'TAR FIN'!$A$1:$O$85,15,0)),0,VLOOKUP($S$63,'TAR FIN'!$A$1:$O$85,15,0))</f>
        <v>0</v>
      </c>
      <c r="W63" s="6">
        <f>IF(ISERROR(VLOOKUP($T$63,'TAR FIN'!$A$1:$O$85,15,0)),0,VLOOKUP($T$63,'TAR FIN'!$A$1:$O$85,15,0))</f>
        <v>1922.56</v>
      </c>
      <c r="X63" s="6">
        <f>IF(ISERROR(VLOOKUP($U$63,'TAR FIN'!$A$1:$O$85,15,0)),0,VLOOKUP($U$63,'TAR FIN'!$A$1:$O$85,15,0))</f>
        <v>141.32</v>
      </c>
      <c r="Y63" s="6"/>
      <c r="Z63" s="6">
        <f ca="1">('TUSD BE'!$AM$11+'TUSD BF'!$AM$11+'TUSD CVA'!$AM$11)*1</f>
        <v>1931.7033804673958</v>
      </c>
      <c r="AA63" s="6">
        <f>('TE BE'!$AB$5+'TE BF'!$AB$5+'TE CVA'!$AB$5)*1</f>
        <v>135.80626150990429</v>
      </c>
      <c r="AB63" s="6">
        <f>$K$63*$V$63</f>
        <v>0</v>
      </c>
      <c r="AC63" s="6">
        <f>$M$63*$W$63</f>
        <v>4462.2617600000003</v>
      </c>
      <c r="AD63" s="6">
        <f>$O$63*$X$63</f>
        <v>328.00371999999999</v>
      </c>
      <c r="AE63" s="6">
        <f>$K$63*$Y$63</f>
        <v>0</v>
      </c>
      <c r="AF63" s="6">
        <f ca="1">$M$63*$Z$63</f>
        <v>4483.4835460648264</v>
      </c>
      <c r="AG63" s="6">
        <f>$O$63*$AA$63</f>
        <v>315.2063329644879</v>
      </c>
    </row>
    <row r="64" spans="1:33" ht="11.25" customHeight="1" x14ac:dyDescent="0.25">
      <c r="A64" s="4" t="s">
        <v>21</v>
      </c>
      <c r="B64" s="4" t="s">
        <v>35</v>
      </c>
      <c r="C64" s="4" t="s">
        <v>36</v>
      </c>
      <c r="D64" s="4" t="s">
        <v>39</v>
      </c>
      <c r="E64" s="4" t="s">
        <v>25</v>
      </c>
      <c r="F64" s="4" t="s">
        <v>25</v>
      </c>
      <c r="G64" s="4" t="s">
        <v>25</v>
      </c>
      <c r="H64" s="4" t="s">
        <v>37</v>
      </c>
      <c r="I64" s="5">
        <v>44501</v>
      </c>
      <c r="J64" s="6">
        <v>0</v>
      </c>
      <c r="K64" s="6">
        <v>0</v>
      </c>
      <c r="L64" s="6">
        <v>1.647</v>
      </c>
      <c r="M64" s="6">
        <v>1.647</v>
      </c>
      <c r="N64" s="6">
        <v>1.647</v>
      </c>
      <c r="O64" s="6">
        <v>1.647</v>
      </c>
      <c r="P64" s="6">
        <v>0</v>
      </c>
      <c r="Q64" s="4" t="s">
        <v>26</v>
      </c>
      <c r="R64" s="4">
        <v>0</v>
      </c>
      <c r="S64" s="6">
        <v>0</v>
      </c>
      <c r="T64" s="6">
        <v>25</v>
      </c>
      <c r="U64" s="6">
        <v>44</v>
      </c>
      <c r="V64" s="6">
        <f>IF(ISERROR(VLOOKUP($S$64,'TAR FIN'!$A$1:$O$85,15,0)),0,VLOOKUP($S$64,'TAR FIN'!$A$1:$O$85,15,0))</f>
        <v>0</v>
      </c>
      <c r="W64" s="6">
        <f>IF(ISERROR(VLOOKUP($T$64,'TAR FIN'!$A$1:$O$85,15,0)),0,VLOOKUP($T$64,'TAR FIN'!$A$1:$O$85,15,0))</f>
        <v>1922.56</v>
      </c>
      <c r="X64" s="6">
        <f>IF(ISERROR(VLOOKUP($U$64,'TAR FIN'!$A$1:$O$85,15,0)),0,VLOOKUP($U$64,'TAR FIN'!$A$1:$O$85,15,0))</f>
        <v>141.32</v>
      </c>
      <c r="Y64" s="6"/>
      <c r="Z64" s="6">
        <f ca="1">('TUSD BE'!$AM$11+'TUSD BF'!$AM$11+'TUSD CVA'!$AM$11)*1</f>
        <v>1931.7033804673958</v>
      </c>
      <c r="AA64" s="6">
        <f>('TE BE'!$AB$5+'TE BF'!$AB$5+'TE CVA'!$AB$5)*1</f>
        <v>135.80626150990429</v>
      </c>
      <c r="AB64" s="6">
        <f>$K$64*$V$64</f>
        <v>0</v>
      </c>
      <c r="AC64" s="6">
        <f>$M$64*$W$64</f>
        <v>3166.4563199999998</v>
      </c>
      <c r="AD64" s="6">
        <f>$O$64*$X$64</f>
        <v>232.75404</v>
      </c>
      <c r="AE64" s="6">
        <f>$K$64*$Y$64</f>
        <v>0</v>
      </c>
      <c r="AF64" s="6">
        <f ca="1">$M$64*$Z$64</f>
        <v>3181.5154676298012</v>
      </c>
      <c r="AG64" s="6">
        <f>$O$64*$AA$64</f>
        <v>223.67291270681235</v>
      </c>
    </row>
    <row r="65" spans="1:33" ht="11.25" customHeight="1" x14ac:dyDescent="0.25">
      <c r="A65" s="4" t="s">
        <v>21</v>
      </c>
      <c r="B65" s="4" t="s">
        <v>35</v>
      </c>
      <c r="C65" s="4" t="s">
        <v>36</v>
      </c>
      <c r="D65" s="4" t="s">
        <v>39</v>
      </c>
      <c r="E65" s="4" t="s">
        <v>25</v>
      </c>
      <c r="F65" s="4" t="s">
        <v>25</v>
      </c>
      <c r="G65" s="4" t="s">
        <v>25</v>
      </c>
      <c r="H65" s="4" t="s">
        <v>37</v>
      </c>
      <c r="I65" s="5">
        <v>44531</v>
      </c>
      <c r="J65" s="6">
        <v>0</v>
      </c>
      <c r="K65" s="6">
        <v>0</v>
      </c>
      <c r="L65" s="6">
        <v>1.8440000000000001</v>
      </c>
      <c r="M65" s="6">
        <v>1.8440000000000001</v>
      </c>
      <c r="N65" s="6">
        <v>1.8440000000000001</v>
      </c>
      <c r="O65" s="6">
        <v>1.8440000000000001</v>
      </c>
      <c r="P65" s="6">
        <v>0</v>
      </c>
      <c r="Q65" s="4" t="s">
        <v>26</v>
      </c>
      <c r="R65" s="4">
        <v>0</v>
      </c>
      <c r="S65" s="6">
        <v>0</v>
      </c>
      <c r="T65" s="6">
        <v>25</v>
      </c>
      <c r="U65" s="6">
        <v>44</v>
      </c>
      <c r="V65" s="6">
        <f>IF(ISERROR(VLOOKUP($S$65,'TAR FIN'!$A$1:$O$85,15,0)),0,VLOOKUP($S$65,'TAR FIN'!$A$1:$O$85,15,0))</f>
        <v>0</v>
      </c>
      <c r="W65" s="6">
        <f>IF(ISERROR(VLOOKUP($T$65,'TAR FIN'!$A$1:$O$85,15,0)),0,VLOOKUP($T$65,'TAR FIN'!$A$1:$O$85,15,0))</f>
        <v>1922.56</v>
      </c>
      <c r="X65" s="6">
        <f>IF(ISERROR(VLOOKUP($U$65,'TAR FIN'!$A$1:$O$85,15,0)),0,VLOOKUP($U$65,'TAR FIN'!$A$1:$O$85,15,0))</f>
        <v>141.32</v>
      </c>
      <c r="Y65" s="6"/>
      <c r="Z65" s="6">
        <f ca="1">('TUSD BE'!$AM$11+'TUSD BF'!$AM$11+'TUSD CVA'!$AM$11)*1</f>
        <v>1931.7033804673958</v>
      </c>
      <c r="AA65" s="6">
        <f>('TE BE'!$AB$5+'TE BF'!$AB$5+'TE CVA'!$AB$5)*1</f>
        <v>135.80626150990429</v>
      </c>
      <c r="AB65" s="6">
        <f>$K$65*$V$65</f>
        <v>0</v>
      </c>
      <c r="AC65" s="6">
        <f>$M$65*$W$65</f>
        <v>3545.20064</v>
      </c>
      <c r="AD65" s="6">
        <f>$O$65*$X$65</f>
        <v>260.59408000000002</v>
      </c>
      <c r="AE65" s="6">
        <f>$K$65*$Y$65</f>
        <v>0</v>
      </c>
      <c r="AF65" s="6">
        <f ca="1">$M$65*$Z$65</f>
        <v>3562.0610335818783</v>
      </c>
      <c r="AG65" s="6">
        <f>$O$65*$AA$65</f>
        <v>250.42674622426352</v>
      </c>
    </row>
    <row r="66" spans="1:33" ht="11.25" customHeight="1" x14ac:dyDescent="0.25">
      <c r="A66" s="4" t="s">
        <v>21</v>
      </c>
      <c r="B66" s="4" t="s">
        <v>35</v>
      </c>
      <c r="C66" s="4" t="s">
        <v>36</v>
      </c>
      <c r="D66" s="4" t="s">
        <v>39</v>
      </c>
      <c r="E66" s="4" t="s">
        <v>25</v>
      </c>
      <c r="F66" s="4" t="s">
        <v>25</v>
      </c>
      <c r="G66" s="4" t="s">
        <v>25</v>
      </c>
      <c r="H66" s="4" t="s">
        <v>37</v>
      </c>
      <c r="I66" s="5">
        <v>44562</v>
      </c>
      <c r="J66" s="6">
        <v>0</v>
      </c>
      <c r="K66" s="6">
        <v>0</v>
      </c>
      <c r="L66" s="6">
        <v>1.756</v>
      </c>
      <c r="M66" s="6">
        <v>1.756</v>
      </c>
      <c r="N66" s="6">
        <v>1.756</v>
      </c>
      <c r="O66" s="6">
        <v>1.756</v>
      </c>
      <c r="P66" s="6">
        <v>0</v>
      </c>
      <c r="Q66" s="4" t="s">
        <v>26</v>
      </c>
      <c r="R66" s="4">
        <v>0</v>
      </c>
      <c r="S66" s="6">
        <v>0</v>
      </c>
      <c r="T66" s="6">
        <v>25</v>
      </c>
      <c r="U66" s="6">
        <v>44</v>
      </c>
      <c r="V66" s="6">
        <f>IF(ISERROR(VLOOKUP($S$66,'TAR FIN'!$A$1:$O$85,15,0)),0,VLOOKUP($S$66,'TAR FIN'!$A$1:$O$85,15,0))</f>
        <v>0</v>
      </c>
      <c r="W66" s="6">
        <f>IF(ISERROR(VLOOKUP($T$66,'TAR FIN'!$A$1:$O$85,15,0)),0,VLOOKUP($T$66,'TAR FIN'!$A$1:$O$85,15,0))</f>
        <v>1922.56</v>
      </c>
      <c r="X66" s="6">
        <f>IF(ISERROR(VLOOKUP($U$66,'TAR FIN'!$A$1:$O$85,15,0)),0,VLOOKUP($U$66,'TAR FIN'!$A$1:$O$85,15,0))</f>
        <v>141.32</v>
      </c>
      <c r="Y66" s="6"/>
      <c r="Z66" s="6">
        <f ca="1">('TUSD BE'!$AM$11+'TUSD BF'!$AM$11+'TUSD CVA'!$AM$11)*1</f>
        <v>1931.7033804673958</v>
      </c>
      <c r="AA66" s="6">
        <f>('TE BE'!$AB$5+'TE BF'!$AB$5+'TE CVA'!$AB$5)*1</f>
        <v>135.80626150990429</v>
      </c>
      <c r="AB66" s="6">
        <f>$K$66*$V$66</f>
        <v>0</v>
      </c>
      <c r="AC66" s="6">
        <f>$M$66*$W$66</f>
        <v>3376.0153599999999</v>
      </c>
      <c r="AD66" s="6">
        <f>$O$66*$X$66</f>
        <v>248.15791999999999</v>
      </c>
      <c r="AE66" s="6">
        <f>$K$66*$Y$66</f>
        <v>0</v>
      </c>
      <c r="AF66" s="6">
        <f ca="1">$M$66*$Z$66</f>
        <v>3392.071136100747</v>
      </c>
      <c r="AG66" s="6">
        <f>$O$66*$AA$66</f>
        <v>238.47579521139193</v>
      </c>
    </row>
    <row r="67" spans="1:33" ht="11.25" customHeight="1" x14ac:dyDescent="0.25">
      <c r="A67" s="4" t="s">
        <v>21</v>
      </c>
      <c r="B67" s="4" t="s">
        <v>35</v>
      </c>
      <c r="C67" s="4" t="s">
        <v>36</v>
      </c>
      <c r="D67" s="4" t="s">
        <v>39</v>
      </c>
      <c r="E67" s="4" t="s">
        <v>25</v>
      </c>
      <c r="F67" s="4" t="s">
        <v>25</v>
      </c>
      <c r="G67" s="4" t="s">
        <v>25</v>
      </c>
      <c r="H67" s="4" t="s">
        <v>37</v>
      </c>
      <c r="I67" s="5">
        <v>44593</v>
      </c>
      <c r="J67" s="6">
        <v>0</v>
      </c>
      <c r="K67" s="6">
        <v>0</v>
      </c>
      <c r="L67" s="6">
        <v>1.758</v>
      </c>
      <c r="M67" s="6">
        <v>1.758</v>
      </c>
      <c r="N67" s="6">
        <v>1.758</v>
      </c>
      <c r="O67" s="6">
        <v>1.758</v>
      </c>
      <c r="P67" s="6">
        <v>0</v>
      </c>
      <c r="Q67" s="4" t="s">
        <v>26</v>
      </c>
      <c r="R67" s="4">
        <v>0</v>
      </c>
      <c r="S67" s="6">
        <v>0</v>
      </c>
      <c r="T67" s="6">
        <v>25</v>
      </c>
      <c r="U67" s="6">
        <v>44</v>
      </c>
      <c r="V67" s="6">
        <f>IF(ISERROR(VLOOKUP($S$67,'TAR FIN'!$A$1:$O$85,15,0)),0,VLOOKUP($S$67,'TAR FIN'!$A$1:$O$85,15,0))</f>
        <v>0</v>
      </c>
      <c r="W67" s="6">
        <f>IF(ISERROR(VLOOKUP($T$67,'TAR FIN'!$A$1:$O$85,15,0)),0,VLOOKUP($T$67,'TAR FIN'!$A$1:$O$85,15,0))</f>
        <v>1922.56</v>
      </c>
      <c r="X67" s="6">
        <f>IF(ISERROR(VLOOKUP($U$67,'TAR FIN'!$A$1:$O$85,15,0)),0,VLOOKUP($U$67,'TAR FIN'!$A$1:$O$85,15,0))</f>
        <v>141.32</v>
      </c>
      <c r="Y67" s="6"/>
      <c r="Z67" s="6">
        <f ca="1">('TUSD BE'!$AM$11+'TUSD BF'!$AM$11+'TUSD CVA'!$AM$11)*1</f>
        <v>1931.7033804673958</v>
      </c>
      <c r="AA67" s="6">
        <f>('TE BE'!$AB$5+'TE BF'!$AB$5+'TE CVA'!$AB$5)*1</f>
        <v>135.80626150990429</v>
      </c>
      <c r="AB67" s="6">
        <f>$K$67*$V$67</f>
        <v>0</v>
      </c>
      <c r="AC67" s="6">
        <f>$M$67*$W$67</f>
        <v>3379.8604799999998</v>
      </c>
      <c r="AD67" s="6">
        <f>$O$67*$X$67</f>
        <v>248.44055999999998</v>
      </c>
      <c r="AE67" s="6">
        <f>$K$67*$Y$67</f>
        <v>0</v>
      </c>
      <c r="AF67" s="6">
        <f ca="1">$M$67*$Z$67</f>
        <v>3395.9345428616821</v>
      </c>
      <c r="AG67" s="6">
        <f>$O$67*$AA$67</f>
        <v>238.74740773441175</v>
      </c>
    </row>
    <row r="68" spans="1:33" ht="11.25" customHeight="1" x14ac:dyDescent="0.25">
      <c r="A68" s="4" t="s">
        <v>21</v>
      </c>
      <c r="B68" s="4" t="s">
        <v>35</v>
      </c>
      <c r="C68" s="4" t="s">
        <v>36</v>
      </c>
      <c r="D68" s="4" t="s">
        <v>39</v>
      </c>
      <c r="E68" s="4" t="s">
        <v>25</v>
      </c>
      <c r="F68" s="4" t="s">
        <v>25</v>
      </c>
      <c r="G68" s="4" t="s">
        <v>25</v>
      </c>
      <c r="H68" s="4" t="s">
        <v>37</v>
      </c>
      <c r="I68" s="5">
        <v>44621</v>
      </c>
      <c r="J68" s="6">
        <v>0</v>
      </c>
      <c r="K68" s="6">
        <v>0</v>
      </c>
      <c r="L68" s="6">
        <v>1.974</v>
      </c>
      <c r="M68" s="6">
        <v>1.974</v>
      </c>
      <c r="N68" s="6">
        <v>1.974</v>
      </c>
      <c r="O68" s="6">
        <v>1.974</v>
      </c>
      <c r="P68" s="6">
        <v>0</v>
      </c>
      <c r="Q68" s="4" t="s">
        <v>26</v>
      </c>
      <c r="R68" s="4">
        <v>0</v>
      </c>
      <c r="S68" s="6">
        <v>0</v>
      </c>
      <c r="T68" s="6">
        <v>25</v>
      </c>
      <c r="U68" s="6">
        <v>44</v>
      </c>
      <c r="V68" s="6">
        <f>IF(ISERROR(VLOOKUP($S$68,'TAR FIN'!$A$1:$O$85,15,0)),0,VLOOKUP($S$68,'TAR FIN'!$A$1:$O$85,15,0))</f>
        <v>0</v>
      </c>
      <c r="W68" s="6">
        <f>IF(ISERROR(VLOOKUP($T$68,'TAR FIN'!$A$1:$O$85,15,0)),0,VLOOKUP($T$68,'TAR FIN'!$A$1:$O$85,15,0))</f>
        <v>1922.56</v>
      </c>
      <c r="X68" s="6">
        <f>IF(ISERROR(VLOOKUP($U$68,'TAR FIN'!$A$1:$O$85,15,0)),0,VLOOKUP($U$68,'TAR FIN'!$A$1:$O$85,15,0))</f>
        <v>141.32</v>
      </c>
      <c r="Y68" s="6"/>
      <c r="Z68" s="6">
        <f ca="1">('TUSD BE'!$AM$11+'TUSD BF'!$AM$11+'TUSD CVA'!$AM$11)*1</f>
        <v>1931.7033804673958</v>
      </c>
      <c r="AA68" s="6">
        <f>('TE BE'!$AB$5+'TE BF'!$AB$5+'TE CVA'!$AB$5)*1</f>
        <v>135.80626150990429</v>
      </c>
      <c r="AB68" s="6">
        <f>$K$68*$V$68</f>
        <v>0</v>
      </c>
      <c r="AC68" s="6">
        <f>$M$68*$W$68</f>
        <v>3795.1334400000001</v>
      </c>
      <c r="AD68" s="6">
        <f>$O$68*$X$68</f>
        <v>278.96567999999996</v>
      </c>
      <c r="AE68" s="6">
        <f>$K$68*$Y$68</f>
        <v>0</v>
      </c>
      <c r="AF68" s="6">
        <f ca="1">$M$68*$Z$68</f>
        <v>3813.1824730426392</v>
      </c>
      <c r="AG68" s="6">
        <f>$O$68*$AA$68</f>
        <v>268.08156022055107</v>
      </c>
    </row>
    <row r="69" spans="1:33" ht="11.25" customHeight="1" x14ac:dyDescent="0.25">
      <c r="A69" s="4" t="s">
        <v>21</v>
      </c>
      <c r="B69" s="4" t="s">
        <v>35</v>
      </c>
      <c r="C69" s="4" t="s">
        <v>36</v>
      </c>
      <c r="D69" s="4" t="s">
        <v>39</v>
      </c>
      <c r="E69" s="4" t="s">
        <v>25</v>
      </c>
      <c r="F69" s="4" t="s">
        <v>25</v>
      </c>
      <c r="G69" s="4" t="s">
        <v>25</v>
      </c>
      <c r="H69" s="4" t="s">
        <v>37</v>
      </c>
      <c r="I69" s="5">
        <v>44652</v>
      </c>
      <c r="J69" s="6">
        <v>0</v>
      </c>
      <c r="K69" s="6">
        <v>0</v>
      </c>
      <c r="L69" s="6">
        <v>1.9390000000000001</v>
      </c>
      <c r="M69" s="6">
        <v>1.9390000000000001</v>
      </c>
      <c r="N69" s="6">
        <v>1.9390000000000001</v>
      </c>
      <c r="O69" s="6">
        <v>1.9390000000000001</v>
      </c>
      <c r="P69" s="6">
        <v>0</v>
      </c>
      <c r="Q69" s="4" t="s">
        <v>26</v>
      </c>
      <c r="R69" s="4">
        <v>0</v>
      </c>
      <c r="S69" s="6">
        <v>0</v>
      </c>
      <c r="T69" s="6">
        <v>25</v>
      </c>
      <c r="U69" s="6">
        <v>44</v>
      </c>
      <c r="V69" s="6">
        <f>IF(ISERROR(VLOOKUP($S$69,'TAR FIN'!$A$1:$O$85,15,0)),0,VLOOKUP($S$69,'TAR FIN'!$A$1:$O$85,15,0))</f>
        <v>0</v>
      </c>
      <c r="W69" s="6">
        <f>IF(ISERROR(VLOOKUP($T$69,'TAR FIN'!$A$1:$O$85,15,0)),0,VLOOKUP($T$69,'TAR FIN'!$A$1:$O$85,15,0))</f>
        <v>1922.56</v>
      </c>
      <c r="X69" s="6">
        <f>IF(ISERROR(VLOOKUP($U$69,'TAR FIN'!$A$1:$O$85,15,0)),0,VLOOKUP($U$69,'TAR FIN'!$A$1:$O$85,15,0))</f>
        <v>141.32</v>
      </c>
      <c r="Y69" s="6"/>
      <c r="Z69" s="6">
        <f ca="1">('TUSD BE'!$AM$11+'TUSD BF'!$AM$11+'TUSD CVA'!$AM$11)*1</f>
        <v>1931.7033804673958</v>
      </c>
      <c r="AA69" s="6">
        <f>('TE BE'!$AB$5+'TE BF'!$AB$5+'TE CVA'!$AB$5)*1</f>
        <v>135.80626150990429</v>
      </c>
      <c r="AB69" s="6">
        <f>$K$69*$V$69</f>
        <v>0</v>
      </c>
      <c r="AC69" s="6">
        <f>$M$69*$W$69</f>
        <v>3727.84384</v>
      </c>
      <c r="AD69" s="6">
        <f>$O$69*$X$69</f>
        <v>274.01947999999999</v>
      </c>
      <c r="AE69" s="6">
        <f>$K$69*$Y$69</f>
        <v>0</v>
      </c>
      <c r="AF69" s="6">
        <f ca="1">$M$69*$Z$69</f>
        <v>3745.5728547262806</v>
      </c>
      <c r="AG69" s="6">
        <f>$O$69*$AA$69</f>
        <v>263.3283410677044</v>
      </c>
    </row>
    <row r="70" spans="1:33" ht="11.25" customHeight="1" x14ac:dyDescent="0.25">
      <c r="A70" s="4" t="s">
        <v>21</v>
      </c>
      <c r="B70" s="4" t="s">
        <v>35</v>
      </c>
      <c r="C70" s="4" t="s">
        <v>36</v>
      </c>
      <c r="D70" s="4" t="s">
        <v>39</v>
      </c>
      <c r="E70" s="4" t="s">
        <v>25</v>
      </c>
      <c r="F70" s="4" t="s">
        <v>25</v>
      </c>
      <c r="G70" s="4" t="s">
        <v>25</v>
      </c>
      <c r="H70" s="4" t="s">
        <v>37</v>
      </c>
      <c r="I70" s="5">
        <v>44682</v>
      </c>
      <c r="J70" s="6">
        <v>0</v>
      </c>
      <c r="K70" s="6">
        <v>0</v>
      </c>
      <c r="L70" s="6">
        <v>2.0470000000000002</v>
      </c>
      <c r="M70" s="6">
        <v>2.0470000000000002</v>
      </c>
      <c r="N70" s="6">
        <v>2.0470000000000002</v>
      </c>
      <c r="O70" s="6">
        <v>2.0470000000000002</v>
      </c>
      <c r="P70" s="6">
        <v>0</v>
      </c>
      <c r="Q70" s="4" t="s">
        <v>26</v>
      </c>
      <c r="R70" s="4">
        <v>0</v>
      </c>
      <c r="S70" s="6">
        <v>0</v>
      </c>
      <c r="T70" s="6">
        <v>25</v>
      </c>
      <c r="U70" s="6">
        <v>44</v>
      </c>
      <c r="V70" s="6">
        <f>IF(ISERROR(VLOOKUP($S$70,'TAR FIN'!$A$1:$O$85,15,0)),0,VLOOKUP($S$70,'TAR FIN'!$A$1:$O$85,15,0))</f>
        <v>0</v>
      </c>
      <c r="W70" s="6">
        <f>IF(ISERROR(VLOOKUP($T$70,'TAR FIN'!$A$1:$O$85,15,0)),0,VLOOKUP($T$70,'TAR FIN'!$A$1:$O$85,15,0))</f>
        <v>1922.56</v>
      </c>
      <c r="X70" s="6">
        <f>IF(ISERROR(VLOOKUP($U$70,'TAR FIN'!$A$1:$O$85,15,0)),0,VLOOKUP($U$70,'TAR FIN'!$A$1:$O$85,15,0))</f>
        <v>141.32</v>
      </c>
      <c r="Y70" s="6"/>
      <c r="Z70" s="6">
        <f ca="1">('TUSD BE'!$AM$11+'TUSD BF'!$AM$11+'TUSD CVA'!$AM$11)*1</f>
        <v>1931.7033804673958</v>
      </c>
      <c r="AA70" s="6">
        <f>('TE BE'!$AB$5+'TE BF'!$AB$5+'TE CVA'!$AB$5)*1</f>
        <v>135.80626150990429</v>
      </c>
      <c r="AB70" s="6">
        <f>$K$70*$V$70</f>
        <v>0</v>
      </c>
      <c r="AC70" s="6">
        <f>$M$70*$W$70</f>
        <v>3935.4803200000001</v>
      </c>
      <c r="AD70" s="6">
        <f>$O$70*$X$70</f>
        <v>289.28203999999999</v>
      </c>
      <c r="AE70" s="6">
        <f>$K$70*$Y$70</f>
        <v>0</v>
      </c>
      <c r="AF70" s="6">
        <f ca="1">$M$70*$Z$70</f>
        <v>3954.1968198167597</v>
      </c>
      <c r="AG70" s="6">
        <f>$O$70*$AA$70</f>
        <v>277.99541731077409</v>
      </c>
    </row>
    <row r="71" spans="1:33" ht="11.25" customHeight="1" x14ac:dyDescent="0.25">
      <c r="A71" s="4" t="s">
        <v>21</v>
      </c>
      <c r="B71" s="4" t="s">
        <v>35</v>
      </c>
      <c r="C71" s="4" t="s">
        <v>36</v>
      </c>
      <c r="D71" s="4" t="s">
        <v>39</v>
      </c>
      <c r="E71" s="4" t="s">
        <v>25</v>
      </c>
      <c r="F71" s="4" t="s">
        <v>25</v>
      </c>
      <c r="G71" s="4" t="s">
        <v>25</v>
      </c>
      <c r="H71" s="4" t="s">
        <v>37</v>
      </c>
      <c r="I71" s="5">
        <v>44713</v>
      </c>
      <c r="J71" s="6">
        <v>0</v>
      </c>
      <c r="K71" s="6">
        <v>0</v>
      </c>
      <c r="L71" s="6">
        <v>2.2669999999999999</v>
      </c>
      <c r="M71" s="6">
        <v>2.2669999999999999</v>
      </c>
      <c r="N71" s="6">
        <v>2.2669999999999999</v>
      </c>
      <c r="O71" s="6">
        <v>2.2669999999999999</v>
      </c>
      <c r="P71" s="6">
        <v>0</v>
      </c>
      <c r="Q71" s="4" t="s">
        <v>26</v>
      </c>
      <c r="R71" s="4">
        <v>0</v>
      </c>
      <c r="S71" s="6">
        <v>0</v>
      </c>
      <c r="T71" s="6">
        <v>25</v>
      </c>
      <c r="U71" s="6">
        <v>44</v>
      </c>
      <c r="V71" s="6">
        <f>IF(ISERROR(VLOOKUP($S$71,'TAR FIN'!$A$1:$O$85,15,0)),0,VLOOKUP($S$71,'TAR FIN'!$A$1:$O$85,15,0))</f>
        <v>0</v>
      </c>
      <c r="W71" s="6">
        <f>IF(ISERROR(VLOOKUP($T$71,'TAR FIN'!$A$1:$O$85,15,0)),0,VLOOKUP($T$71,'TAR FIN'!$A$1:$O$85,15,0))</f>
        <v>1922.56</v>
      </c>
      <c r="X71" s="6">
        <f>IF(ISERROR(VLOOKUP($U$71,'TAR FIN'!$A$1:$O$85,15,0)),0,VLOOKUP($U$71,'TAR FIN'!$A$1:$O$85,15,0))</f>
        <v>141.32</v>
      </c>
      <c r="Y71" s="6"/>
      <c r="Z71" s="6">
        <f ca="1">('TUSD BE'!$AM$11+'TUSD BF'!$AM$11+'TUSD CVA'!$AM$11)*1</f>
        <v>1931.7033804673958</v>
      </c>
      <c r="AA71" s="6">
        <f>('TE BE'!$AB$5+'TE BF'!$AB$5+'TE CVA'!$AB$5)*1</f>
        <v>135.80626150990429</v>
      </c>
      <c r="AB71" s="6">
        <f>$K$71*$V$71</f>
        <v>0</v>
      </c>
      <c r="AC71" s="6">
        <f>$M$71*$W$71</f>
        <v>4358.4435199999998</v>
      </c>
      <c r="AD71" s="6">
        <f>$O$71*$X$71</f>
        <v>320.37243999999998</v>
      </c>
      <c r="AE71" s="6">
        <f>$K$71*$Y$71</f>
        <v>0</v>
      </c>
      <c r="AF71" s="6">
        <f ca="1">$M$71*$Z$71</f>
        <v>4379.171563519586</v>
      </c>
      <c r="AG71" s="6">
        <f>$O$71*$AA$71</f>
        <v>307.872794842953</v>
      </c>
    </row>
    <row r="72" spans="1:33" ht="11.25" customHeight="1" x14ac:dyDescent="0.25">
      <c r="A72" s="4" t="s">
        <v>21</v>
      </c>
      <c r="B72" s="4" t="s">
        <v>35</v>
      </c>
      <c r="C72" s="4" t="s">
        <v>36</v>
      </c>
      <c r="D72" s="4" t="s">
        <v>39</v>
      </c>
      <c r="E72" s="4" t="s">
        <v>25</v>
      </c>
      <c r="F72" s="4" t="s">
        <v>25</v>
      </c>
      <c r="G72" s="4" t="s">
        <v>25</v>
      </c>
      <c r="H72" s="4" t="s">
        <v>37</v>
      </c>
      <c r="I72" s="5">
        <v>44743</v>
      </c>
      <c r="J72" s="6">
        <v>0</v>
      </c>
      <c r="K72" s="6">
        <v>0</v>
      </c>
      <c r="L72" s="6">
        <v>2.5880000000000001</v>
      </c>
      <c r="M72" s="6">
        <v>2.5880000000000001</v>
      </c>
      <c r="N72" s="6">
        <v>2.5880000000000001</v>
      </c>
      <c r="O72" s="6">
        <v>2.5880000000000001</v>
      </c>
      <c r="P72" s="6">
        <v>0</v>
      </c>
      <c r="Q72" s="4" t="s">
        <v>26</v>
      </c>
      <c r="R72" s="4">
        <v>0</v>
      </c>
      <c r="S72" s="6">
        <v>0</v>
      </c>
      <c r="T72" s="6">
        <v>25</v>
      </c>
      <c r="U72" s="6">
        <v>44</v>
      </c>
      <c r="V72" s="6">
        <f>IF(ISERROR(VLOOKUP($S$72,'TAR FIN'!$A$1:$O$85,15,0)),0,VLOOKUP($S$72,'TAR FIN'!$A$1:$O$85,15,0))</f>
        <v>0</v>
      </c>
      <c r="W72" s="6">
        <f>IF(ISERROR(VLOOKUP($T$72,'TAR FIN'!$A$1:$O$85,15,0)),0,VLOOKUP($T$72,'TAR FIN'!$A$1:$O$85,15,0))</f>
        <v>1922.56</v>
      </c>
      <c r="X72" s="6">
        <f>IF(ISERROR(VLOOKUP($U$72,'TAR FIN'!$A$1:$O$85,15,0)),0,VLOOKUP($U$72,'TAR FIN'!$A$1:$O$85,15,0))</f>
        <v>141.32</v>
      </c>
      <c r="Y72" s="6"/>
      <c r="Z72" s="6">
        <f ca="1">('TUSD BE'!$AM$11+'TUSD BF'!$AM$11+'TUSD CVA'!$AM$11)*1</f>
        <v>1931.7033804673958</v>
      </c>
      <c r="AA72" s="6">
        <f>('TE BE'!$AB$5+'TE BF'!$AB$5+'TE CVA'!$AB$5)*1</f>
        <v>135.80626150990429</v>
      </c>
      <c r="AB72" s="6">
        <f>$K$72*$V$72</f>
        <v>0</v>
      </c>
      <c r="AC72" s="6">
        <f>$M$72*$W$72</f>
        <v>4975.5852800000002</v>
      </c>
      <c r="AD72" s="6">
        <f>$O$72*$X$72</f>
        <v>365.73615999999998</v>
      </c>
      <c r="AE72" s="6">
        <f>$K$72*$Y$72</f>
        <v>0</v>
      </c>
      <c r="AF72" s="6">
        <f ca="1">$M$72*$Z$72</f>
        <v>4999.2483486496203</v>
      </c>
      <c r="AG72" s="6">
        <f>$O$72*$AA$72</f>
        <v>351.46660478763232</v>
      </c>
    </row>
    <row r="73" spans="1:33" ht="11.25" customHeight="1" x14ac:dyDescent="0.25">
      <c r="A73" s="4" t="s">
        <v>21</v>
      </c>
      <c r="B73" s="4" t="s">
        <v>35</v>
      </c>
      <c r="C73" s="4" t="s">
        <v>36</v>
      </c>
      <c r="D73" s="4" t="s">
        <v>39</v>
      </c>
      <c r="E73" s="4" t="s">
        <v>25</v>
      </c>
      <c r="F73" s="4" t="s">
        <v>25</v>
      </c>
      <c r="G73" s="4" t="s">
        <v>25</v>
      </c>
      <c r="H73" s="4" t="s">
        <v>37</v>
      </c>
      <c r="I73" s="5">
        <v>44774</v>
      </c>
      <c r="J73" s="6">
        <v>0</v>
      </c>
      <c r="K73" s="6">
        <v>0</v>
      </c>
      <c r="L73" s="6">
        <v>2.2269999999999999</v>
      </c>
      <c r="M73" s="6">
        <v>2.2269999999999999</v>
      </c>
      <c r="N73" s="6">
        <v>2.2269999999999999</v>
      </c>
      <c r="O73" s="6">
        <v>2.2269999999999999</v>
      </c>
      <c r="P73" s="6">
        <v>0</v>
      </c>
      <c r="Q73" s="4" t="s">
        <v>26</v>
      </c>
      <c r="R73" s="4">
        <v>0</v>
      </c>
      <c r="S73" s="6">
        <v>0</v>
      </c>
      <c r="T73" s="6">
        <v>25</v>
      </c>
      <c r="U73" s="6">
        <v>44</v>
      </c>
      <c r="V73" s="6">
        <f>IF(ISERROR(VLOOKUP($S$73,'TAR FIN'!$A$1:$O$85,15,0)),0,VLOOKUP($S$73,'TAR FIN'!$A$1:$O$85,15,0))</f>
        <v>0</v>
      </c>
      <c r="W73" s="6">
        <f>IF(ISERROR(VLOOKUP($T$73,'TAR FIN'!$A$1:$O$85,15,0)),0,VLOOKUP($T$73,'TAR FIN'!$A$1:$O$85,15,0))</f>
        <v>1922.56</v>
      </c>
      <c r="X73" s="6">
        <f>IF(ISERROR(VLOOKUP($U$73,'TAR FIN'!$A$1:$O$85,15,0)),0,VLOOKUP($U$73,'TAR FIN'!$A$1:$O$85,15,0))</f>
        <v>141.32</v>
      </c>
      <c r="Y73" s="6"/>
      <c r="Z73" s="6">
        <f ca="1">('TUSD BE'!$AM$11+'TUSD BF'!$AM$11+'TUSD CVA'!$AM$11)*1</f>
        <v>1931.7033804673958</v>
      </c>
      <c r="AA73" s="6">
        <f>('TE BE'!$AB$5+'TE BF'!$AB$5+'TE CVA'!$AB$5)*1</f>
        <v>135.80626150990429</v>
      </c>
      <c r="AB73" s="6">
        <f>$K$73*$V$73</f>
        <v>0</v>
      </c>
      <c r="AC73" s="6">
        <f>$M$73*$W$73</f>
        <v>4281.5411199999999</v>
      </c>
      <c r="AD73" s="6">
        <f>$O$73*$X$73</f>
        <v>314.71963999999997</v>
      </c>
      <c r="AE73" s="6">
        <f>$K$73*$Y$73</f>
        <v>0</v>
      </c>
      <c r="AF73" s="6">
        <f ca="1">$M$73*$Z$73</f>
        <v>4301.9034283008905</v>
      </c>
      <c r="AG73" s="6">
        <f>$O$73*$AA$73</f>
        <v>302.44054438255682</v>
      </c>
    </row>
    <row r="74" spans="1:33" ht="11.25" customHeight="1" x14ac:dyDescent="0.25">
      <c r="A74" s="4" t="s">
        <v>21</v>
      </c>
      <c r="B74" s="4" t="s">
        <v>35</v>
      </c>
      <c r="C74" s="4" t="s">
        <v>36</v>
      </c>
      <c r="D74" s="4" t="s">
        <v>34</v>
      </c>
      <c r="E74" s="4" t="s">
        <v>25</v>
      </c>
      <c r="F74" s="4" t="s">
        <v>25</v>
      </c>
      <c r="G74" s="4" t="s">
        <v>25</v>
      </c>
      <c r="H74" s="4" t="s">
        <v>38</v>
      </c>
      <c r="I74" s="5">
        <v>44440</v>
      </c>
      <c r="J74" s="6">
        <v>0</v>
      </c>
      <c r="K74" s="6">
        <v>0</v>
      </c>
      <c r="L74" s="6">
        <v>2285.2629999999999</v>
      </c>
      <c r="M74" s="6">
        <v>2285.2629999999999</v>
      </c>
      <c r="N74" s="6">
        <v>2285.2629999999999</v>
      </c>
      <c r="O74" s="6">
        <v>2285.2629999999999</v>
      </c>
      <c r="P74" s="6">
        <v>0</v>
      </c>
      <c r="Q74" s="4" t="s">
        <v>26</v>
      </c>
      <c r="R74" s="4">
        <v>0</v>
      </c>
      <c r="S74" s="6">
        <v>0</v>
      </c>
      <c r="T74" s="6">
        <v>23</v>
      </c>
      <c r="U74" s="6">
        <v>51</v>
      </c>
      <c r="V74" s="6">
        <f>IF(ISERROR(VLOOKUP($S$74,'TAR FIN'!$A$1:$O$85,15,0)),0,VLOOKUP($S$74,'TAR FIN'!$A$1:$O$85,15,0))</f>
        <v>0</v>
      </c>
      <c r="W74" s="6">
        <f>IF(ISERROR(VLOOKUP($T$74,'TAR FIN'!$A$1:$O$85,15,0)),0,VLOOKUP($T$74,'TAR FIN'!$A$1:$O$85,15,0))</f>
        <v>66.22</v>
      </c>
      <c r="X74" s="6">
        <f>IF(ISERROR(VLOOKUP($U$74,'TAR FIN'!$A$1:$O$85,15,0)),0,VLOOKUP($U$74,'TAR FIN'!$A$1:$O$85,15,0))</f>
        <v>141.32</v>
      </c>
      <c r="Y74" s="6"/>
      <c r="Z74" s="6">
        <f ca="1">('TUSD BE'!$AM$12+'TUSD BF'!$AM$12+'TUSD CVA'!$AM$12)*1</f>
        <v>99.847749713611876</v>
      </c>
      <c r="AA74" s="6">
        <f>('TE BE'!$AB$6+'TE BF'!$AB$6+'TE CVA'!$AB$6)*1</f>
        <v>135.80626150990429</v>
      </c>
      <c r="AB74" s="6">
        <f>$K$74*$V$74</f>
        <v>0</v>
      </c>
      <c r="AC74" s="6">
        <f>$M$74*$W$74</f>
        <v>151330.11585999999</v>
      </c>
      <c r="AD74" s="6">
        <f>$O$74*$X$74</f>
        <v>322953.36715999997</v>
      </c>
      <c r="AE74" s="6">
        <f>$K$74*$Y$74</f>
        <v>0</v>
      </c>
      <c r="AF74" s="6">
        <f ca="1">$M$74*$Z$74</f>
        <v>228178.36805377781</v>
      </c>
      <c r="AG74" s="6">
        <f>$O$74*$AA$74</f>
        <v>310353.02459690842</v>
      </c>
    </row>
    <row r="75" spans="1:33" ht="11.25" customHeight="1" x14ac:dyDescent="0.25">
      <c r="A75" s="4" t="s">
        <v>28</v>
      </c>
      <c r="B75" s="4" t="s">
        <v>35</v>
      </c>
      <c r="C75" s="4" t="s">
        <v>36</v>
      </c>
      <c r="D75" s="4" t="s">
        <v>34</v>
      </c>
      <c r="E75" s="4" t="s">
        <v>25</v>
      </c>
      <c r="F75" s="4" t="s">
        <v>25</v>
      </c>
      <c r="G75" s="4" t="s">
        <v>25</v>
      </c>
      <c r="H75" s="4" t="s">
        <v>38</v>
      </c>
      <c r="I75" s="5">
        <v>44440</v>
      </c>
      <c r="J75" s="6">
        <v>0</v>
      </c>
      <c r="K75" s="6">
        <v>0</v>
      </c>
      <c r="L75" s="6">
        <v>0.39</v>
      </c>
      <c r="M75" s="6">
        <v>0.39</v>
      </c>
      <c r="N75" s="6">
        <v>0.39</v>
      </c>
      <c r="O75" s="6">
        <v>0.39</v>
      </c>
      <c r="P75" s="6">
        <v>0</v>
      </c>
      <c r="Q75" s="4" t="s">
        <v>26</v>
      </c>
      <c r="R75" s="4">
        <v>0</v>
      </c>
      <c r="S75" s="6">
        <v>0</v>
      </c>
      <c r="T75" s="6">
        <v>23</v>
      </c>
      <c r="U75" s="6">
        <v>51</v>
      </c>
      <c r="V75" s="6">
        <f>IF(ISERROR(VLOOKUP($S$75,'TAR FIN'!$A$1:$O$85,15,0)),0,VLOOKUP($S$75,'TAR FIN'!$A$1:$O$85,15,0))</f>
        <v>0</v>
      </c>
      <c r="W75" s="6">
        <f>IF(ISERROR(VLOOKUP($T$75,'TAR FIN'!$A$1:$O$85,15,0)),0,VLOOKUP($T$75,'TAR FIN'!$A$1:$O$85,15,0))</f>
        <v>66.22</v>
      </c>
      <c r="X75" s="6">
        <f>IF(ISERROR(VLOOKUP($U$75,'TAR FIN'!$A$1:$O$85,15,0)),0,VLOOKUP($U$75,'TAR FIN'!$A$1:$O$85,15,0))</f>
        <v>141.32</v>
      </c>
      <c r="Y75" s="6"/>
      <c r="Z75" s="6">
        <f ca="1">('TUSD BE'!$AM$12+'TUSD BF'!$AM$12+'TUSD CVA'!$AM$12)*1</f>
        <v>99.847749713611876</v>
      </c>
      <c r="AA75" s="6">
        <f>('TE BE'!$AB$6+'TE BF'!$AB$6+'TE CVA'!$AB$6)*1</f>
        <v>135.80626150990429</v>
      </c>
      <c r="AB75" s="6">
        <f>$K$75*$V$75</f>
        <v>0</v>
      </c>
      <c r="AC75" s="6">
        <f>$M$75*$W$75</f>
        <v>25.825800000000001</v>
      </c>
      <c r="AD75" s="6">
        <f>$O$75*$X$75</f>
        <v>55.114800000000002</v>
      </c>
      <c r="AE75" s="6">
        <f>$K$75*$Y$75</f>
        <v>0</v>
      </c>
      <c r="AF75" s="6">
        <f ca="1">$M$75*$Z$75</f>
        <v>38.940622388308633</v>
      </c>
      <c r="AG75" s="6">
        <f>$O$75*$AA$75</f>
        <v>52.964441988862674</v>
      </c>
    </row>
    <row r="76" spans="1:33" ht="11.25" customHeight="1" x14ac:dyDescent="0.25">
      <c r="A76" s="4" t="s">
        <v>21</v>
      </c>
      <c r="B76" s="4" t="s">
        <v>35</v>
      </c>
      <c r="C76" s="4" t="s">
        <v>36</v>
      </c>
      <c r="D76" s="4" t="s">
        <v>34</v>
      </c>
      <c r="E76" s="4" t="s">
        <v>25</v>
      </c>
      <c r="F76" s="4" t="s">
        <v>25</v>
      </c>
      <c r="G76" s="4" t="s">
        <v>25</v>
      </c>
      <c r="H76" s="4" t="s">
        <v>38</v>
      </c>
      <c r="I76" s="5">
        <v>44470</v>
      </c>
      <c r="J76" s="6">
        <v>0</v>
      </c>
      <c r="K76" s="6">
        <v>0</v>
      </c>
      <c r="L76" s="6">
        <v>2156.15</v>
      </c>
      <c r="M76" s="6">
        <v>2156.15</v>
      </c>
      <c r="N76" s="6">
        <v>2156.15</v>
      </c>
      <c r="O76" s="6">
        <v>2156.15</v>
      </c>
      <c r="P76" s="6">
        <v>0</v>
      </c>
      <c r="Q76" s="4" t="s">
        <v>26</v>
      </c>
      <c r="R76" s="4">
        <v>0</v>
      </c>
      <c r="S76" s="6">
        <v>0</v>
      </c>
      <c r="T76" s="6">
        <v>23</v>
      </c>
      <c r="U76" s="6">
        <v>51</v>
      </c>
      <c r="V76" s="6">
        <f>IF(ISERROR(VLOOKUP($S$76,'TAR FIN'!$A$1:$O$85,15,0)),0,VLOOKUP($S$76,'TAR FIN'!$A$1:$O$85,15,0))</f>
        <v>0</v>
      </c>
      <c r="W76" s="6">
        <f>IF(ISERROR(VLOOKUP($T$76,'TAR FIN'!$A$1:$O$85,15,0)),0,VLOOKUP($T$76,'TAR FIN'!$A$1:$O$85,15,0))</f>
        <v>66.22</v>
      </c>
      <c r="X76" s="6">
        <f>IF(ISERROR(VLOOKUP($U$76,'TAR FIN'!$A$1:$O$85,15,0)),0,VLOOKUP($U$76,'TAR FIN'!$A$1:$O$85,15,0))</f>
        <v>141.32</v>
      </c>
      <c r="Y76" s="6"/>
      <c r="Z76" s="6">
        <f ca="1">('TUSD BE'!$AM$12+'TUSD BF'!$AM$12+'TUSD CVA'!$AM$12)*1</f>
        <v>99.847749713611876</v>
      </c>
      <c r="AA76" s="6">
        <f>('TE BE'!$AB$6+'TE BF'!$AB$6+'TE CVA'!$AB$6)*1</f>
        <v>135.80626150990429</v>
      </c>
      <c r="AB76" s="6">
        <f>$K$76*$V$76</f>
        <v>0</v>
      </c>
      <c r="AC76" s="6">
        <f>$M$76*$W$76</f>
        <v>142780.253</v>
      </c>
      <c r="AD76" s="6">
        <f>$O$76*$X$76</f>
        <v>304707.11800000002</v>
      </c>
      <c r="AE76" s="6">
        <f>$K$76*$Y$76</f>
        <v>0</v>
      </c>
      <c r="AF76" s="6">
        <f ca="1">$M$76*$Z$76</f>
        <v>215286.72554500424</v>
      </c>
      <c r="AG76" s="6">
        <f>$O$76*$AA$76</f>
        <v>292818.67075458012</v>
      </c>
    </row>
    <row r="77" spans="1:33" ht="11.25" customHeight="1" x14ac:dyDescent="0.25">
      <c r="A77" s="4" t="s">
        <v>21</v>
      </c>
      <c r="B77" s="4" t="s">
        <v>35</v>
      </c>
      <c r="C77" s="4" t="s">
        <v>36</v>
      </c>
      <c r="D77" s="4" t="s">
        <v>34</v>
      </c>
      <c r="E77" s="4" t="s">
        <v>25</v>
      </c>
      <c r="F77" s="4" t="s">
        <v>25</v>
      </c>
      <c r="G77" s="4" t="s">
        <v>25</v>
      </c>
      <c r="H77" s="4" t="s">
        <v>38</v>
      </c>
      <c r="I77" s="5">
        <v>44501</v>
      </c>
      <c r="J77" s="6">
        <v>0</v>
      </c>
      <c r="K77" s="6">
        <v>0</v>
      </c>
      <c r="L77" s="6">
        <v>2218.4679999999998</v>
      </c>
      <c r="M77" s="6">
        <v>2218.4679999999998</v>
      </c>
      <c r="N77" s="6">
        <v>2218.4679999999998</v>
      </c>
      <c r="O77" s="6">
        <v>2218.4679999999998</v>
      </c>
      <c r="P77" s="6">
        <v>0</v>
      </c>
      <c r="Q77" s="4" t="s">
        <v>26</v>
      </c>
      <c r="R77" s="4">
        <v>0</v>
      </c>
      <c r="S77" s="6">
        <v>0</v>
      </c>
      <c r="T77" s="6">
        <v>23</v>
      </c>
      <c r="U77" s="6">
        <v>51</v>
      </c>
      <c r="V77" s="6">
        <f>IF(ISERROR(VLOOKUP($S$77,'TAR FIN'!$A$1:$O$85,15,0)),0,VLOOKUP($S$77,'TAR FIN'!$A$1:$O$85,15,0))</f>
        <v>0</v>
      </c>
      <c r="W77" s="6">
        <f>IF(ISERROR(VLOOKUP($T$77,'TAR FIN'!$A$1:$O$85,15,0)),0,VLOOKUP($T$77,'TAR FIN'!$A$1:$O$85,15,0))</f>
        <v>66.22</v>
      </c>
      <c r="X77" s="6">
        <f>IF(ISERROR(VLOOKUP($U$77,'TAR FIN'!$A$1:$O$85,15,0)),0,VLOOKUP($U$77,'TAR FIN'!$A$1:$O$85,15,0))</f>
        <v>141.32</v>
      </c>
      <c r="Y77" s="6"/>
      <c r="Z77" s="6">
        <f ca="1">('TUSD BE'!$AM$12+'TUSD BF'!$AM$12+'TUSD CVA'!$AM$12)*1</f>
        <v>99.847749713611876</v>
      </c>
      <c r="AA77" s="6">
        <f>('TE BE'!$AB$6+'TE BF'!$AB$6+'TE CVA'!$AB$6)*1</f>
        <v>135.80626150990429</v>
      </c>
      <c r="AB77" s="6">
        <f>$K$77*$V$77</f>
        <v>0</v>
      </c>
      <c r="AC77" s="6">
        <f>$M$77*$W$77</f>
        <v>146906.95095999999</v>
      </c>
      <c r="AD77" s="6">
        <f>$O$77*$X$77</f>
        <v>313513.89775999996</v>
      </c>
      <c r="AE77" s="6">
        <f>$K$77*$Y$77</f>
        <v>0</v>
      </c>
      <c r="AF77" s="6">
        <f ca="1">$M$77*$Z$77</f>
        <v>221509.03761165708</v>
      </c>
      <c r="AG77" s="6">
        <f>$O$77*$AA$77</f>
        <v>301281.84535935434</v>
      </c>
    </row>
    <row r="78" spans="1:33" ht="11.25" customHeight="1" x14ac:dyDescent="0.25">
      <c r="A78" s="4" t="s">
        <v>28</v>
      </c>
      <c r="B78" s="4" t="s">
        <v>35</v>
      </c>
      <c r="C78" s="4" t="s">
        <v>36</v>
      </c>
      <c r="D78" s="4" t="s">
        <v>34</v>
      </c>
      <c r="E78" s="4" t="s">
        <v>25</v>
      </c>
      <c r="F78" s="4" t="s">
        <v>25</v>
      </c>
      <c r="G78" s="4" t="s">
        <v>25</v>
      </c>
      <c r="H78" s="4" t="s">
        <v>38</v>
      </c>
      <c r="I78" s="5">
        <v>44501</v>
      </c>
      <c r="J78" s="6">
        <v>0</v>
      </c>
      <c r="K78" s="6">
        <v>0</v>
      </c>
      <c r="L78" s="6">
        <v>11.406000000000001</v>
      </c>
      <c r="M78" s="6">
        <v>11.406000000000001</v>
      </c>
      <c r="N78" s="6">
        <v>11.406000000000001</v>
      </c>
      <c r="O78" s="6">
        <v>11.406000000000001</v>
      </c>
      <c r="P78" s="6">
        <v>0</v>
      </c>
      <c r="Q78" s="4" t="s">
        <v>26</v>
      </c>
      <c r="R78" s="4">
        <v>0</v>
      </c>
      <c r="S78" s="6">
        <v>0</v>
      </c>
      <c r="T78" s="6">
        <v>23</v>
      </c>
      <c r="U78" s="6">
        <v>51</v>
      </c>
      <c r="V78" s="6">
        <f>IF(ISERROR(VLOOKUP($S$78,'TAR FIN'!$A$1:$O$85,15,0)),0,VLOOKUP($S$78,'TAR FIN'!$A$1:$O$85,15,0))</f>
        <v>0</v>
      </c>
      <c r="W78" s="6">
        <f>IF(ISERROR(VLOOKUP($T$78,'TAR FIN'!$A$1:$O$85,15,0)),0,VLOOKUP($T$78,'TAR FIN'!$A$1:$O$85,15,0))</f>
        <v>66.22</v>
      </c>
      <c r="X78" s="6">
        <f>IF(ISERROR(VLOOKUP($U$78,'TAR FIN'!$A$1:$O$85,15,0)),0,VLOOKUP($U$78,'TAR FIN'!$A$1:$O$85,15,0))</f>
        <v>141.32</v>
      </c>
      <c r="Y78" s="6"/>
      <c r="Z78" s="6">
        <f ca="1">('TUSD BE'!$AM$12+'TUSD BF'!$AM$12+'TUSD CVA'!$AM$12)*1</f>
        <v>99.847749713611876</v>
      </c>
      <c r="AA78" s="6">
        <f>('TE BE'!$AB$6+'TE BF'!$AB$6+'TE CVA'!$AB$6)*1</f>
        <v>135.80626150990429</v>
      </c>
      <c r="AB78" s="6">
        <f>$K$78*$V$78</f>
        <v>0</v>
      </c>
      <c r="AC78" s="6">
        <f>$M$78*$W$78</f>
        <v>755.30532000000005</v>
      </c>
      <c r="AD78" s="6">
        <f>$O$78*$X$78</f>
        <v>1611.8959199999999</v>
      </c>
      <c r="AE78" s="6">
        <f>$K$78*$Y$78</f>
        <v>0</v>
      </c>
      <c r="AF78" s="6">
        <f ca="1">$M$78*$Z$78</f>
        <v>1138.863433233457</v>
      </c>
      <c r="AG78" s="6">
        <f>$O$78*$AA$78</f>
        <v>1549.0062187819683</v>
      </c>
    </row>
    <row r="79" spans="1:33" ht="11.25" customHeight="1" x14ac:dyDescent="0.25">
      <c r="A79" s="4" t="s">
        <v>21</v>
      </c>
      <c r="B79" s="4" t="s">
        <v>35</v>
      </c>
      <c r="C79" s="4" t="s">
        <v>36</v>
      </c>
      <c r="D79" s="4" t="s">
        <v>34</v>
      </c>
      <c r="E79" s="4" t="s">
        <v>25</v>
      </c>
      <c r="F79" s="4" t="s">
        <v>25</v>
      </c>
      <c r="G79" s="4" t="s">
        <v>25</v>
      </c>
      <c r="H79" s="4" t="s">
        <v>38</v>
      </c>
      <c r="I79" s="5">
        <v>44531</v>
      </c>
      <c r="J79" s="6">
        <v>0</v>
      </c>
      <c r="K79" s="6">
        <v>0</v>
      </c>
      <c r="L79" s="6">
        <v>1925.65</v>
      </c>
      <c r="M79" s="6">
        <v>1925.65</v>
      </c>
      <c r="N79" s="6">
        <v>1925.65</v>
      </c>
      <c r="O79" s="6">
        <v>1925.65</v>
      </c>
      <c r="P79" s="6">
        <v>0</v>
      </c>
      <c r="Q79" s="4" t="s">
        <v>26</v>
      </c>
      <c r="R79" s="4">
        <v>0</v>
      </c>
      <c r="S79" s="6">
        <v>0</v>
      </c>
      <c r="T79" s="6">
        <v>23</v>
      </c>
      <c r="U79" s="6">
        <v>51</v>
      </c>
      <c r="V79" s="6">
        <f>IF(ISERROR(VLOOKUP($S$79,'TAR FIN'!$A$1:$O$85,15,0)),0,VLOOKUP($S$79,'TAR FIN'!$A$1:$O$85,15,0))</f>
        <v>0</v>
      </c>
      <c r="W79" s="6">
        <f>IF(ISERROR(VLOOKUP($T$79,'TAR FIN'!$A$1:$O$85,15,0)),0,VLOOKUP($T$79,'TAR FIN'!$A$1:$O$85,15,0))</f>
        <v>66.22</v>
      </c>
      <c r="X79" s="6">
        <f>IF(ISERROR(VLOOKUP($U$79,'TAR FIN'!$A$1:$O$85,15,0)),0,VLOOKUP($U$79,'TAR FIN'!$A$1:$O$85,15,0))</f>
        <v>141.32</v>
      </c>
      <c r="Y79" s="6"/>
      <c r="Z79" s="6">
        <f ca="1">('TUSD BE'!$AM$12+'TUSD BF'!$AM$12+'TUSD CVA'!$AM$12)*1</f>
        <v>99.847749713611876</v>
      </c>
      <c r="AA79" s="6">
        <f>('TE BE'!$AB$6+'TE BF'!$AB$6+'TE CVA'!$AB$6)*1</f>
        <v>135.80626150990429</v>
      </c>
      <c r="AB79" s="6">
        <f>$K$79*$V$79</f>
        <v>0</v>
      </c>
      <c r="AC79" s="6">
        <f>$M$79*$W$79</f>
        <v>127516.54300000001</v>
      </c>
      <c r="AD79" s="6">
        <f>$O$79*$X$79</f>
        <v>272132.85800000001</v>
      </c>
      <c r="AE79" s="6">
        <f>$K$79*$Y$79</f>
        <v>0</v>
      </c>
      <c r="AF79" s="6">
        <f ca="1">$M$79*$Z$79</f>
        <v>192271.81923601672</v>
      </c>
      <c r="AG79" s="6">
        <f>$O$79*$AA$79</f>
        <v>261515.32747654722</v>
      </c>
    </row>
    <row r="80" spans="1:33" ht="11.25" customHeight="1" x14ac:dyDescent="0.25">
      <c r="A80" s="4" t="s">
        <v>28</v>
      </c>
      <c r="B80" s="4" t="s">
        <v>35</v>
      </c>
      <c r="C80" s="4" t="s">
        <v>36</v>
      </c>
      <c r="D80" s="4" t="s">
        <v>34</v>
      </c>
      <c r="E80" s="4" t="s">
        <v>25</v>
      </c>
      <c r="F80" s="4" t="s">
        <v>25</v>
      </c>
      <c r="G80" s="4" t="s">
        <v>25</v>
      </c>
      <c r="H80" s="4" t="s">
        <v>38</v>
      </c>
      <c r="I80" s="5">
        <v>44531</v>
      </c>
      <c r="J80" s="6">
        <v>0</v>
      </c>
      <c r="K80" s="6">
        <v>0</v>
      </c>
      <c r="L80" s="6">
        <v>6.08</v>
      </c>
      <c r="M80" s="6">
        <v>6.08</v>
      </c>
      <c r="N80" s="6">
        <v>6.08</v>
      </c>
      <c r="O80" s="6">
        <v>6.08</v>
      </c>
      <c r="P80" s="6">
        <v>0</v>
      </c>
      <c r="Q80" s="4" t="s">
        <v>26</v>
      </c>
      <c r="R80" s="4">
        <v>0</v>
      </c>
      <c r="S80" s="6">
        <v>0</v>
      </c>
      <c r="T80" s="6">
        <v>23</v>
      </c>
      <c r="U80" s="6">
        <v>51</v>
      </c>
      <c r="V80" s="6">
        <f>IF(ISERROR(VLOOKUP($S$80,'TAR FIN'!$A$1:$O$85,15,0)),0,VLOOKUP($S$80,'TAR FIN'!$A$1:$O$85,15,0))</f>
        <v>0</v>
      </c>
      <c r="W80" s="6">
        <f>IF(ISERROR(VLOOKUP($T$80,'TAR FIN'!$A$1:$O$85,15,0)),0,VLOOKUP($T$80,'TAR FIN'!$A$1:$O$85,15,0))</f>
        <v>66.22</v>
      </c>
      <c r="X80" s="6">
        <f>IF(ISERROR(VLOOKUP($U$80,'TAR FIN'!$A$1:$O$85,15,0)),0,VLOOKUP($U$80,'TAR FIN'!$A$1:$O$85,15,0))</f>
        <v>141.32</v>
      </c>
      <c r="Y80" s="6"/>
      <c r="Z80" s="6">
        <f ca="1">('TUSD BE'!$AM$12+'TUSD BF'!$AM$12+'TUSD CVA'!$AM$12)*1</f>
        <v>99.847749713611876</v>
      </c>
      <c r="AA80" s="6">
        <f>('TE BE'!$AB$6+'TE BF'!$AB$6+'TE CVA'!$AB$6)*1</f>
        <v>135.80626150990429</v>
      </c>
      <c r="AB80" s="6">
        <f>$K$80*$V$80</f>
        <v>0</v>
      </c>
      <c r="AC80" s="6">
        <f>$M$80*$W$80</f>
        <v>402.61759999999998</v>
      </c>
      <c r="AD80" s="6">
        <f>$O$80*$X$80</f>
        <v>859.22559999999999</v>
      </c>
      <c r="AE80" s="6">
        <f>$K$80*$Y$80</f>
        <v>0</v>
      </c>
      <c r="AF80" s="6">
        <f ca="1">$M$80*$Z$80</f>
        <v>607.07431825876017</v>
      </c>
      <c r="AG80" s="6">
        <f>$O$80*$AA$80</f>
        <v>825.70206998021808</v>
      </c>
    </row>
    <row r="81" spans="1:33" ht="11.25" customHeight="1" x14ac:dyDescent="0.25">
      <c r="A81" s="4" t="s">
        <v>21</v>
      </c>
      <c r="B81" s="4" t="s">
        <v>35</v>
      </c>
      <c r="C81" s="4" t="s">
        <v>36</v>
      </c>
      <c r="D81" s="4" t="s">
        <v>34</v>
      </c>
      <c r="E81" s="4" t="s">
        <v>25</v>
      </c>
      <c r="F81" s="4" t="s">
        <v>25</v>
      </c>
      <c r="G81" s="4" t="s">
        <v>25</v>
      </c>
      <c r="H81" s="4" t="s">
        <v>38</v>
      </c>
      <c r="I81" s="5">
        <v>44562</v>
      </c>
      <c r="J81" s="6">
        <v>0</v>
      </c>
      <c r="K81" s="6">
        <v>0</v>
      </c>
      <c r="L81" s="6">
        <v>2135.4859999999999</v>
      </c>
      <c r="M81" s="6">
        <v>2135.4859999999999</v>
      </c>
      <c r="N81" s="6">
        <v>2135.4859999999999</v>
      </c>
      <c r="O81" s="6">
        <v>2135.4859999999999</v>
      </c>
      <c r="P81" s="6">
        <v>0</v>
      </c>
      <c r="Q81" s="4" t="s">
        <v>26</v>
      </c>
      <c r="R81" s="4">
        <v>0</v>
      </c>
      <c r="S81" s="6">
        <v>0</v>
      </c>
      <c r="T81" s="6">
        <v>23</v>
      </c>
      <c r="U81" s="6">
        <v>51</v>
      </c>
      <c r="V81" s="6">
        <f>IF(ISERROR(VLOOKUP($S$81,'TAR FIN'!$A$1:$O$85,15,0)),0,VLOOKUP($S$81,'TAR FIN'!$A$1:$O$85,15,0))</f>
        <v>0</v>
      </c>
      <c r="W81" s="6">
        <f>IF(ISERROR(VLOOKUP($T$81,'TAR FIN'!$A$1:$O$85,15,0)),0,VLOOKUP($T$81,'TAR FIN'!$A$1:$O$85,15,0))</f>
        <v>66.22</v>
      </c>
      <c r="X81" s="6">
        <f>IF(ISERROR(VLOOKUP($U$81,'TAR FIN'!$A$1:$O$85,15,0)),0,VLOOKUP($U$81,'TAR FIN'!$A$1:$O$85,15,0))</f>
        <v>141.32</v>
      </c>
      <c r="Y81" s="6"/>
      <c r="Z81" s="6">
        <f ca="1">('TUSD BE'!$AM$12+'TUSD BF'!$AM$12+'TUSD CVA'!$AM$12)*1</f>
        <v>99.847749713611876</v>
      </c>
      <c r="AA81" s="6">
        <f>('TE BE'!$AB$6+'TE BF'!$AB$6+'TE CVA'!$AB$6)*1</f>
        <v>135.80626150990429</v>
      </c>
      <c r="AB81" s="6">
        <f>$K$81*$V$81</f>
        <v>0</v>
      </c>
      <c r="AC81" s="6">
        <f>$M$81*$W$81</f>
        <v>141411.88292</v>
      </c>
      <c r="AD81" s="6">
        <f>$O$81*$X$81</f>
        <v>301786.88152</v>
      </c>
      <c r="AE81" s="6">
        <f>$K$81*$Y$81</f>
        <v>0</v>
      </c>
      <c r="AF81" s="6">
        <f ca="1">$M$81*$Z$81</f>
        <v>213223.47164492216</v>
      </c>
      <c r="AG81" s="6">
        <f>$O$81*$AA$81</f>
        <v>290012.37016673945</v>
      </c>
    </row>
    <row r="82" spans="1:33" ht="11.25" customHeight="1" x14ac:dyDescent="0.25">
      <c r="A82" s="4" t="s">
        <v>28</v>
      </c>
      <c r="B82" s="4" t="s">
        <v>35</v>
      </c>
      <c r="C82" s="4" t="s">
        <v>36</v>
      </c>
      <c r="D82" s="4" t="s">
        <v>34</v>
      </c>
      <c r="E82" s="4" t="s">
        <v>25</v>
      </c>
      <c r="F82" s="4" t="s">
        <v>25</v>
      </c>
      <c r="G82" s="4" t="s">
        <v>25</v>
      </c>
      <c r="H82" s="4" t="s">
        <v>38</v>
      </c>
      <c r="I82" s="5">
        <v>44562</v>
      </c>
      <c r="J82" s="6">
        <v>0</v>
      </c>
      <c r="K82" s="6">
        <v>0</v>
      </c>
      <c r="L82" s="6">
        <v>9.3309999999999995</v>
      </c>
      <c r="M82" s="6">
        <v>9.3309999999999995</v>
      </c>
      <c r="N82" s="6">
        <v>9.3309999999999995</v>
      </c>
      <c r="O82" s="6">
        <v>9.3309999999999995</v>
      </c>
      <c r="P82" s="6">
        <v>0</v>
      </c>
      <c r="Q82" s="4" t="s">
        <v>26</v>
      </c>
      <c r="R82" s="4">
        <v>0</v>
      </c>
      <c r="S82" s="6">
        <v>0</v>
      </c>
      <c r="T82" s="6">
        <v>23</v>
      </c>
      <c r="U82" s="6">
        <v>51</v>
      </c>
      <c r="V82" s="6">
        <f>IF(ISERROR(VLOOKUP($S$82,'TAR FIN'!$A$1:$O$85,15,0)),0,VLOOKUP($S$82,'TAR FIN'!$A$1:$O$85,15,0))</f>
        <v>0</v>
      </c>
      <c r="W82" s="6">
        <f>IF(ISERROR(VLOOKUP($T$82,'TAR FIN'!$A$1:$O$85,15,0)),0,VLOOKUP($T$82,'TAR FIN'!$A$1:$O$85,15,0))</f>
        <v>66.22</v>
      </c>
      <c r="X82" s="6">
        <f>IF(ISERROR(VLOOKUP($U$82,'TAR FIN'!$A$1:$O$85,15,0)),0,VLOOKUP($U$82,'TAR FIN'!$A$1:$O$85,15,0))</f>
        <v>141.32</v>
      </c>
      <c r="Y82" s="6"/>
      <c r="Z82" s="6">
        <f ca="1">('TUSD BE'!$AM$12+'TUSD BF'!$AM$12+'TUSD CVA'!$AM$12)*1</f>
        <v>99.847749713611876</v>
      </c>
      <c r="AA82" s="6">
        <f>('TE BE'!$AB$6+'TE BF'!$AB$6+'TE CVA'!$AB$6)*1</f>
        <v>135.80626150990429</v>
      </c>
      <c r="AB82" s="6">
        <f>$K$82*$V$82</f>
        <v>0</v>
      </c>
      <c r="AC82" s="6">
        <f>$M$82*$W$82</f>
        <v>617.89882</v>
      </c>
      <c r="AD82" s="6">
        <f>$O$82*$X$82</f>
        <v>1318.6569199999999</v>
      </c>
      <c r="AE82" s="6">
        <f>$K$82*$Y$82</f>
        <v>0</v>
      </c>
      <c r="AF82" s="6">
        <f ca="1">$M$82*$Z$82</f>
        <v>931.67935257771239</v>
      </c>
      <c r="AG82" s="6">
        <f>$O$82*$AA$82</f>
        <v>1267.2082261489168</v>
      </c>
    </row>
    <row r="83" spans="1:33" ht="11.25" customHeight="1" x14ac:dyDescent="0.25">
      <c r="A83" s="4" t="s">
        <v>21</v>
      </c>
      <c r="B83" s="4" t="s">
        <v>35</v>
      </c>
      <c r="C83" s="4" t="s">
        <v>36</v>
      </c>
      <c r="D83" s="4" t="s">
        <v>34</v>
      </c>
      <c r="E83" s="4" t="s">
        <v>25</v>
      </c>
      <c r="F83" s="4" t="s">
        <v>25</v>
      </c>
      <c r="G83" s="4" t="s">
        <v>25</v>
      </c>
      <c r="H83" s="4" t="s">
        <v>38</v>
      </c>
      <c r="I83" s="5">
        <v>44593</v>
      </c>
      <c r="J83" s="6">
        <v>0</v>
      </c>
      <c r="K83" s="6">
        <v>0</v>
      </c>
      <c r="L83" s="6">
        <v>2130.1379999999999</v>
      </c>
      <c r="M83" s="6">
        <v>2130.1379999999999</v>
      </c>
      <c r="N83" s="6">
        <v>2130.1379999999999</v>
      </c>
      <c r="O83" s="6">
        <v>2130.1379999999999</v>
      </c>
      <c r="P83" s="6">
        <v>0</v>
      </c>
      <c r="Q83" s="4" t="s">
        <v>26</v>
      </c>
      <c r="R83" s="4">
        <v>0</v>
      </c>
      <c r="S83" s="6">
        <v>0</v>
      </c>
      <c r="T83" s="6">
        <v>23</v>
      </c>
      <c r="U83" s="6">
        <v>51</v>
      </c>
      <c r="V83" s="6">
        <f>IF(ISERROR(VLOOKUP($S$83,'TAR FIN'!$A$1:$O$85,15,0)),0,VLOOKUP($S$83,'TAR FIN'!$A$1:$O$85,15,0))</f>
        <v>0</v>
      </c>
      <c r="W83" s="6">
        <f>IF(ISERROR(VLOOKUP($T$83,'TAR FIN'!$A$1:$O$85,15,0)),0,VLOOKUP($T$83,'TAR FIN'!$A$1:$O$85,15,0))</f>
        <v>66.22</v>
      </c>
      <c r="X83" s="6">
        <f>IF(ISERROR(VLOOKUP($U$83,'TAR FIN'!$A$1:$O$85,15,0)),0,VLOOKUP($U$83,'TAR FIN'!$A$1:$O$85,15,0))</f>
        <v>141.32</v>
      </c>
      <c r="Y83" s="6"/>
      <c r="Z83" s="6">
        <f ca="1">('TUSD BE'!$AM$12+'TUSD BF'!$AM$12+'TUSD CVA'!$AM$12)*1</f>
        <v>99.847749713611876</v>
      </c>
      <c r="AA83" s="6">
        <f>('TE BE'!$AB$6+'TE BF'!$AB$6+'TE CVA'!$AB$6)*1</f>
        <v>135.80626150990429</v>
      </c>
      <c r="AB83" s="6">
        <f>$K$83*$V$83</f>
        <v>0</v>
      </c>
      <c r="AC83" s="6">
        <f>$M$83*$W$83</f>
        <v>141057.73835999999</v>
      </c>
      <c r="AD83" s="6">
        <f>$O$83*$X$83</f>
        <v>301031.10215999995</v>
      </c>
      <c r="AE83" s="6">
        <f>$K$83*$Y$83</f>
        <v>0</v>
      </c>
      <c r="AF83" s="6">
        <f ca="1">$M$83*$Z$83</f>
        <v>212689.48587945377</v>
      </c>
      <c r="AG83" s="6">
        <f>$O$83*$AA$83</f>
        <v>289286.07828018448</v>
      </c>
    </row>
    <row r="84" spans="1:33" ht="11.25" customHeight="1" x14ac:dyDescent="0.25">
      <c r="A84" s="4" t="s">
        <v>21</v>
      </c>
      <c r="B84" s="4" t="s">
        <v>35</v>
      </c>
      <c r="C84" s="4" t="s">
        <v>36</v>
      </c>
      <c r="D84" s="4" t="s">
        <v>34</v>
      </c>
      <c r="E84" s="4" t="s">
        <v>25</v>
      </c>
      <c r="F84" s="4" t="s">
        <v>25</v>
      </c>
      <c r="G84" s="4" t="s">
        <v>25</v>
      </c>
      <c r="H84" s="4" t="s">
        <v>38</v>
      </c>
      <c r="I84" s="5">
        <v>44621</v>
      </c>
      <c r="J84" s="6">
        <v>0</v>
      </c>
      <c r="K84" s="6">
        <v>0</v>
      </c>
      <c r="L84" s="6">
        <v>2388.7150000000001</v>
      </c>
      <c r="M84" s="6">
        <v>2388.7150000000001</v>
      </c>
      <c r="N84" s="6">
        <v>2388.7150000000001</v>
      </c>
      <c r="O84" s="6">
        <v>2388.7150000000001</v>
      </c>
      <c r="P84" s="6">
        <v>0</v>
      </c>
      <c r="Q84" s="4" t="s">
        <v>26</v>
      </c>
      <c r="R84" s="4">
        <v>0</v>
      </c>
      <c r="S84" s="6">
        <v>0</v>
      </c>
      <c r="T84" s="6">
        <v>23</v>
      </c>
      <c r="U84" s="6">
        <v>51</v>
      </c>
      <c r="V84" s="6">
        <f>IF(ISERROR(VLOOKUP($S$84,'TAR FIN'!$A$1:$O$85,15,0)),0,VLOOKUP($S$84,'TAR FIN'!$A$1:$O$85,15,0))</f>
        <v>0</v>
      </c>
      <c r="W84" s="6">
        <f>IF(ISERROR(VLOOKUP($T$84,'TAR FIN'!$A$1:$O$85,15,0)),0,VLOOKUP($T$84,'TAR FIN'!$A$1:$O$85,15,0))</f>
        <v>66.22</v>
      </c>
      <c r="X84" s="6">
        <f>IF(ISERROR(VLOOKUP($U$84,'TAR FIN'!$A$1:$O$85,15,0)),0,VLOOKUP($U$84,'TAR FIN'!$A$1:$O$85,15,0))</f>
        <v>141.32</v>
      </c>
      <c r="Y84" s="6"/>
      <c r="Z84" s="6">
        <f ca="1">('TUSD BE'!$AM$12+'TUSD BF'!$AM$12+'TUSD CVA'!$AM$12)*1</f>
        <v>99.847749713611876</v>
      </c>
      <c r="AA84" s="6">
        <f>('TE BE'!$AB$6+'TE BF'!$AB$6+'TE CVA'!$AB$6)*1</f>
        <v>135.80626150990429</v>
      </c>
      <c r="AB84" s="6">
        <f>$K$84*$V$84</f>
        <v>0</v>
      </c>
      <c r="AC84" s="6">
        <f>$M$84*$W$84</f>
        <v>158180.70730000001</v>
      </c>
      <c r="AD84" s="6">
        <f>$O$84*$X$84</f>
        <v>337573.20380000002</v>
      </c>
      <c r="AE84" s="6">
        <f>$K$84*$Y$84</f>
        <v>0</v>
      </c>
      <c r="AF84" s="6">
        <f ca="1">$M$84*$Z$84</f>
        <v>238507.81745715041</v>
      </c>
      <c r="AG84" s="6">
        <f>$O$84*$AA$84</f>
        <v>324402.45396263106</v>
      </c>
    </row>
    <row r="85" spans="1:33" ht="11.25" customHeight="1" x14ac:dyDescent="0.25">
      <c r="A85" s="4" t="s">
        <v>21</v>
      </c>
      <c r="B85" s="4" t="s">
        <v>35</v>
      </c>
      <c r="C85" s="4" t="s">
        <v>36</v>
      </c>
      <c r="D85" s="4" t="s">
        <v>34</v>
      </c>
      <c r="E85" s="4" t="s">
        <v>25</v>
      </c>
      <c r="F85" s="4" t="s">
        <v>25</v>
      </c>
      <c r="G85" s="4" t="s">
        <v>25</v>
      </c>
      <c r="H85" s="4" t="s">
        <v>38</v>
      </c>
      <c r="I85" s="5">
        <v>44652</v>
      </c>
      <c r="J85" s="6">
        <v>0</v>
      </c>
      <c r="K85" s="6">
        <v>0</v>
      </c>
      <c r="L85" s="6">
        <v>2183.6680000000001</v>
      </c>
      <c r="M85" s="6">
        <v>2183.6680000000001</v>
      </c>
      <c r="N85" s="6">
        <v>2183.6680000000001</v>
      </c>
      <c r="O85" s="6">
        <v>2183.6680000000001</v>
      </c>
      <c r="P85" s="6">
        <v>0</v>
      </c>
      <c r="Q85" s="4" t="s">
        <v>26</v>
      </c>
      <c r="R85" s="4">
        <v>0</v>
      </c>
      <c r="S85" s="6">
        <v>0</v>
      </c>
      <c r="T85" s="6">
        <v>23</v>
      </c>
      <c r="U85" s="6">
        <v>51</v>
      </c>
      <c r="V85" s="6">
        <f>IF(ISERROR(VLOOKUP($S$85,'TAR FIN'!$A$1:$O$85,15,0)),0,VLOOKUP($S$85,'TAR FIN'!$A$1:$O$85,15,0))</f>
        <v>0</v>
      </c>
      <c r="W85" s="6">
        <f>IF(ISERROR(VLOOKUP($T$85,'TAR FIN'!$A$1:$O$85,15,0)),0,VLOOKUP($T$85,'TAR FIN'!$A$1:$O$85,15,0))</f>
        <v>66.22</v>
      </c>
      <c r="X85" s="6">
        <f>IF(ISERROR(VLOOKUP($U$85,'TAR FIN'!$A$1:$O$85,15,0)),0,VLOOKUP($U$85,'TAR FIN'!$A$1:$O$85,15,0))</f>
        <v>141.32</v>
      </c>
      <c r="Y85" s="6"/>
      <c r="Z85" s="6">
        <f ca="1">('TUSD BE'!$AM$12+'TUSD BF'!$AM$12+'TUSD CVA'!$AM$12)*1</f>
        <v>99.847749713611876</v>
      </c>
      <c r="AA85" s="6">
        <f>('TE BE'!$AB$6+'TE BF'!$AB$6+'TE CVA'!$AB$6)*1</f>
        <v>135.80626150990429</v>
      </c>
      <c r="AB85" s="6">
        <f>$K$85*$V$85</f>
        <v>0</v>
      </c>
      <c r="AC85" s="6">
        <f>$M$85*$W$85</f>
        <v>144602.49496000001</v>
      </c>
      <c r="AD85" s="6">
        <f>$O$85*$X$85</f>
        <v>308595.96175999998</v>
      </c>
      <c r="AE85" s="6">
        <f>$K$85*$Y$85</f>
        <v>0</v>
      </c>
      <c r="AF85" s="6">
        <f ca="1">$M$85*$Z$85</f>
        <v>218034.33592162342</v>
      </c>
      <c r="AG85" s="6">
        <f>$O$85*$AA$85</f>
        <v>296555.78745880967</v>
      </c>
    </row>
    <row r="86" spans="1:33" ht="11.25" customHeight="1" x14ac:dyDescent="0.25">
      <c r="A86" s="4" t="s">
        <v>28</v>
      </c>
      <c r="B86" s="4" t="s">
        <v>35</v>
      </c>
      <c r="C86" s="4" t="s">
        <v>36</v>
      </c>
      <c r="D86" s="4" t="s">
        <v>34</v>
      </c>
      <c r="E86" s="4" t="s">
        <v>25</v>
      </c>
      <c r="F86" s="4" t="s">
        <v>25</v>
      </c>
      <c r="G86" s="4" t="s">
        <v>25</v>
      </c>
      <c r="H86" s="4" t="s">
        <v>38</v>
      </c>
      <c r="I86" s="5">
        <v>44652</v>
      </c>
      <c r="J86" s="6">
        <v>0</v>
      </c>
      <c r="K86" s="6">
        <v>0</v>
      </c>
      <c r="L86" s="6">
        <v>9.5489999999999995</v>
      </c>
      <c r="M86" s="6">
        <v>9.5489999999999995</v>
      </c>
      <c r="N86" s="6">
        <v>9.5489999999999995</v>
      </c>
      <c r="O86" s="6">
        <v>9.5489999999999995</v>
      </c>
      <c r="P86" s="6">
        <v>0</v>
      </c>
      <c r="Q86" s="4" t="s">
        <v>26</v>
      </c>
      <c r="R86" s="4">
        <v>0</v>
      </c>
      <c r="S86" s="6">
        <v>0</v>
      </c>
      <c r="T86" s="6">
        <v>23</v>
      </c>
      <c r="U86" s="6">
        <v>51</v>
      </c>
      <c r="V86" s="6">
        <f>IF(ISERROR(VLOOKUP($S$86,'TAR FIN'!$A$1:$O$85,15,0)),0,VLOOKUP($S$86,'TAR FIN'!$A$1:$O$85,15,0))</f>
        <v>0</v>
      </c>
      <c r="W86" s="6">
        <f>IF(ISERROR(VLOOKUP($T$86,'TAR FIN'!$A$1:$O$85,15,0)),0,VLOOKUP($T$86,'TAR FIN'!$A$1:$O$85,15,0))</f>
        <v>66.22</v>
      </c>
      <c r="X86" s="6">
        <f>IF(ISERROR(VLOOKUP($U$86,'TAR FIN'!$A$1:$O$85,15,0)),0,VLOOKUP($U$86,'TAR FIN'!$A$1:$O$85,15,0))</f>
        <v>141.32</v>
      </c>
      <c r="Y86" s="6"/>
      <c r="Z86" s="6">
        <f ca="1">('TUSD BE'!$AM$12+'TUSD BF'!$AM$12+'TUSD CVA'!$AM$12)*1</f>
        <v>99.847749713611876</v>
      </c>
      <c r="AA86" s="6">
        <f>('TE BE'!$AB$6+'TE BF'!$AB$6+'TE CVA'!$AB$6)*1</f>
        <v>135.80626150990429</v>
      </c>
      <c r="AB86" s="6">
        <f>$K$86*$V$86</f>
        <v>0</v>
      </c>
      <c r="AC86" s="6">
        <f>$M$86*$W$86</f>
        <v>632.33477999999991</v>
      </c>
      <c r="AD86" s="6">
        <f>$O$86*$X$86</f>
        <v>1349.4646799999998</v>
      </c>
      <c r="AE86" s="6">
        <f>$K$86*$Y$86</f>
        <v>0</v>
      </c>
      <c r="AF86" s="6">
        <f ca="1">$M$86*$Z$86</f>
        <v>953.4461620152797</v>
      </c>
      <c r="AG86" s="6">
        <f>$O$86*$AA$86</f>
        <v>1296.8139911580761</v>
      </c>
    </row>
    <row r="87" spans="1:33" ht="11.25" customHeight="1" x14ac:dyDescent="0.25">
      <c r="A87" s="4" t="s">
        <v>21</v>
      </c>
      <c r="B87" s="4" t="s">
        <v>35</v>
      </c>
      <c r="C87" s="4" t="s">
        <v>36</v>
      </c>
      <c r="D87" s="4" t="s">
        <v>34</v>
      </c>
      <c r="E87" s="4" t="s">
        <v>25</v>
      </c>
      <c r="F87" s="4" t="s">
        <v>25</v>
      </c>
      <c r="G87" s="4" t="s">
        <v>25</v>
      </c>
      <c r="H87" s="4" t="s">
        <v>38</v>
      </c>
      <c r="I87" s="5">
        <v>44682</v>
      </c>
      <c r="J87" s="6">
        <v>0</v>
      </c>
      <c r="K87" s="6">
        <v>0</v>
      </c>
      <c r="L87" s="6">
        <v>2325.7579999999998</v>
      </c>
      <c r="M87" s="6">
        <v>2325.7579999999998</v>
      </c>
      <c r="N87" s="6">
        <v>2325.7579999999998</v>
      </c>
      <c r="O87" s="6">
        <v>2325.7579999999998</v>
      </c>
      <c r="P87" s="6">
        <v>0</v>
      </c>
      <c r="Q87" s="4" t="s">
        <v>26</v>
      </c>
      <c r="R87" s="4">
        <v>0</v>
      </c>
      <c r="S87" s="6">
        <v>0</v>
      </c>
      <c r="T87" s="6">
        <v>23</v>
      </c>
      <c r="U87" s="6">
        <v>51</v>
      </c>
      <c r="V87" s="6">
        <f>IF(ISERROR(VLOOKUP($S$87,'TAR FIN'!$A$1:$O$85,15,0)),0,VLOOKUP($S$87,'TAR FIN'!$A$1:$O$85,15,0))</f>
        <v>0</v>
      </c>
      <c r="W87" s="6">
        <f>IF(ISERROR(VLOOKUP($T$87,'TAR FIN'!$A$1:$O$85,15,0)),0,VLOOKUP($T$87,'TAR FIN'!$A$1:$O$85,15,0))</f>
        <v>66.22</v>
      </c>
      <c r="X87" s="6">
        <f>IF(ISERROR(VLOOKUP($U$87,'TAR FIN'!$A$1:$O$85,15,0)),0,VLOOKUP($U$87,'TAR FIN'!$A$1:$O$85,15,0))</f>
        <v>141.32</v>
      </c>
      <c r="Y87" s="6"/>
      <c r="Z87" s="6">
        <f ca="1">('TUSD BE'!$AM$12+'TUSD BF'!$AM$12+'TUSD CVA'!$AM$12)*1</f>
        <v>99.847749713611876</v>
      </c>
      <c r="AA87" s="6">
        <f>('TE BE'!$AB$6+'TE BF'!$AB$6+'TE CVA'!$AB$6)*1</f>
        <v>135.80626150990429</v>
      </c>
      <c r="AB87" s="6">
        <f>$K$87*$V$87</f>
        <v>0</v>
      </c>
      <c r="AC87" s="6">
        <f>$M$87*$W$87</f>
        <v>154011.69475999998</v>
      </c>
      <c r="AD87" s="6">
        <f>$O$87*$X$87</f>
        <v>328676.12055999995</v>
      </c>
      <c r="AE87" s="6">
        <f>$K$87*$Y$87</f>
        <v>0</v>
      </c>
      <c r="AF87" s="6">
        <f ca="1">$M$87*$Z$87</f>
        <v>232221.70267843051</v>
      </c>
      <c r="AG87" s="6">
        <f>$O$87*$AA$87</f>
        <v>315852.49915675196</v>
      </c>
    </row>
    <row r="88" spans="1:33" ht="11.25" customHeight="1" x14ac:dyDescent="0.25">
      <c r="A88" s="4" t="s">
        <v>28</v>
      </c>
      <c r="B88" s="4" t="s">
        <v>35</v>
      </c>
      <c r="C88" s="4" t="s">
        <v>36</v>
      </c>
      <c r="D88" s="4" t="s">
        <v>34</v>
      </c>
      <c r="E88" s="4" t="s">
        <v>25</v>
      </c>
      <c r="F88" s="4" t="s">
        <v>25</v>
      </c>
      <c r="G88" s="4" t="s">
        <v>25</v>
      </c>
      <c r="H88" s="4" t="s">
        <v>38</v>
      </c>
      <c r="I88" s="5">
        <v>44682</v>
      </c>
      <c r="J88" s="6">
        <v>0</v>
      </c>
      <c r="K88" s="6">
        <v>0</v>
      </c>
      <c r="L88" s="6">
        <v>18.254999999999999</v>
      </c>
      <c r="M88" s="6">
        <v>18.254999999999999</v>
      </c>
      <c r="N88" s="6">
        <v>18.254999999999999</v>
      </c>
      <c r="O88" s="6">
        <v>18.254999999999999</v>
      </c>
      <c r="P88" s="6">
        <v>0</v>
      </c>
      <c r="Q88" s="4" t="s">
        <v>26</v>
      </c>
      <c r="R88" s="4">
        <v>0</v>
      </c>
      <c r="S88" s="6">
        <v>0</v>
      </c>
      <c r="T88" s="6">
        <v>23</v>
      </c>
      <c r="U88" s="6">
        <v>51</v>
      </c>
      <c r="V88" s="6">
        <f>IF(ISERROR(VLOOKUP($S$88,'TAR FIN'!$A$1:$O$85,15,0)),0,VLOOKUP($S$88,'TAR FIN'!$A$1:$O$85,15,0))</f>
        <v>0</v>
      </c>
      <c r="W88" s="6">
        <f>IF(ISERROR(VLOOKUP($T$88,'TAR FIN'!$A$1:$O$85,15,0)),0,VLOOKUP($T$88,'TAR FIN'!$A$1:$O$85,15,0))</f>
        <v>66.22</v>
      </c>
      <c r="X88" s="6">
        <f>IF(ISERROR(VLOOKUP($U$88,'TAR FIN'!$A$1:$O$85,15,0)),0,VLOOKUP($U$88,'TAR FIN'!$A$1:$O$85,15,0))</f>
        <v>141.32</v>
      </c>
      <c r="Y88" s="6"/>
      <c r="Z88" s="6">
        <f ca="1">('TUSD BE'!$AM$12+'TUSD BF'!$AM$12+'TUSD CVA'!$AM$12)*1</f>
        <v>99.847749713611876</v>
      </c>
      <c r="AA88" s="6">
        <f>('TE BE'!$AB$6+'TE BF'!$AB$6+'TE CVA'!$AB$6)*1</f>
        <v>135.80626150990429</v>
      </c>
      <c r="AB88" s="6">
        <f>$K$88*$V$88</f>
        <v>0</v>
      </c>
      <c r="AC88" s="6">
        <f>$M$88*$W$88</f>
        <v>1208.8461</v>
      </c>
      <c r="AD88" s="6">
        <f>$O$88*$X$88</f>
        <v>2579.7965999999997</v>
      </c>
      <c r="AE88" s="6">
        <f>$K$88*$Y$88</f>
        <v>0</v>
      </c>
      <c r="AF88" s="6">
        <f ca="1">$M$88*$Z$88</f>
        <v>1822.7206710219848</v>
      </c>
      <c r="AG88" s="6">
        <f>$O$88*$AA$88</f>
        <v>2479.1433038633027</v>
      </c>
    </row>
    <row r="89" spans="1:33" ht="11.25" customHeight="1" x14ac:dyDescent="0.25">
      <c r="A89" s="4" t="s">
        <v>21</v>
      </c>
      <c r="B89" s="4" t="s">
        <v>35</v>
      </c>
      <c r="C89" s="4" t="s">
        <v>36</v>
      </c>
      <c r="D89" s="4" t="s">
        <v>34</v>
      </c>
      <c r="E89" s="4" t="s">
        <v>25</v>
      </c>
      <c r="F89" s="4" t="s">
        <v>25</v>
      </c>
      <c r="G89" s="4" t="s">
        <v>25</v>
      </c>
      <c r="H89" s="4" t="s">
        <v>38</v>
      </c>
      <c r="I89" s="5">
        <v>44713</v>
      </c>
      <c r="J89" s="6">
        <v>0</v>
      </c>
      <c r="K89" s="6">
        <v>0</v>
      </c>
      <c r="L89" s="6">
        <v>2333.8119999999999</v>
      </c>
      <c r="M89" s="6">
        <v>2333.8119999999999</v>
      </c>
      <c r="N89" s="6">
        <v>2333.8119999999999</v>
      </c>
      <c r="O89" s="6">
        <v>2333.8119999999999</v>
      </c>
      <c r="P89" s="6">
        <v>0</v>
      </c>
      <c r="Q89" s="4" t="s">
        <v>26</v>
      </c>
      <c r="R89" s="4">
        <v>0</v>
      </c>
      <c r="S89" s="6">
        <v>0</v>
      </c>
      <c r="T89" s="6">
        <v>23</v>
      </c>
      <c r="U89" s="6">
        <v>51</v>
      </c>
      <c r="V89" s="6">
        <f>IF(ISERROR(VLOOKUP($S$89,'TAR FIN'!$A$1:$O$85,15,0)),0,VLOOKUP($S$89,'TAR FIN'!$A$1:$O$85,15,0))</f>
        <v>0</v>
      </c>
      <c r="W89" s="6">
        <f>IF(ISERROR(VLOOKUP($T$89,'TAR FIN'!$A$1:$O$85,15,0)),0,VLOOKUP($T$89,'TAR FIN'!$A$1:$O$85,15,0))</f>
        <v>66.22</v>
      </c>
      <c r="X89" s="6">
        <f>IF(ISERROR(VLOOKUP($U$89,'TAR FIN'!$A$1:$O$85,15,0)),0,VLOOKUP($U$89,'TAR FIN'!$A$1:$O$85,15,0))</f>
        <v>141.32</v>
      </c>
      <c r="Y89" s="6"/>
      <c r="Z89" s="6">
        <f ca="1">('TUSD BE'!$AM$12+'TUSD BF'!$AM$12+'TUSD CVA'!$AM$12)*1</f>
        <v>99.847749713611876</v>
      </c>
      <c r="AA89" s="6">
        <f>('TE BE'!$AB$6+'TE BF'!$AB$6+'TE CVA'!$AB$6)*1</f>
        <v>135.80626150990429</v>
      </c>
      <c r="AB89" s="6">
        <f>$K$89*$V$89</f>
        <v>0</v>
      </c>
      <c r="AC89" s="6">
        <f>$M$89*$W$89</f>
        <v>154545.03063999998</v>
      </c>
      <c r="AD89" s="6">
        <f>$O$89*$X$89</f>
        <v>329814.31183999998</v>
      </c>
      <c r="AE89" s="6">
        <f>$K$89*$Y$89</f>
        <v>0</v>
      </c>
      <c r="AF89" s="6">
        <f ca="1">$M$89*$Z$89</f>
        <v>233025.87645462394</v>
      </c>
      <c r="AG89" s="6">
        <f>$O$89*$AA$89</f>
        <v>316946.28278695274</v>
      </c>
    </row>
    <row r="90" spans="1:33" ht="11.25" customHeight="1" x14ac:dyDescent="0.25">
      <c r="A90" s="4" t="s">
        <v>28</v>
      </c>
      <c r="B90" s="4" t="s">
        <v>35</v>
      </c>
      <c r="C90" s="4" t="s">
        <v>36</v>
      </c>
      <c r="D90" s="4" t="s">
        <v>34</v>
      </c>
      <c r="E90" s="4" t="s">
        <v>25</v>
      </c>
      <c r="F90" s="4" t="s">
        <v>25</v>
      </c>
      <c r="G90" s="4" t="s">
        <v>25</v>
      </c>
      <c r="H90" s="4" t="s">
        <v>38</v>
      </c>
      <c r="I90" s="5">
        <v>44713</v>
      </c>
      <c r="J90" s="6">
        <v>0</v>
      </c>
      <c r="K90" s="6">
        <v>0</v>
      </c>
      <c r="L90" s="6">
        <v>21.763999999999999</v>
      </c>
      <c r="M90" s="6">
        <v>21.763999999999999</v>
      </c>
      <c r="N90" s="6">
        <v>21.763999999999999</v>
      </c>
      <c r="O90" s="6">
        <v>21.763999999999999</v>
      </c>
      <c r="P90" s="6">
        <v>0</v>
      </c>
      <c r="Q90" s="4" t="s">
        <v>26</v>
      </c>
      <c r="R90" s="4">
        <v>0</v>
      </c>
      <c r="S90" s="6">
        <v>0</v>
      </c>
      <c r="T90" s="6">
        <v>23</v>
      </c>
      <c r="U90" s="6">
        <v>51</v>
      </c>
      <c r="V90" s="6">
        <f>IF(ISERROR(VLOOKUP($S$90,'TAR FIN'!$A$1:$O$85,15,0)),0,VLOOKUP($S$90,'TAR FIN'!$A$1:$O$85,15,0))</f>
        <v>0</v>
      </c>
      <c r="W90" s="6">
        <f>IF(ISERROR(VLOOKUP($T$90,'TAR FIN'!$A$1:$O$85,15,0)),0,VLOOKUP($T$90,'TAR FIN'!$A$1:$O$85,15,0))</f>
        <v>66.22</v>
      </c>
      <c r="X90" s="6">
        <f>IF(ISERROR(VLOOKUP($U$90,'TAR FIN'!$A$1:$O$85,15,0)),0,VLOOKUP($U$90,'TAR FIN'!$A$1:$O$85,15,0))</f>
        <v>141.32</v>
      </c>
      <c r="Y90" s="6"/>
      <c r="Z90" s="6">
        <f ca="1">('TUSD BE'!$AM$12+'TUSD BF'!$AM$12+'TUSD CVA'!$AM$12)*1</f>
        <v>99.847749713611876</v>
      </c>
      <c r="AA90" s="6">
        <f>('TE BE'!$AB$6+'TE BF'!$AB$6+'TE CVA'!$AB$6)*1</f>
        <v>135.80626150990429</v>
      </c>
      <c r="AB90" s="6">
        <f>$K$90*$V$90</f>
        <v>0</v>
      </c>
      <c r="AC90" s="6">
        <f>$M$90*$W$90</f>
        <v>1441.21208</v>
      </c>
      <c r="AD90" s="6">
        <f>$O$90*$X$90</f>
        <v>3075.6884799999998</v>
      </c>
      <c r="AE90" s="6">
        <f>$K$90*$Y$90</f>
        <v>0</v>
      </c>
      <c r="AF90" s="6">
        <f ca="1">$M$90*$Z$90</f>
        <v>2173.0864247670488</v>
      </c>
      <c r="AG90" s="6">
        <f>$O$90*$AA$90</f>
        <v>2955.6874755015569</v>
      </c>
    </row>
    <row r="91" spans="1:33" ht="11.25" customHeight="1" x14ac:dyDescent="0.25">
      <c r="A91" s="4" t="s">
        <v>21</v>
      </c>
      <c r="B91" s="4" t="s">
        <v>35</v>
      </c>
      <c r="C91" s="4" t="s">
        <v>36</v>
      </c>
      <c r="D91" s="4" t="s">
        <v>34</v>
      </c>
      <c r="E91" s="4" t="s">
        <v>25</v>
      </c>
      <c r="F91" s="4" t="s">
        <v>25</v>
      </c>
      <c r="G91" s="4" t="s">
        <v>25</v>
      </c>
      <c r="H91" s="4" t="s">
        <v>38</v>
      </c>
      <c r="I91" s="5">
        <v>44743</v>
      </c>
      <c r="J91" s="6">
        <v>0</v>
      </c>
      <c r="K91" s="6">
        <v>0</v>
      </c>
      <c r="L91" s="6">
        <v>2324.8240000000001</v>
      </c>
      <c r="M91" s="6">
        <v>2324.8240000000001</v>
      </c>
      <c r="N91" s="6">
        <v>2324.8240000000001</v>
      </c>
      <c r="O91" s="6">
        <v>2324.8240000000001</v>
      </c>
      <c r="P91" s="6">
        <v>0</v>
      </c>
      <c r="Q91" s="4" t="s">
        <v>26</v>
      </c>
      <c r="R91" s="4">
        <v>0</v>
      </c>
      <c r="S91" s="6">
        <v>0</v>
      </c>
      <c r="T91" s="6">
        <v>23</v>
      </c>
      <c r="U91" s="6">
        <v>51</v>
      </c>
      <c r="V91" s="6">
        <f>IF(ISERROR(VLOOKUP($S$91,'TAR FIN'!$A$1:$O$85,15,0)),0,VLOOKUP($S$91,'TAR FIN'!$A$1:$O$85,15,0))</f>
        <v>0</v>
      </c>
      <c r="W91" s="6">
        <f>IF(ISERROR(VLOOKUP($T$91,'TAR FIN'!$A$1:$O$85,15,0)),0,VLOOKUP($T$91,'TAR FIN'!$A$1:$O$85,15,0))</f>
        <v>66.22</v>
      </c>
      <c r="X91" s="6">
        <f>IF(ISERROR(VLOOKUP($U$91,'TAR FIN'!$A$1:$O$85,15,0)),0,VLOOKUP($U$91,'TAR FIN'!$A$1:$O$85,15,0))</f>
        <v>141.32</v>
      </c>
      <c r="Y91" s="6"/>
      <c r="Z91" s="6">
        <f ca="1">('TUSD BE'!$AM$12+'TUSD BF'!$AM$12+'TUSD CVA'!$AM$12)*1</f>
        <v>99.847749713611876</v>
      </c>
      <c r="AA91" s="6">
        <f>('TE BE'!$AB$6+'TE BF'!$AB$6+'TE CVA'!$AB$6)*1</f>
        <v>135.80626150990429</v>
      </c>
      <c r="AB91" s="6">
        <f>$K$91*$V$91</f>
        <v>0</v>
      </c>
      <c r="AC91" s="6">
        <f>$M$91*$W$91</f>
        <v>153949.84528000001</v>
      </c>
      <c r="AD91" s="6">
        <f>$O$91*$X$91</f>
        <v>328544.12767999998</v>
      </c>
      <c r="AE91" s="6">
        <f>$K$91*$Y$91</f>
        <v>0</v>
      </c>
      <c r="AF91" s="6">
        <f ca="1">$M$91*$Z$91</f>
        <v>232128.44488019802</v>
      </c>
      <c r="AG91" s="6">
        <f>$O$91*$AA$91</f>
        <v>315725.65610850172</v>
      </c>
    </row>
    <row r="92" spans="1:33" ht="11.25" customHeight="1" x14ac:dyDescent="0.25">
      <c r="A92" s="4" t="s">
        <v>21</v>
      </c>
      <c r="B92" s="4" t="s">
        <v>35</v>
      </c>
      <c r="C92" s="4" t="s">
        <v>36</v>
      </c>
      <c r="D92" s="4" t="s">
        <v>34</v>
      </c>
      <c r="E92" s="4" t="s">
        <v>25</v>
      </c>
      <c r="F92" s="4" t="s">
        <v>25</v>
      </c>
      <c r="G92" s="4" t="s">
        <v>25</v>
      </c>
      <c r="H92" s="4" t="s">
        <v>38</v>
      </c>
      <c r="I92" s="5">
        <v>44774</v>
      </c>
      <c r="J92" s="6">
        <v>0</v>
      </c>
      <c r="K92" s="6">
        <v>0</v>
      </c>
      <c r="L92" s="6">
        <v>2422.6669999999999</v>
      </c>
      <c r="M92" s="6">
        <v>2422.6669999999999</v>
      </c>
      <c r="N92" s="6">
        <v>2422.6669999999999</v>
      </c>
      <c r="O92" s="6">
        <v>2422.6669999999999</v>
      </c>
      <c r="P92" s="6">
        <v>0</v>
      </c>
      <c r="Q92" s="4" t="s">
        <v>26</v>
      </c>
      <c r="R92" s="4">
        <v>0</v>
      </c>
      <c r="S92" s="6">
        <v>0</v>
      </c>
      <c r="T92" s="6">
        <v>23</v>
      </c>
      <c r="U92" s="6">
        <v>51</v>
      </c>
      <c r="V92" s="6">
        <f>IF(ISERROR(VLOOKUP($S$92,'TAR FIN'!$A$1:$O$85,15,0)),0,VLOOKUP($S$92,'TAR FIN'!$A$1:$O$85,15,0))</f>
        <v>0</v>
      </c>
      <c r="W92" s="6">
        <f>IF(ISERROR(VLOOKUP($T$92,'TAR FIN'!$A$1:$O$85,15,0)),0,VLOOKUP($T$92,'TAR FIN'!$A$1:$O$85,15,0))</f>
        <v>66.22</v>
      </c>
      <c r="X92" s="6">
        <f>IF(ISERROR(VLOOKUP($U$92,'TAR FIN'!$A$1:$O$85,15,0)),0,VLOOKUP($U$92,'TAR FIN'!$A$1:$O$85,15,0))</f>
        <v>141.32</v>
      </c>
      <c r="Y92" s="6"/>
      <c r="Z92" s="6">
        <f ca="1">('TUSD BE'!$AM$12+'TUSD BF'!$AM$12+'TUSD CVA'!$AM$12)*1</f>
        <v>99.847749713611876</v>
      </c>
      <c r="AA92" s="6">
        <f>('TE BE'!$AB$6+'TE BF'!$AB$6+'TE CVA'!$AB$6)*1</f>
        <v>135.80626150990429</v>
      </c>
      <c r="AB92" s="6">
        <f>$K$92*$V$92</f>
        <v>0</v>
      </c>
      <c r="AC92" s="6">
        <f>$M$92*$W$92</f>
        <v>160429.00873999999</v>
      </c>
      <c r="AD92" s="6">
        <f>$O$92*$X$92</f>
        <v>342371.30043999996</v>
      </c>
      <c r="AE92" s="6">
        <f>$K$92*$Y$92</f>
        <v>0</v>
      </c>
      <c r="AF92" s="6">
        <f ca="1">$M$92*$Z$92</f>
        <v>241897.84825542694</v>
      </c>
      <c r="AG92" s="6">
        <f>$O$92*$AA$92</f>
        <v>329013.34815341531</v>
      </c>
    </row>
    <row r="93" spans="1:33" ht="11.25" customHeight="1" x14ac:dyDescent="0.25">
      <c r="A93" s="4" t="s">
        <v>28</v>
      </c>
      <c r="B93" s="4" t="s">
        <v>35</v>
      </c>
      <c r="C93" s="4" t="s">
        <v>36</v>
      </c>
      <c r="D93" s="4" t="s">
        <v>34</v>
      </c>
      <c r="E93" s="4" t="s">
        <v>25</v>
      </c>
      <c r="F93" s="4" t="s">
        <v>25</v>
      </c>
      <c r="G93" s="4" t="s">
        <v>25</v>
      </c>
      <c r="H93" s="4" t="s">
        <v>38</v>
      </c>
      <c r="I93" s="5">
        <v>44774</v>
      </c>
      <c r="J93" s="6">
        <v>0</v>
      </c>
      <c r="K93" s="6">
        <v>0</v>
      </c>
      <c r="L93" s="6">
        <v>16.36</v>
      </c>
      <c r="M93" s="6">
        <v>16.36</v>
      </c>
      <c r="N93" s="6">
        <v>16.36</v>
      </c>
      <c r="O93" s="6">
        <v>16.36</v>
      </c>
      <c r="P93" s="6">
        <v>0</v>
      </c>
      <c r="Q93" s="4" t="s">
        <v>26</v>
      </c>
      <c r="R93" s="4">
        <v>0</v>
      </c>
      <c r="S93" s="6">
        <v>0</v>
      </c>
      <c r="T93" s="6">
        <v>23</v>
      </c>
      <c r="U93" s="6">
        <v>51</v>
      </c>
      <c r="V93" s="6">
        <f>IF(ISERROR(VLOOKUP($S$93,'TAR FIN'!$A$1:$O$85,15,0)),0,VLOOKUP($S$93,'TAR FIN'!$A$1:$O$85,15,0))</f>
        <v>0</v>
      </c>
      <c r="W93" s="6">
        <f>IF(ISERROR(VLOOKUP($T$93,'TAR FIN'!$A$1:$O$85,15,0)),0,VLOOKUP($T$93,'TAR FIN'!$A$1:$O$85,15,0))</f>
        <v>66.22</v>
      </c>
      <c r="X93" s="6">
        <f>IF(ISERROR(VLOOKUP($U$93,'TAR FIN'!$A$1:$O$85,15,0)),0,VLOOKUP($U$93,'TAR FIN'!$A$1:$O$85,15,0))</f>
        <v>141.32</v>
      </c>
      <c r="Y93" s="6"/>
      <c r="Z93" s="6">
        <f ca="1">('TUSD BE'!$AM$12+'TUSD BF'!$AM$12+'TUSD CVA'!$AM$12)*1</f>
        <v>99.847749713611876</v>
      </c>
      <c r="AA93" s="6">
        <f>('TE BE'!$AB$6+'TE BF'!$AB$6+'TE CVA'!$AB$6)*1</f>
        <v>135.80626150990429</v>
      </c>
      <c r="AB93" s="6">
        <f>$K$93*$V$93</f>
        <v>0</v>
      </c>
      <c r="AC93" s="6">
        <f>$M$93*$W$93</f>
        <v>1083.3591999999999</v>
      </c>
      <c r="AD93" s="6">
        <f>$O$93*$X$93</f>
        <v>2311.9951999999998</v>
      </c>
      <c r="AE93" s="6">
        <f>$K$93*$Y$93</f>
        <v>0</v>
      </c>
      <c r="AF93" s="6">
        <f ca="1">$M$93*$Z$93</f>
        <v>1633.5091853146903</v>
      </c>
      <c r="AG93" s="6">
        <f>$O$93*$AA$93</f>
        <v>2221.7904383020341</v>
      </c>
    </row>
    <row r="94" spans="1:33" ht="11.25" customHeight="1" x14ac:dyDescent="0.25">
      <c r="A94" s="4" t="s">
        <v>21</v>
      </c>
      <c r="B94" s="4" t="s">
        <v>35</v>
      </c>
      <c r="C94" s="4" t="s">
        <v>36</v>
      </c>
      <c r="D94" s="4" t="s">
        <v>34</v>
      </c>
      <c r="E94" s="4" t="s">
        <v>25</v>
      </c>
      <c r="F94" s="4" t="s">
        <v>25</v>
      </c>
      <c r="G94" s="4" t="s">
        <v>25</v>
      </c>
      <c r="H94" s="4" t="s">
        <v>25</v>
      </c>
      <c r="I94" s="5">
        <v>44440</v>
      </c>
      <c r="J94" s="6">
        <v>9810</v>
      </c>
      <c r="K94" s="6">
        <v>9810</v>
      </c>
      <c r="L94" s="6">
        <v>0</v>
      </c>
      <c r="M94" s="6">
        <v>0</v>
      </c>
      <c r="N94" s="6">
        <v>0</v>
      </c>
      <c r="O94" s="6">
        <v>0</v>
      </c>
      <c r="P94" s="6">
        <v>32</v>
      </c>
      <c r="Q94" s="4" t="s">
        <v>26</v>
      </c>
      <c r="R94" s="4">
        <v>0</v>
      </c>
      <c r="S94" s="6">
        <v>16</v>
      </c>
      <c r="T94" s="6">
        <v>0</v>
      </c>
      <c r="U94" s="6">
        <v>0</v>
      </c>
      <c r="V94" s="6">
        <f>IF(ISERROR(VLOOKUP($S$94,'TAR FIN'!$A$1:$O$85,15,0)),0,VLOOKUP($S$94,'TAR FIN'!$A$1:$O$85,15,0))</f>
        <v>25.66</v>
      </c>
      <c r="W94" s="6">
        <f>IF(ISERROR(VLOOKUP($T$94,'TAR FIN'!$A$1:$O$85,15,0)),0,VLOOKUP($T$94,'TAR FIN'!$A$1:$O$85,15,0))</f>
        <v>0</v>
      </c>
      <c r="X94" s="6">
        <f>IF(ISERROR(VLOOKUP($U$94,'TAR FIN'!$A$1:$O$85,15,0)),0,VLOOKUP($U$94,'TAR FIN'!$A$1:$O$85,15,0))</f>
        <v>0</v>
      </c>
      <c r="Y94" s="6">
        <f ca="1">('TUSD BE'!$AM$10+'TUSD BF'!$AM$10+'TUSD CVA'!$AM$10)*1</f>
        <v>25.189608465764316</v>
      </c>
      <c r="Z94" s="6"/>
      <c r="AA94" s="6"/>
      <c r="AB94" s="6">
        <f>$K$94*$V$94</f>
        <v>251724.6</v>
      </c>
      <c r="AC94" s="6">
        <f>$M$94*$W$94</f>
        <v>0</v>
      </c>
      <c r="AD94" s="6">
        <f>$O$94*$X$94</f>
        <v>0</v>
      </c>
      <c r="AE94" s="6">
        <f ca="1">$K$94*$Y$94</f>
        <v>247110.05904914794</v>
      </c>
      <c r="AF94" s="6">
        <f>$M$94*$Z$94</f>
        <v>0</v>
      </c>
      <c r="AG94" s="6">
        <f>$O$94*$AA$94</f>
        <v>0</v>
      </c>
    </row>
    <row r="95" spans="1:33" ht="11.25" customHeight="1" x14ac:dyDescent="0.25">
      <c r="A95" s="4" t="s">
        <v>28</v>
      </c>
      <c r="B95" s="4" t="s">
        <v>35</v>
      </c>
      <c r="C95" s="4" t="s">
        <v>36</v>
      </c>
      <c r="D95" s="4" t="s">
        <v>34</v>
      </c>
      <c r="E95" s="4" t="s">
        <v>25</v>
      </c>
      <c r="F95" s="4" t="s">
        <v>25</v>
      </c>
      <c r="G95" s="4" t="s">
        <v>25</v>
      </c>
      <c r="H95" s="4" t="s">
        <v>25</v>
      </c>
      <c r="I95" s="5">
        <v>44440</v>
      </c>
      <c r="J95" s="6">
        <v>190</v>
      </c>
      <c r="K95" s="6">
        <v>190</v>
      </c>
      <c r="L95" s="6">
        <v>0</v>
      </c>
      <c r="M95" s="6">
        <v>0</v>
      </c>
      <c r="N95" s="6">
        <v>0</v>
      </c>
      <c r="O95" s="6">
        <v>0</v>
      </c>
      <c r="P95" s="6">
        <v>1</v>
      </c>
      <c r="Q95" s="4" t="s">
        <v>26</v>
      </c>
      <c r="R95" s="4">
        <v>0</v>
      </c>
      <c r="S95" s="6">
        <v>16</v>
      </c>
      <c r="T95" s="6">
        <v>0</v>
      </c>
      <c r="U95" s="6">
        <v>0</v>
      </c>
      <c r="V95" s="6">
        <f>IF(ISERROR(VLOOKUP($S$95,'TAR FIN'!$A$1:$O$85,15,0)),0,VLOOKUP($S$95,'TAR FIN'!$A$1:$O$85,15,0))</f>
        <v>25.66</v>
      </c>
      <c r="W95" s="6">
        <f>IF(ISERROR(VLOOKUP($T$95,'TAR FIN'!$A$1:$O$85,15,0)),0,VLOOKUP($T$95,'TAR FIN'!$A$1:$O$85,15,0))</f>
        <v>0</v>
      </c>
      <c r="X95" s="6">
        <f>IF(ISERROR(VLOOKUP($U$95,'TAR FIN'!$A$1:$O$85,15,0)),0,VLOOKUP($U$95,'TAR FIN'!$A$1:$O$85,15,0))</f>
        <v>0</v>
      </c>
      <c r="Y95" s="6">
        <f ca="1">('TUSD BE'!$AM$10+'TUSD BF'!$AM$10+'TUSD CVA'!$AM$10)*1</f>
        <v>25.189608465764316</v>
      </c>
      <c r="Z95" s="6"/>
      <c r="AA95" s="6"/>
      <c r="AB95" s="6">
        <f>$K$95*$V$95</f>
        <v>4875.3999999999996</v>
      </c>
      <c r="AC95" s="6">
        <f>$M$95*$W$95</f>
        <v>0</v>
      </c>
      <c r="AD95" s="6">
        <f>$O$95*$X$95</f>
        <v>0</v>
      </c>
      <c r="AE95" s="6">
        <f ca="1">$K$95*$Y$95</f>
        <v>4786.0256084952198</v>
      </c>
      <c r="AF95" s="6">
        <f>$M$95*$Z$95</f>
        <v>0</v>
      </c>
      <c r="AG95" s="6">
        <f>$O$95*$AA$95</f>
        <v>0</v>
      </c>
    </row>
    <row r="96" spans="1:33" ht="11.25" customHeight="1" x14ac:dyDescent="0.25">
      <c r="A96" s="4" t="s">
        <v>21</v>
      </c>
      <c r="B96" s="4" t="s">
        <v>35</v>
      </c>
      <c r="C96" s="4" t="s">
        <v>36</v>
      </c>
      <c r="D96" s="4" t="s">
        <v>34</v>
      </c>
      <c r="E96" s="4" t="s">
        <v>25</v>
      </c>
      <c r="F96" s="4" t="s">
        <v>25</v>
      </c>
      <c r="G96" s="4" t="s">
        <v>25</v>
      </c>
      <c r="H96" s="4" t="s">
        <v>25</v>
      </c>
      <c r="I96" s="5">
        <v>44470</v>
      </c>
      <c r="J96" s="6">
        <v>9913</v>
      </c>
      <c r="K96" s="6">
        <v>9913</v>
      </c>
      <c r="L96" s="6">
        <v>0</v>
      </c>
      <c r="M96" s="6">
        <v>0</v>
      </c>
      <c r="N96" s="6">
        <v>0</v>
      </c>
      <c r="O96" s="6">
        <v>0</v>
      </c>
      <c r="P96" s="6">
        <v>32</v>
      </c>
      <c r="Q96" s="4" t="s">
        <v>26</v>
      </c>
      <c r="R96" s="4">
        <v>0</v>
      </c>
      <c r="S96" s="6">
        <v>16</v>
      </c>
      <c r="T96" s="6">
        <v>0</v>
      </c>
      <c r="U96" s="6">
        <v>0</v>
      </c>
      <c r="V96" s="6">
        <f>IF(ISERROR(VLOOKUP($S$96,'TAR FIN'!$A$1:$O$85,15,0)),0,VLOOKUP($S$96,'TAR FIN'!$A$1:$O$85,15,0))</f>
        <v>25.66</v>
      </c>
      <c r="W96" s="6">
        <f>IF(ISERROR(VLOOKUP($T$96,'TAR FIN'!$A$1:$O$85,15,0)),0,VLOOKUP($T$96,'TAR FIN'!$A$1:$O$85,15,0))</f>
        <v>0</v>
      </c>
      <c r="X96" s="6">
        <f>IF(ISERROR(VLOOKUP($U$96,'TAR FIN'!$A$1:$O$85,15,0)),0,VLOOKUP($U$96,'TAR FIN'!$A$1:$O$85,15,0))</f>
        <v>0</v>
      </c>
      <c r="Y96" s="6">
        <f ca="1">('TUSD BE'!$AM$10+'TUSD BF'!$AM$10+'TUSD CVA'!$AM$10)*1</f>
        <v>25.189608465764316</v>
      </c>
      <c r="Z96" s="6"/>
      <c r="AA96" s="6"/>
      <c r="AB96" s="6">
        <f>$K$96*$V$96</f>
        <v>254367.58</v>
      </c>
      <c r="AC96" s="6">
        <f>$M$96*$W$96</f>
        <v>0</v>
      </c>
      <c r="AD96" s="6">
        <f>$O$96*$X$96</f>
        <v>0</v>
      </c>
      <c r="AE96" s="6">
        <f ca="1">$K$96*$Y$96</f>
        <v>249704.58872112166</v>
      </c>
      <c r="AF96" s="6">
        <f>$M$96*$Z$96</f>
        <v>0</v>
      </c>
      <c r="AG96" s="6">
        <f>$O$96*$AA$96</f>
        <v>0</v>
      </c>
    </row>
    <row r="97" spans="1:33" ht="11.25" customHeight="1" x14ac:dyDescent="0.25">
      <c r="A97" s="4" t="s">
        <v>28</v>
      </c>
      <c r="B97" s="4" t="s">
        <v>35</v>
      </c>
      <c r="C97" s="4" t="s">
        <v>36</v>
      </c>
      <c r="D97" s="4" t="s">
        <v>34</v>
      </c>
      <c r="E97" s="4" t="s">
        <v>25</v>
      </c>
      <c r="F97" s="4" t="s">
        <v>25</v>
      </c>
      <c r="G97" s="4" t="s">
        <v>25</v>
      </c>
      <c r="H97" s="4" t="s">
        <v>25</v>
      </c>
      <c r="I97" s="5">
        <v>44470</v>
      </c>
      <c r="J97" s="6">
        <v>192</v>
      </c>
      <c r="K97" s="6">
        <v>192</v>
      </c>
      <c r="L97" s="6">
        <v>0</v>
      </c>
      <c r="M97" s="6">
        <v>0</v>
      </c>
      <c r="N97" s="6">
        <v>0</v>
      </c>
      <c r="O97" s="6">
        <v>0</v>
      </c>
      <c r="P97" s="6">
        <v>1</v>
      </c>
      <c r="Q97" s="4" t="s">
        <v>26</v>
      </c>
      <c r="R97" s="4">
        <v>0</v>
      </c>
      <c r="S97" s="6">
        <v>16</v>
      </c>
      <c r="T97" s="6">
        <v>0</v>
      </c>
      <c r="U97" s="6">
        <v>0</v>
      </c>
      <c r="V97" s="6">
        <f>IF(ISERROR(VLOOKUP($S$97,'TAR FIN'!$A$1:$O$85,15,0)),0,VLOOKUP($S$97,'TAR FIN'!$A$1:$O$85,15,0))</f>
        <v>25.66</v>
      </c>
      <c r="W97" s="6">
        <f>IF(ISERROR(VLOOKUP($T$97,'TAR FIN'!$A$1:$O$85,15,0)),0,VLOOKUP($T$97,'TAR FIN'!$A$1:$O$85,15,0))</f>
        <v>0</v>
      </c>
      <c r="X97" s="6">
        <f>IF(ISERROR(VLOOKUP($U$97,'TAR FIN'!$A$1:$O$85,15,0)),0,VLOOKUP($U$97,'TAR FIN'!$A$1:$O$85,15,0))</f>
        <v>0</v>
      </c>
      <c r="Y97" s="6">
        <f ca="1">('TUSD BE'!$AM$10+'TUSD BF'!$AM$10+'TUSD CVA'!$AM$10)*1</f>
        <v>25.189608465764316</v>
      </c>
      <c r="Z97" s="6"/>
      <c r="AA97" s="6"/>
      <c r="AB97" s="6">
        <f>$K$97*$V$97</f>
        <v>4926.72</v>
      </c>
      <c r="AC97" s="6">
        <f>$M$97*$W$97</f>
        <v>0</v>
      </c>
      <c r="AD97" s="6">
        <f>$O$97*$X$97</f>
        <v>0</v>
      </c>
      <c r="AE97" s="6">
        <f ca="1">$K$97*$Y$97</f>
        <v>4836.4048254267491</v>
      </c>
      <c r="AF97" s="6">
        <f>$M$97*$Z$97</f>
        <v>0</v>
      </c>
      <c r="AG97" s="6">
        <f>$O$97*$AA$97</f>
        <v>0</v>
      </c>
    </row>
    <row r="98" spans="1:33" ht="11.25" customHeight="1" x14ac:dyDescent="0.25">
      <c r="A98" s="4" t="s">
        <v>21</v>
      </c>
      <c r="B98" s="4" t="s">
        <v>35</v>
      </c>
      <c r="C98" s="4" t="s">
        <v>36</v>
      </c>
      <c r="D98" s="4" t="s">
        <v>34</v>
      </c>
      <c r="E98" s="4" t="s">
        <v>25</v>
      </c>
      <c r="F98" s="4" t="s">
        <v>25</v>
      </c>
      <c r="G98" s="4" t="s">
        <v>25</v>
      </c>
      <c r="H98" s="4" t="s">
        <v>25</v>
      </c>
      <c r="I98" s="5">
        <v>44501</v>
      </c>
      <c r="J98" s="6">
        <v>9750</v>
      </c>
      <c r="K98" s="6">
        <v>9750</v>
      </c>
      <c r="L98" s="6">
        <v>0</v>
      </c>
      <c r="M98" s="6">
        <v>0</v>
      </c>
      <c r="N98" s="6">
        <v>0</v>
      </c>
      <c r="O98" s="6">
        <v>0</v>
      </c>
      <c r="P98" s="6">
        <v>31</v>
      </c>
      <c r="Q98" s="4" t="s">
        <v>26</v>
      </c>
      <c r="R98" s="4">
        <v>0</v>
      </c>
      <c r="S98" s="6">
        <v>16</v>
      </c>
      <c r="T98" s="6">
        <v>0</v>
      </c>
      <c r="U98" s="6">
        <v>0</v>
      </c>
      <c r="V98" s="6">
        <f>IF(ISERROR(VLOOKUP($S$98,'TAR FIN'!$A$1:$O$85,15,0)),0,VLOOKUP($S$98,'TAR FIN'!$A$1:$O$85,15,0))</f>
        <v>25.66</v>
      </c>
      <c r="W98" s="6">
        <f>IF(ISERROR(VLOOKUP($T$98,'TAR FIN'!$A$1:$O$85,15,0)),0,VLOOKUP($T$98,'TAR FIN'!$A$1:$O$85,15,0))</f>
        <v>0</v>
      </c>
      <c r="X98" s="6">
        <f>IF(ISERROR(VLOOKUP($U$98,'TAR FIN'!$A$1:$O$85,15,0)),0,VLOOKUP($U$98,'TAR FIN'!$A$1:$O$85,15,0))</f>
        <v>0</v>
      </c>
      <c r="Y98" s="6">
        <f ca="1">('TUSD BE'!$AM$10+'TUSD BF'!$AM$10+'TUSD CVA'!$AM$10)*1</f>
        <v>25.189608465764316</v>
      </c>
      <c r="Z98" s="6"/>
      <c r="AA98" s="6"/>
      <c r="AB98" s="6">
        <f>$K$98*$V$98</f>
        <v>250185</v>
      </c>
      <c r="AC98" s="6">
        <f>$M$98*$W$98</f>
        <v>0</v>
      </c>
      <c r="AD98" s="6">
        <f>$O$98*$X$98</f>
        <v>0</v>
      </c>
      <c r="AE98" s="6">
        <f ca="1">$K$98*$Y$98</f>
        <v>245598.68254120208</v>
      </c>
      <c r="AF98" s="6">
        <f>$M$98*$Z$98</f>
        <v>0</v>
      </c>
      <c r="AG98" s="6">
        <f>$O$98*$AA$98</f>
        <v>0</v>
      </c>
    </row>
    <row r="99" spans="1:33" ht="11.25" customHeight="1" x14ac:dyDescent="0.25">
      <c r="A99" s="4" t="s">
        <v>28</v>
      </c>
      <c r="B99" s="4" t="s">
        <v>35</v>
      </c>
      <c r="C99" s="4" t="s">
        <v>36</v>
      </c>
      <c r="D99" s="4" t="s">
        <v>34</v>
      </c>
      <c r="E99" s="4" t="s">
        <v>25</v>
      </c>
      <c r="F99" s="4" t="s">
        <v>25</v>
      </c>
      <c r="G99" s="4" t="s">
        <v>25</v>
      </c>
      <c r="H99" s="4" t="s">
        <v>25</v>
      </c>
      <c r="I99" s="5">
        <v>44501</v>
      </c>
      <c r="J99" s="6">
        <v>397</v>
      </c>
      <c r="K99" s="6">
        <v>397</v>
      </c>
      <c r="L99" s="6">
        <v>0</v>
      </c>
      <c r="M99" s="6">
        <v>0</v>
      </c>
      <c r="N99" s="6">
        <v>0</v>
      </c>
      <c r="O99" s="6">
        <v>0</v>
      </c>
      <c r="P99" s="6">
        <v>2</v>
      </c>
      <c r="Q99" s="4" t="s">
        <v>26</v>
      </c>
      <c r="R99" s="4">
        <v>0</v>
      </c>
      <c r="S99" s="6">
        <v>16</v>
      </c>
      <c r="T99" s="6">
        <v>0</v>
      </c>
      <c r="U99" s="6">
        <v>0</v>
      </c>
      <c r="V99" s="6">
        <f>IF(ISERROR(VLOOKUP($S$99,'TAR FIN'!$A$1:$O$85,15,0)),0,VLOOKUP($S$99,'TAR FIN'!$A$1:$O$85,15,0))</f>
        <v>25.66</v>
      </c>
      <c r="W99" s="6">
        <f>IF(ISERROR(VLOOKUP($T$99,'TAR FIN'!$A$1:$O$85,15,0)),0,VLOOKUP($T$99,'TAR FIN'!$A$1:$O$85,15,0))</f>
        <v>0</v>
      </c>
      <c r="X99" s="6">
        <f>IF(ISERROR(VLOOKUP($U$99,'TAR FIN'!$A$1:$O$85,15,0)),0,VLOOKUP($U$99,'TAR FIN'!$A$1:$O$85,15,0))</f>
        <v>0</v>
      </c>
      <c r="Y99" s="6">
        <f ca="1">('TUSD BE'!$AM$10+'TUSD BF'!$AM$10+'TUSD CVA'!$AM$10)*1</f>
        <v>25.189608465764316</v>
      </c>
      <c r="Z99" s="6"/>
      <c r="AA99" s="6"/>
      <c r="AB99" s="6">
        <f>$K$99*$V$99</f>
        <v>10187.02</v>
      </c>
      <c r="AC99" s="6">
        <f>$M$99*$W$99</f>
        <v>0</v>
      </c>
      <c r="AD99" s="6">
        <f>$O$99*$X$99</f>
        <v>0</v>
      </c>
      <c r="AE99" s="6">
        <f ca="1">$K$99*$Y$99</f>
        <v>10000.274560908434</v>
      </c>
      <c r="AF99" s="6">
        <f>$M$99*$Z$99</f>
        <v>0</v>
      </c>
      <c r="AG99" s="6">
        <f>$O$99*$AA$99</f>
        <v>0</v>
      </c>
    </row>
    <row r="100" spans="1:33" ht="11.25" customHeight="1" x14ac:dyDescent="0.25">
      <c r="A100" s="4" t="s">
        <v>21</v>
      </c>
      <c r="B100" s="4" t="s">
        <v>35</v>
      </c>
      <c r="C100" s="4" t="s">
        <v>36</v>
      </c>
      <c r="D100" s="4" t="s">
        <v>34</v>
      </c>
      <c r="E100" s="4" t="s">
        <v>25</v>
      </c>
      <c r="F100" s="4" t="s">
        <v>25</v>
      </c>
      <c r="G100" s="4" t="s">
        <v>25</v>
      </c>
      <c r="H100" s="4" t="s">
        <v>25</v>
      </c>
      <c r="I100" s="5">
        <v>44531</v>
      </c>
      <c r="J100" s="6">
        <v>9709</v>
      </c>
      <c r="K100" s="6">
        <v>9709</v>
      </c>
      <c r="L100" s="6">
        <v>0</v>
      </c>
      <c r="M100" s="6">
        <v>0</v>
      </c>
      <c r="N100" s="6">
        <v>0</v>
      </c>
      <c r="O100" s="6">
        <v>0</v>
      </c>
      <c r="P100" s="6">
        <v>31</v>
      </c>
      <c r="Q100" s="4" t="s">
        <v>26</v>
      </c>
      <c r="R100" s="4">
        <v>0</v>
      </c>
      <c r="S100" s="6">
        <v>16</v>
      </c>
      <c r="T100" s="6">
        <v>0</v>
      </c>
      <c r="U100" s="6">
        <v>0</v>
      </c>
      <c r="V100" s="6">
        <f>IF(ISERROR(VLOOKUP($S$100,'TAR FIN'!$A$1:$O$85,15,0)),0,VLOOKUP($S$100,'TAR FIN'!$A$1:$O$85,15,0))</f>
        <v>25.66</v>
      </c>
      <c r="W100" s="6">
        <f>IF(ISERROR(VLOOKUP($T$100,'TAR FIN'!$A$1:$O$85,15,0)),0,VLOOKUP($T$100,'TAR FIN'!$A$1:$O$85,15,0))</f>
        <v>0</v>
      </c>
      <c r="X100" s="6">
        <f>IF(ISERROR(VLOOKUP($U$100,'TAR FIN'!$A$1:$O$85,15,0)),0,VLOOKUP($U$100,'TAR FIN'!$A$1:$O$85,15,0))</f>
        <v>0</v>
      </c>
      <c r="Y100" s="6">
        <f ca="1">('TUSD BE'!$AM$10+'TUSD BF'!$AM$10+'TUSD CVA'!$AM$10)*1</f>
        <v>25.189608465764316</v>
      </c>
      <c r="Z100" s="6"/>
      <c r="AA100" s="6"/>
      <c r="AB100" s="6">
        <f>$K$100*$V$100</f>
        <v>249132.94</v>
      </c>
      <c r="AC100" s="6">
        <f>$M$100*$W$100</f>
        <v>0</v>
      </c>
      <c r="AD100" s="6">
        <f>$O$100*$X$100</f>
        <v>0</v>
      </c>
      <c r="AE100" s="6">
        <f ca="1">$K$100*$Y$100</f>
        <v>244565.90859410574</v>
      </c>
      <c r="AF100" s="6">
        <f>$M$100*$Z$100</f>
        <v>0</v>
      </c>
      <c r="AG100" s="6">
        <f>$O$100*$AA$100</f>
        <v>0</v>
      </c>
    </row>
    <row r="101" spans="1:33" ht="11.25" customHeight="1" x14ac:dyDescent="0.25">
      <c r="A101" s="4" t="s">
        <v>28</v>
      </c>
      <c r="B101" s="4" t="s">
        <v>35</v>
      </c>
      <c r="C101" s="4" t="s">
        <v>36</v>
      </c>
      <c r="D101" s="4" t="s">
        <v>34</v>
      </c>
      <c r="E101" s="4" t="s">
        <v>25</v>
      </c>
      <c r="F101" s="4" t="s">
        <v>25</v>
      </c>
      <c r="G101" s="4" t="s">
        <v>25</v>
      </c>
      <c r="H101" s="4" t="s">
        <v>25</v>
      </c>
      <c r="I101" s="5">
        <v>44531</v>
      </c>
      <c r="J101" s="6">
        <v>440</v>
      </c>
      <c r="K101" s="6">
        <v>440</v>
      </c>
      <c r="L101" s="6">
        <v>0</v>
      </c>
      <c r="M101" s="6">
        <v>0</v>
      </c>
      <c r="N101" s="6">
        <v>0</v>
      </c>
      <c r="O101" s="6">
        <v>0</v>
      </c>
      <c r="P101" s="6">
        <v>2</v>
      </c>
      <c r="Q101" s="4" t="s">
        <v>26</v>
      </c>
      <c r="R101" s="4">
        <v>0</v>
      </c>
      <c r="S101" s="6">
        <v>16</v>
      </c>
      <c r="T101" s="6">
        <v>0</v>
      </c>
      <c r="U101" s="6">
        <v>0</v>
      </c>
      <c r="V101" s="6">
        <f>IF(ISERROR(VLOOKUP($S$101,'TAR FIN'!$A$1:$O$85,15,0)),0,VLOOKUP($S$101,'TAR FIN'!$A$1:$O$85,15,0))</f>
        <v>25.66</v>
      </c>
      <c r="W101" s="6">
        <f>IF(ISERROR(VLOOKUP($T$101,'TAR FIN'!$A$1:$O$85,15,0)),0,VLOOKUP($T$101,'TAR FIN'!$A$1:$O$85,15,0))</f>
        <v>0</v>
      </c>
      <c r="X101" s="6">
        <f>IF(ISERROR(VLOOKUP($U$101,'TAR FIN'!$A$1:$O$85,15,0)),0,VLOOKUP($U$101,'TAR FIN'!$A$1:$O$85,15,0))</f>
        <v>0</v>
      </c>
      <c r="Y101" s="6">
        <f ca="1">('TUSD BE'!$AM$10+'TUSD BF'!$AM$10+'TUSD CVA'!$AM$10)*1</f>
        <v>25.189608465764316</v>
      </c>
      <c r="Z101" s="6"/>
      <c r="AA101" s="6"/>
      <c r="AB101" s="6">
        <f>$K$101*$V$101</f>
        <v>11290.4</v>
      </c>
      <c r="AC101" s="6">
        <f>$M$101*$W$101</f>
        <v>0</v>
      </c>
      <c r="AD101" s="6">
        <f>$O$101*$X$101</f>
        <v>0</v>
      </c>
      <c r="AE101" s="6">
        <f ca="1">$K$101*$Y$101</f>
        <v>11083.427724936299</v>
      </c>
      <c r="AF101" s="6">
        <f>$M$101*$Z$101</f>
        <v>0</v>
      </c>
      <c r="AG101" s="6">
        <f>$O$101*$AA$101</f>
        <v>0</v>
      </c>
    </row>
    <row r="102" spans="1:33" ht="11.25" customHeight="1" x14ac:dyDescent="0.25">
      <c r="A102" s="4" t="s">
        <v>21</v>
      </c>
      <c r="B102" s="4" t="s">
        <v>35</v>
      </c>
      <c r="C102" s="4" t="s">
        <v>36</v>
      </c>
      <c r="D102" s="4" t="s">
        <v>34</v>
      </c>
      <c r="E102" s="4" t="s">
        <v>25</v>
      </c>
      <c r="F102" s="4" t="s">
        <v>25</v>
      </c>
      <c r="G102" s="4" t="s">
        <v>25</v>
      </c>
      <c r="H102" s="4" t="s">
        <v>25</v>
      </c>
      <c r="I102" s="5">
        <v>44562</v>
      </c>
      <c r="J102" s="6">
        <v>10715</v>
      </c>
      <c r="K102" s="6">
        <v>10715</v>
      </c>
      <c r="L102" s="6">
        <v>0</v>
      </c>
      <c r="M102" s="6">
        <v>0</v>
      </c>
      <c r="N102" s="6">
        <v>0</v>
      </c>
      <c r="O102" s="6">
        <v>0</v>
      </c>
      <c r="P102" s="6">
        <v>31</v>
      </c>
      <c r="Q102" s="4" t="s">
        <v>26</v>
      </c>
      <c r="R102" s="4">
        <v>0</v>
      </c>
      <c r="S102" s="6">
        <v>16</v>
      </c>
      <c r="T102" s="6">
        <v>0</v>
      </c>
      <c r="U102" s="6">
        <v>0</v>
      </c>
      <c r="V102" s="6">
        <f>IF(ISERROR(VLOOKUP($S$102,'TAR FIN'!$A$1:$O$85,15,0)),0,VLOOKUP($S$102,'TAR FIN'!$A$1:$O$85,15,0))</f>
        <v>25.66</v>
      </c>
      <c r="W102" s="6">
        <f>IF(ISERROR(VLOOKUP($T$102,'TAR FIN'!$A$1:$O$85,15,0)),0,VLOOKUP($T$102,'TAR FIN'!$A$1:$O$85,15,0))</f>
        <v>0</v>
      </c>
      <c r="X102" s="6">
        <f>IF(ISERROR(VLOOKUP($U$102,'TAR FIN'!$A$1:$O$85,15,0)),0,VLOOKUP($U$102,'TAR FIN'!$A$1:$O$85,15,0))</f>
        <v>0</v>
      </c>
      <c r="Y102" s="6">
        <f ca="1">('TUSD BE'!$AM$10+'TUSD BF'!$AM$10+'TUSD CVA'!$AM$10)*1</f>
        <v>25.189608465764316</v>
      </c>
      <c r="Z102" s="6"/>
      <c r="AA102" s="6"/>
      <c r="AB102" s="6">
        <f>$K$102*$V$102</f>
        <v>274946.90000000002</v>
      </c>
      <c r="AC102" s="6">
        <f>$M$102*$W$102</f>
        <v>0</v>
      </c>
      <c r="AD102" s="6">
        <f>$O$102*$X$102</f>
        <v>0</v>
      </c>
      <c r="AE102" s="6">
        <f ca="1">$K$102*$Y$102</f>
        <v>269906.65471066465</v>
      </c>
      <c r="AF102" s="6">
        <f>$M$102*$Z$102</f>
        <v>0</v>
      </c>
      <c r="AG102" s="6">
        <f>$O$102*$AA$102</f>
        <v>0</v>
      </c>
    </row>
    <row r="103" spans="1:33" ht="11.25" customHeight="1" x14ac:dyDescent="0.25">
      <c r="A103" s="4" t="s">
        <v>28</v>
      </c>
      <c r="B103" s="4" t="s">
        <v>35</v>
      </c>
      <c r="C103" s="4" t="s">
        <v>36</v>
      </c>
      <c r="D103" s="4" t="s">
        <v>34</v>
      </c>
      <c r="E103" s="4" t="s">
        <v>25</v>
      </c>
      <c r="F103" s="4" t="s">
        <v>25</v>
      </c>
      <c r="G103" s="4" t="s">
        <v>25</v>
      </c>
      <c r="H103" s="4" t="s">
        <v>25</v>
      </c>
      <c r="I103" s="5">
        <v>44562</v>
      </c>
      <c r="J103" s="6">
        <v>440</v>
      </c>
      <c r="K103" s="6">
        <v>440</v>
      </c>
      <c r="L103" s="6">
        <v>0</v>
      </c>
      <c r="M103" s="6">
        <v>0</v>
      </c>
      <c r="N103" s="6">
        <v>0</v>
      </c>
      <c r="O103" s="6">
        <v>0</v>
      </c>
      <c r="P103" s="6">
        <v>2</v>
      </c>
      <c r="Q103" s="4" t="s">
        <v>26</v>
      </c>
      <c r="R103" s="4">
        <v>0</v>
      </c>
      <c r="S103" s="6">
        <v>16</v>
      </c>
      <c r="T103" s="6">
        <v>0</v>
      </c>
      <c r="U103" s="6">
        <v>0</v>
      </c>
      <c r="V103" s="6">
        <f>IF(ISERROR(VLOOKUP($S$103,'TAR FIN'!$A$1:$O$85,15,0)),0,VLOOKUP($S$103,'TAR FIN'!$A$1:$O$85,15,0))</f>
        <v>25.66</v>
      </c>
      <c r="W103" s="6">
        <f>IF(ISERROR(VLOOKUP($T$103,'TAR FIN'!$A$1:$O$85,15,0)),0,VLOOKUP($T$103,'TAR FIN'!$A$1:$O$85,15,0))</f>
        <v>0</v>
      </c>
      <c r="X103" s="6">
        <f>IF(ISERROR(VLOOKUP($U$103,'TAR FIN'!$A$1:$O$85,15,0)),0,VLOOKUP($U$103,'TAR FIN'!$A$1:$O$85,15,0))</f>
        <v>0</v>
      </c>
      <c r="Y103" s="6">
        <f ca="1">('TUSD BE'!$AM$10+'TUSD BF'!$AM$10+'TUSD CVA'!$AM$10)*1</f>
        <v>25.189608465764316</v>
      </c>
      <c r="Z103" s="6"/>
      <c r="AA103" s="6"/>
      <c r="AB103" s="6">
        <f>$K$103*$V$103</f>
        <v>11290.4</v>
      </c>
      <c r="AC103" s="6">
        <f>$M$103*$W$103</f>
        <v>0</v>
      </c>
      <c r="AD103" s="6">
        <f>$O$103*$X$103</f>
        <v>0</v>
      </c>
      <c r="AE103" s="6">
        <f ca="1">$K$103*$Y$103</f>
        <v>11083.427724936299</v>
      </c>
      <c r="AF103" s="6">
        <f>$M$103*$Z$103</f>
        <v>0</v>
      </c>
      <c r="AG103" s="6">
        <f>$O$103*$AA$103</f>
        <v>0</v>
      </c>
    </row>
    <row r="104" spans="1:33" ht="11.25" customHeight="1" x14ac:dyDescent="0.25">
      <c r="A104" s="4" t="s">
        <v>21</v>
      </c>
      <c r="B104" s="4" t="s">
        <v>35</v>
      </c>
      <c r="C104" s="4" t="s">
        <v>36</v>
      </c>
      <c r="D104" s="4" t="s">
        <v>34</v>
      </c>
      <c r="E104" s="4" t="s">
        <v>25</v>
      </c>
      <c r="F104" s="4" t="s">
        <v>25</v>
      </c>
      <c r="G104" s="4" t="s">
        <v>25</v>
      </c>
      <c r="H104" s="4" t="s">
        <v>25</v>
      </c>
      <c r="I104" s="5">
        <v>44593</v>
      </c>
      <c r="J104" s="6">
        <v>10888</v>
      </c>
      <c r="K104" s="6">
        <v>10888</v>
      </c>
      <c r="L104" s="6">
        <v>0</v>
      </c>
      <c r="M104" s="6">
        <v>0</v>
      </c>
      <c r="N104" s="6">
        <v>0</v>
      </c>
      <c r="O104" s="6">
        <v>0</v>
      </c>
      <c r="P104" s="6">
        <v>31</v>
      </c>
      <c r="Q104" s="4" t="s">
        <v>26</v>
      </c>
      <c r="R104" s="4">
        <v>0</v>
      </c>
      <c r="S104" s="6">
        <v>16</v>
      </c>
      <c r="T104" s="6">
        <v>0</v>
      </c>
      <c r="U104" s="6">
        <v>0</v>
      </c>
      <c r="V104" s="6">
        <f>IF(ISERROR(VLOOKUP($S$104,'TAR FIN'!$A$1:$O$85,15,0)),0,VLOOKUP($S$104,'TAR FIN'!$A$1:$O$85,15,0))</f>
        <v>25.66</v>
      </c>
      <c r="W104" s="6">
        <f>IF(ISERROR(VLOOKUP($T$104,'TAR FIN'!$A$1:$O$85,15,0)),0,VLOOKUP($T$104,'TAR FIN'!$A$1:$O$85,15,0))</f>
        <v>0</v>
      </c>
      <c r="X104" s="6">
        <f>IF(ISERROR(VLOOKUP($U$104,'TAR FIN'!$A$1:$O$85,15,0)),0,VLOOKUP($U$104,'TAR FIN'!$A$1:$O$85,15,0))</f>
        <v>0</v>
      </c>
      <c r="Y104" s="6">
        <f ca="1">('TUSD BE'!$AM$10+'TUSD BF'!$AM$10+'TUSD CVA'!$AM$10)*1</f>
        <v>25.189608465764316</v>
      </c>
      <c r="Z104" s="6"/>
      <c r="AA104" s="6"/>
      <c r="AB104" s="6">
        <f>$K$104*$V$104</f>
        <v>279386.08</v>
      </c>
      <c r="AC104" s="6">
        <f>$M$104*$W$104</f>
        <v>0</v>
      </c>
      <c r="AD104" s="6">
        <f>$O$104*$X$104</f>
        <v>0</v>
      </c>
      <c r="AE104" s="6">
        <f ca="1">$K$104*$Y$104</f>
        <v>274264.45697524189</v>
      </c>
      <c r="AF104" s="6">
        <f>$M$104*$Z$104</f>
        <v>0</v>
      </c>
      <c r="AG104" s="6">
        <f>$O$104*$AA$104</f>
        <v>0</v>
      </c>
    </row>
    <row r="105" spans="1:33" ht="11.25" customHeight="1" x14ac:dyDescent="0.25">
      <c r="A105" s="4" t="s">
        <v>28</v>
      </c>
      <c r="B105" s="4" t="s">
        <v>35</v>
      </c>
      <c r="C105" s="4" t="s">
        <v>36</v>
      </c>
      <c r="D105" s="4" t="s">
        <v>34</v>
      </c>
      <c r="E105" s="4" t="s">
        <v>25</v>
      </c>
      <c r="F105" s="4" t="s">
        <v>25</v>
      </c>
      <c r="G105" s="4" t="s">
        <v>25</v>
      </c>
      <c r="H105" s="4" t="s">
        <v>25</v>
      </c>
      <c r="I105" s="5">
        <v>44593</v>
      </c>
      <c r="J105" s="6">
        <v>454</v>
      </c>
      <c r="K105" s="6">
        <v>454</v>
      </c>
      <c r="L105" s="6">
        <v>0</v>
      </c>
      <c r="M105" s="6">
        <v>0</v>
      </c>
      <c r="N105" s="6">
        <v>0</v>
      </c>
      <c r="O105" s="6">
        <v>0</v>
      </c>
      <c r="P105" s="6">
        <v>2</v>
      </c>
      <c r="Q105" s="4" t="s">
        <v>26</v>
      </c>
      <c r="R105" s="4">
        <v>0</v>
      </c>
      <c r="S105" s="6">
        <v>16</v>
      </c>
      <c r="T105" s="6">
        <v>0</v>
      </c>
      <c r="U105" s="6">
        <v>0</v>
      </c>
      <c r="V105" s="6">
        <f>IF(ISERROR(VLOOKUP($S$105,'TAR FIN'!$A$1:$O$85,15,0)),0,VLOOKUP($S$105,'TAR FIN'!$A$1:$O$85,15,0))</f>
        <v>25.66</v>
      </c>
      <c r="W105" s="6">
        <f>IF(ISERROR(VLOOKUP($T$105,'TAR FIN'!$A$1:$O$85,15,0)),0,VLOOKUP($T$105,'TAR FIN'!$A$1:$O$85,15,0))</f>
        <v>0</v>
      </c>
      <c r="X105" s="6">
        <f>IF(ISERROR(VLOOKUP($U$105,'TAR FIN'!$A$1:$O$85,15,0)),0,VLOOKUP($U$105,'TAR FIN'!$A$1:$O$85,15,0))</f>
        <v>0</v>
      </c>
      <c r="Y105" s="6">
        <f ca="1">('TUSD BE'!$AM$10+'TUSD BF'!$AM$10+'TUSD CVA'!$AM$10)*1</f>
        <v>25.189608465764316</v>
      </c>
      <c r="Z105" s="6"/>
      <c r="AA105" s="6"/>
      <c r="AB105" s="6">
        <f>$K$105*$V$105</f>
        <v>11649.64</v>
      </c>
      <c r="AC105" s="6">
        <f>$M$105*$W$105</f>
        <v>0</v>
      </c>
      <c r="AD105" s="6">
        <f>$O$105*$X$105</f>
        <v>0</v>
      </c>
      <c r="AE105" s="6">
        <f ca="1">$K$105*$Y$105</f>
        <v>11436.082243457</v>
      </c>
      <c r="AF105" s="6">
        <f>$M$105*$Z$105</f>
        <v>0</v>
      </c>
      <c r="AG105" s="6">
        <f>$O$105*$AA$105</f>
        <v>0</v>
      </c>
    </row>
    <row r="106" spans="1:33" ht="11.25" customHeight="1" x14ac:dyDescent="0.25">
      <c r="A106" s="4" t="s">
        <v>21</v>
      </c>
      <c r="B106" s="4" t="s">
        <v>35</v>
      </c>
      <c r="C106" s="4" t="s">
        <v>36</v>
      </c>
      <c r="D106" s="4" t="s">
        <v>34</v>
      </c>
      <c r="E106" s="4" t="s">
        <v>25</v>
      </c>
      <c r="F106" s="4" t="s">
        <v>25</v>
      </c>
      <c r="G106" s="4" t="s">
        <v>25</v>
      </c>
      <c r="H106" s="4" t="s">
        <v>25</v>
      </c>
      <c r="I106" s="5">
        <v>44621</v>
      </c>
      <c r="J106" s="6">
        <v>10757</v>
      </c>
      <c r="K106" s="6">
        <v>10757</v>
      </c>
      <c r="L106" s="6">
        <v>0</v>
      </c>
      <c r="M106" s="6">
        <v>0</v>
      </c>
      <c r="N106" s="6">
        <v>0</v>
      </c>
      <c r="O106" s="6">
        <v>0</v>
      </c>
      <c r="P106" s="6">
        <v>30</v>
      </c>
      <c r="Q106" s="4" t="s">
        <v>26</v>
      </c>
      <c r="R106" s="4">
        <v>0</v>
      </c>
      <c r="S106" s="6">
        <v>16</v>
      </c>
      <c r="T106" s="6">
        <v>0</v>
      </c>
      <c r="U106" s="6">
        <v>0</v>
      </c>
      <c r="V106" s="6">
        <f>IF(ISERROR(VLOOKUP($S$106,'TAR FIN'!$A$1:$O$85,15,0)),0,VLOOKUP($S$106,'TAR FIN'!$A$1:$O$85,15,0))</f>
        <v>25.66</v>
      </c>
      <c r="W106" s="6">
        <f>IF(ISERROR(VLOOKUP($T$106,'TAR FIN'!$A$1:$O$85,15,0)),0,VLOOKUP($T$106,'TAR FIN'!$A$1:$O$85,15,0))</f>
        <v>0</v>
      </c>
      <c r="X106" s="6">
        <f>IF(ISERROR(VLOOKUP($U$106,'TAR FIN'!$A$1:$O$85,15,0)),0,VLOOKUP($U$106,'TAR FIN'!$A$1:$O$85,15,0))</f>
        <v>0</v>
      </c>
      <c r="Y106" s="6">
        <f ca="1">('TUSD BE'!$AM$10+'TUSD BF'!$AM$10+'TUSD CVA'!$AM$10)*1</f>
        <v>25.189608465764316</v>
      </c>
      <c r="Z106" s="6"/>
      <c r="AA106" s="6"/>
      <c r="AB106" s="6">
        <f>$K$106*$V$106</f>
        <v>276024.62</v>
      </c>
      <c r="AC106" s="6">
        <f>$M$106*$W$106</f>
        <v>0</v>
      </c>
      <c r="AD106" s="6">
        <f>$O$106*$X$106</f>
        <v>0</v>
      </c>
      <c r="AE106" s="6">
        <f ca="1">$K$106*$Y$106</f>
        <v>270964.61826622672</v>
      </c>
      <c r="AF106" s="6">
        <f>$M$106*$Z$106</f>
        <v>0</v>
      </c>
      <c r="AG106" s="6">
        <f>$O$106*$AA$106</f>
        <v>0</v>
      </c>
    </row>
    <row r="107" spans="1:33" ht="11.25" customHeight="1" x14ac:dyDescent="0.25">
      <c r="A107" s="4" t="s">
        <v>28</v>
      </c>
      <c r="B107" s="4" t="s">
        <v>35</v>
      </c>
      <c r="C107" s="4" t="s">
        <v>36</v>
      </c>
      <c r="D107" s="4" t="s">
        <v>34</v>
      </c>
      <c r="E107" s="4" t="s">
        <v>25</v>
      </c>
      <c r="F107" s="4" t="s">
        <v>25</v>
      </c>
      <c r="G107" s="4" t="s">
        <v>25</v>
      </c>
      <c r="H107" s="4" t="s">
        <v>25</v>
      </c>
      <c r="I107" s="5">
        <v>44621</v>
      </c>
      <c r="J107" s="6">
        <v>446</v>
      </c>
      <c r="K107" s="6">
        <v>446</v>
      </c>
      <c r="L107" s="6">
        <v>0</v>
      </c>
      <c r="M107" s="6">
        <v>0</v>
      </c>
      <c r="N107" s="6">
        <v>0</v>
      </c>
      <c r="O107" s="6">
        <v>0</v>
      </c>
      <c r="P107" s="6">
        <v>2</v>
      </c>
      <c r="Q107" s="4" t="s">
        <v>26</v>
      </c>
      <c r="R107" s="4">
        <v>0</v>
      </c>
      <c r="S107" s="6">
        <v>16</v>
      </c>
      <c r="T107" s="6">
        <v>0</v>
      </c>
      <c r="U107" s="6">
        <v>0</v>
      </c>
      <c r="V107" s="6">
        <f>IF(ISERROR(VLOOKUP($S$107,'TAR FIN'!$A$1:$O$85,15,0)),0,VLOOKUP($S$107,'TAR FIN'!$A$1:$O$85,15,0))</f>
        <v>25.66</v>
      </c>
      <c r="W107" s="6">
        <f>IF(ISERROR(VLOOKUP($T$107,'TAR FIN'!$A$1:$O$85,15,0)),0,VLOOKUP($T$107,'TAR FIN'!$A$1:$O$85,15,0))</f>
        <v>0</v>
      </c>
      <c r="X107" s="6">
        <f>IF(ISERROR(VLOOKUP($U$107,'TAR FIN'!$A$1:$O$85,15,0)),0,VLOOKUP($U$107,'TAR FIN'!$A$1:$O$85,15,0))</f>
        <v>0</v>
      </c>
      <c r="Y107" s="6">
        <f ca="1">('TUSD BE'!$AM$10+'TUSD BF'!$AM$10+'TUSD CVA'!$AM$10)*1</f>
        <v>25.189608465764316</v>
      </c>
      <c r="Z107" s="6"/>
      <c r="AA107" s="6"/>
      <c r="AB107" s="6">
        <f>$K$107*$V$107</f>
        <v>11444.36</v>
      </c>
      <c r="AC107" s="6">
        <f>$M$107*$W$107</f>
        <v>0</v>
      </c>
      <c r="AD107" s="6">
        <f>$O$107*$X$107</f>
        <v>0</v>
      </c>
      <c r="AE107" s="6">
        <f ca="1">$K$107*$Y$107</f>
        <v>11234.565375730885</v>
      </c>
      <c r="AF107" s="6">
        <f>$M$107*$Z$107</f>
        <v>0</v>
      </c>
      <c r="AG107" s="6">
        <f>$O$107*$AA$107</f>
        <v>0</v>
      </c>
    </row>
    <row r="108" spans="1:33" ht="11.25" customHeight="1" x14ac:dyDescent="0.25">
      <c r="A108" s="4" t="s">
        <v>21</v>
      </c>
      <c r="B108" s="4" t="s">
        <v>35</v>
      </c>
      <c r="C108" s="4" t="s">
        <v>36</v>
      </c>
      <c r="D108" s="4" t="s">
        <v>34</v>
      </c>
      <c r="E108" s="4" t="s">
        <v>25</v>
      </c>
      <c r="F108" s="4" t="s">
        <v>25</v>
      </c>
      <c r="G108" s="4" t="s">
        <v>25</v>
      </c>
      <c r="H108" s="4" t="s">
        <v>25</v>
      </c>
      <c r="I108" s="5">
        <v>44652</v>
      </c>
      <c r="J108" s="6">
        <v>10877</v>
      </c>
      <c r="K108" s="6">
        <v>10877</v>
      </c>
      <c r="L108" s="6">
        <v>0</v>
      </c>
      <c r="M108" s="6">
        <v>0</v>
      </c>
      <c r="N108" s="6">
        <v>0</v>
      </c>
      <c r="O108" s="6">
        <v>0</v>
      </c>
      <c r="P108" s="6">
        <v>30</v>
      </c>
      <c r="Q108" s="4" t="s">
        <v>26</v>
      </c>
      <c r="R108" s="4">
        <v>0</v>
      </c>
      <c r="S108" s="6">
        <v>16</v>
      </c>
      <c r="T108" s="6">
        <v>0</v>
      </c>
      <c r="U108" s="6">
        <v>0</v>
      </c>
      <c r="V108" s="6">
        <f>IF(ISERROR(VLOOKUP($S$108,'TAR FIN'!$A$1:$O$85,15,0)),0,VLOOKUP($S$108,'TAR FIN'!$A$1:$O$85,15,0))</f>
        <v>25.66</v>
      </c>
      <c r="W108" s="6">
        <f>IF(ISERROR(VLOOKUP($T$108,'TAR FIN'!$A$1:$O$85,15,0)),0,VLOOKUP($T$108,'TAR FIN'!$A$1:$O$85,15,0))</f>
        <v>0</v>
      </c>
      <c r="X108" s="6">
        <f>IF(ISERROR(VLOOKUP($U$108,'TAR FIN'!$A$1:$O$85,15,0)),0,VLOOKUP($U$108,'TAR FIN'!$A$1:$O$85,15,0))</f>
        <v>0</v>
      </c>
      <c r="Y108" s="6">
        <f ca="1">('TUSD BE'!$AM$10+'TUSD BF'!$AM$10+'TUSD CVA'!$AM$10)*1</f>
        <v>25.189608465764316</v>
      </c>
      <c r="Z108" s="6"/>
      <c r="AA108" s="6"/>
      <c r="AB108" s="6">
        <f>$K$108*$V$108</f>
        <v>279103.82</v>
      </c>
      <c r="AC108" s="6">
        <f>$M$108*$W$108</f>
        <v>0</v>
      </c>
      <c r="AD108" s="6">
        <f>$O$108*$X$108</f>
        <v>0</v>
      </c>
      <c r="AE108" s="6">
        <f ca="1">$K$108*$Y$108</f>
        <v>273987.37128211849</v>
      </c>
      <c r="AF108" s="6">
        <f>$M$108*$Z$108</f>
        <v>0</v>
      </c>
      <c r="AG108" s="6">
        <f>$O$108*$AA$108</f>
        <v>0</v>
      </c>
    </row>
    <row r="109" spans="1:33" ht="11.25" customHeight="1" x14ac:dyDescent="0.25">
      <c r="A109" s="4" t="s">
        <v>28</v>
      </c>
      <c r="B109" s="4" t="s">
        <v>35</v>
      </c>
      <c r="C109" s="4" t="s">
        <v>36</v>
      </c>
      <c r="D109" s="4" t="s">
        <v>34</v>
      </c>
      <c r="E109" s="4" t="s">
        <v>25</v>
      </c>
      <c r="F109" s="4" t="s">
        <v>25</v>
      </c>
      <c r="G109" s="4" t="s">
        <v>25</v>
      </c>
      <c r="H109" s="4" t="s">
        <v>25</v>
      </c>
      <c r="I109" s="5">
        <v>44652</v>
      </c>
      <c r="J109" s="6">
        <v>481</v>
      </c>
      <c r="K109" s="6">
        <v>481</v>
      </c>
      <c r="L109" s="6">
        <v>0</v>
      </c>
      <c r="M109" s="6">
        <v>0</v>
      </c>
      <c r="N109" s="6">
        <v>0</v>
      </c>
      <c r="O109" s="6">
        <v>0</v>
      </c>
      <c r="P109" s="6">
        <v>2</v>
      </c>
      <c r="Q109" s="4" t="s">
        <v>26</v>
      </c>
      <c r="R109" s="4">
        <v>0</v>
      </c>
      <c r="S109" s="6">
        <v>16</v>
      </c>
      <c r="T109" s="6">
        <v>0</v>
      </c>
      <c r="U109" s="6">
        <v>0</v>
      </c>
      <c r="V109" s="6">
        <f>IF(ISERROR(VLOOKUP($S$109,'TAR FIN'!$A$1:$O$85,15,0)),0,VLOOKUP($S$109,'TAR FIN'!$A$1:$O$85,15,0))</f>
        <v>25.66</v>
      </c>
      <c r="W109" s="6">
        <f>IF(ISERROR(VLOOKUP($T$109,'TAR FIN'!$A$1:$O$85,15,0)),0,VLOOKUP($T$109,'TAR FIN'!$A$1:$O$85,15,0))</f>
        <v>0</v>
      </c>
      <c r="X109" s="6">
        <f>IF(ISERROR(VLOOKUP($U$109,'TAR FIN'!$A$1:$O$85,15,0)),0,VLOOKUP($U$109,'TAR FIN'!$A$1:$O$85,15,0))</f>
        <v>0</v>
      </c>
      <c r="Y109" s="6">
        <f ca="1">('TUSD BE'!$AM$10+'TUSD BF'!$AM$10+'TUSD CVA'!$AM$10)*1</f>
        <v>25.189608465764316</v>
      </c>
      <c r="Z109" s="6"/>
      <c r="AA109" s="6"/>
      <c r="AB109" s="6">
        <f>$K$109*$V$109</f>
        <v>12342.460000000001</v>
      </c>
      <c r="AC109" s="6">
        <f>$M$109*$W$109</f>
        <v>0</v>
      </c>
      <c r="AD109" s="6">
        <f>$O$109*$X$109</f>
        <v>0</v>
      </c>
      <c r="AE109" s="6">
        <f ca="1">$K$109*$Y$109</f>
        <v>12116.201672032636</v>
      </c>
      <c r="AF109" s="6">
        <f>$M$109*$Z$109</f>
        <v>0</v>
      </c>
      <c r="AG109" s="6">
        <f>$O$109*$AA$109</f>
        <v>0</v>
      </c>
    </row>
    <row r="110" spans="1:33" ht="11.25" customHeight="1" x14ac:dyDescent="0.25">
      <c r="A110" s="4" t="s">
        <v>21</v>
      </c>
      <c r="B110" s="4" t="s">
        <v>35</v>
      </c>
      <c r="C110" s="4" t="s">
        <v>36</v>
      </c>
      <c r="D110" s="4" t="s">
        <v>34</v>
      </c>
      <c r="E110" s="4" t="s">
        <v>25</v>
      </c>
      <c r="F110" s="4" t="s">
        <v>25</v>
      </c>
      <c r="G110" s="4" t="s">
        <v>25</v>
      </c>
      <c r="H110" s="4" t="s">
        <v>25</v>
      </c>
      <c r="I110" s="5">
        <v>44682</v>
      </c>
      <c r="J110" s="6">
        <v>10896</v>
      </c>
      <c r="K110" s="6">
        <v>10896</v>
      </c>
      <c r="L110" s="6">
        <v>0</v>
      </c>
      <c r="M110" s="6">
        <v>0</v>
      </c>
      <c r="N110" s="6">
        <v>0</v>
      </c>
      <c r="O110" s="6">
        <v>0</v>
      </c>
      <c r="P110" s="6">
        <v>30</v>
      </c>
      <c r="Q110" s="4" t="s">
        <v>26</v>
      </c>
      <c r="R110" s="4">
        <v>0</v>
      </c>
      <c r="S110" s="6">
        <v>16</v>
      </c>
      <c r="T110" s="6">
        <v>0</v>
      </c>
      <c r="U110" s="6">
        <v>0</v>
      </c>
      <c r="V110" s="6">
        <f>IF(ISERROR(VLOOKUP($S$110,'TAR FIN'!$A$1:$O$85,15,0)),0,VLOOKUP($S$110,'TAR FIN'!$A$1:$O$85,15,0))</f>
        <v>25.66</v>
      </c>
      <c r="W110" s="6">
        <f>IF(ISERROR(VLOOKUP($T$110,'TAR FIN'!$A$1:$O$85,15,0)),0,VLOOKUP($T$110,'TAR FIN'!$A$1:$O$85,15,0))</f>
        <v>0</v>
      </c>
      <c r="X110" s="6">
        <f>IF(ISERROR(VLOOKUP($U$110,'TAR FIN'!$A$1:$O$85,15,0)),0,VLOOKUP($U$110,'TAR FIN'!$A$1:$O$85,15,0))</f>
        <v>0</v>
      </c>
      <c r="Y110" s="6">
        <f ca="1">('TUSD BE'!$AM$10+'TUSD BF'!$AM$10+'TUSD CVA'!$AM$10)*1</f>
        <v>25.189608465764316</v>
      </c>
      <c r="Z110" s="6"/>
      <c r="AA110" s="6"/>
      <c r="AB110" s="6">
        <f>$K$110*$V$110</f>
        <v>279591.36</v>
      </c>
      <c r="AC110" s="6">
        <f>$M$110*$W$110</f>
        <v>0</v>
      </c>
      <c r="AD110" s="6">
        <f>$O$110*$X$110</f>
        <v>0</v>
      </c>
      <c r="AE110" s="6">
        <f ca="1">$K$110*$Y$110</f>
        <v>274465.973842968</v>
      </c>
      <c r="AF110" s="6">
        <f>$M$110*$Z$110</f>
        <v>0</v>
      </c>
      <c r="AG110" s="6">
        <f>$O$110*$AA$110</f>
        <v>0</v>
      </c>
    </row>
    <row r="111" spans="1:33" ht="11.25" customHeight="1" x14ac:dyDescent="0.25">
      <c r="A111" s="4" t="s">
        <v>28</v>
      </c>
      <c r="B111" s="4" t="s">
        <v>35</v>
      </c>
      <c r="C111" s="4" t="s">
        <v>36</v>
      </c>
      <c r="D111" s="4" t="s">
        <v>34</v>
      </c>
      <c r="E111" s="4" t="s">
        <v>25</v>
      </c>
      <c r="F111" s="4" t="s">
        <v>25</v>
      </c>
      <c r="G111" s="4" t="s">
        <v>25</v>
      </c>
      <c r="H111" s="4" t="s">
        <v>25</v>
      </c>
      <c r="I111" s="5">
        <v>44682</v>
      </c>
      <c r="J111" s="6">
        <v>470</v>
      </c>
      <c r="K111" s="6">
        <v>470</v>
      </c>
      <c r="L111" s="6">
        <v>0</v>
      </c>
      <c r="M111" s="6">
        <v>0</v>
      </c>
      <c r="N111" s="6">
        <v>0</v>
      </c>
      <c r="O111" s="6">
        <v>0</v>
      </c>
      <c r="P111" s="6">
        <v>2</v>
      </c>
      <c r="Q111" s="4" t="s">
        <v>26</v>
      </c>
      <c r="R111" s="4">
        <v>0</v>
      </c>
      <c r="S111" s="6">
        <v>16</v>
      </c>
      <c r="T111" s="6">
        <v>0</v>
      </c>
      <c r="U111" s="6">
        <v>0</v>
      </c>
      <c r="V111" s="6">
        <f>IF(ISERROR(VLOOKUP($S$111,'TAR FIN'!$A$1:$O$85,15,0)),0,VLOOKUP($S$111,'TAR FIN'!$A$1:$O$85,15,0))</f>
        <v>25.66</v>
      </c>
      <c r="W111" s="6">
        <f>IF(ISERROR(VLOOKUP($T$111,'TAR FIN'!$A$1:$O$85,15,0)),0,VLOOKUP($T$111,'TAR FIN'!$A$1:$O$85,15,0))</f>
        <v>0</v>
      </c>
      <c r="X111" s="6">
        <f>IF(ISERROR(VLOOKUP($U$111,'TAR FIN'!$A$1:$O$85,15,0)),0,VLOOKUP($U$111,'TAR FIN'!$A$1:$O$85,15,0))</f>
        <v>0</v>
      </c>
      <c r="Y111" s="6">
        <f ca="1">('TUSD BE'!$AM$10+'TUSD BF'!$AM$10+'TUSD CVA'!$AM$10)*1</f>
        <v>25.189608465764316</v>
      </c>
      <c r="Z111" s="6"/>
      <c r="AA111" s="6"/>
      <c r="AB111" s="6">
        <f>$K$111*$V$111</f>
        <v>12060.2</v>
      </c>
      <c r="AC111" s="6">
        <f>$M$111*$W$111</f>
        <v>0</v>
      </c>
      <c r="AD111" s="6">
        <f>$O$111*$X$111</f>
        <v>0</v>
      </c>
      <c r="AE111" s="6">
        <f ca="1">$K$111*$Y$111</f>
        <v>11839.115978909229</v>
      </c>
      <c r="AF111" s="6">
        <f>$M$111*$Z$111</f>
        <v>0</v>
      </c>
      <c r="AG111" s="6">
        <f>$O$111*$AA$111</f>
        <v>0</v>
      </c>
    </row>
    <row r="112" spans="1:33" ht="11.25" customHeight="1" x14ac:dyDescent="0.25">
      <c r="A112" s="4" t="s">
        <v>21</v>
      </c>
      <c r="B112" s="4" t="s">
        <v>35</v>
      </c>
      <c r="C112" s="4" t="s">
        <v>36</v>
      </c>
      <c r="D112" s="4" t="s">
        <v>34</v>
      </c>
      <c r="E112" s="4" t="s">
        <v>25</v>
      </c>
      <c r="F112" s="4" t="s">
        <v>25</v>
      </c>
      <c r="G112" s="4" t="s">
        <v>25</v>
      </c>
      <c r="H112" s="4" t="s">
        <v>25</v>
      </c>
      <c r="I112" s="5">
        <v>44713</v>
      </c>
      <c r="J112" s="6">
        <v>10878</v>
      </c>
      <c r="K112" s="6">
        <v>10878</v>
      </c>
      <c r="L112" s="6">
        <v>0</v>
      </c>
      <c r="M112" s="6">
        <v>0</v>
      </c>
      <c r="N112" s="6">
        <v>0</v>
      </c>
      <c r="O112" s="6">
        <v>0</v>
      </c>
      <c r="P112" s="6">
        <v>30</v>
      </c>
      <c r="Q112" s="4" t="s">
        <v>26</v>
      </c>
      <c r="R112" s="4">
        <v>0</v>
      </c>
      <c r="S112" s="6">
        <v>16</v>
      </c>
      <c r="T112" s="6">
        <v>0</v>
      </c>
      <c r="U112" s="6">
        <v>0</v>
      </c>
      <c r="V112" s="6">
        <f>IF(ISERROR(VLOOKUP($S$112,'TAR FIN'!$A$1:$O$85,15,0)),0,VLOOKUP($S$112,'TAR FIN'!$A$1:$O$85,15,0))</f>
        <v>25.66</v>
      </c>
      <c r="W112" s="6">
        <f>IF(ISERROR(VLOOKUP($T$112,'TAR FIN'!$A$1:$O$85,15,0)),0,VLOOKUP($T$112,'TAR FIN'!$A$1:$O$85,15,0))</f>
        <v>0</v>
      </c>
      <c r="X112" s="6">
        <f>IF(ISERROR(VLOOKUP($U$112,'TAR FIN'!$A$1:$O$85,15,0)),0,VLOOKUP($U$112,'TAR FIN'!$A$1:$O$85,15,0))</f>
        <v>0</v>
      </c>
      <c r="Y112" s="6">
        <f ca="1">('TUSD BE'!$AM$10+'TUSD BF'!$AM$10+'TUSD CVA'!$AM$10)*1</f>
        <v>25.189608465764316</v>
      </c>
      <c r="Z112" s="6"/>
      <c r="AA112" s="6"/>
      <c r="AB112" s="6">
        <f>$K$112*$V$112</f>
        <v>279129.48</v>
      </c>
      <c r="AC112" s="6">
        <f>$M$112*$W$112</f>
        <v>0</v>
      </c>
      <c r="AD112" s="6">
        <f>$O$112*$X$112</f>
        <v>0</v>
      </c>
      <c r="AE112" s="6">
        <f ca="1">$K$112*$Y$112</f>
        <v>274012.56089058425</v>
      </c>
      <c r="AF112" s="6">
        <f>$M$112*$Z$112</f>
        <v>0</v>
      </c>
      <c r="AG112" s="6">
        <f>$O$112*$AA$112</f>
        <v>0</v>
      </c>
    </row>
    <row r="113" spans="1:33" ht="11.25" customHeight="1" x14ac:dyDescent="0.25">
      <c r="A113" s="4" t="s">
        <v>28</v>
      </c>
      <c r="B113" s="4" t="s">
        <v>35</v>
      </c>
      <c r="C113" s="4" t="s">
        <v>36</v>
      </c>
      <c r="D113" s="4" t="s">
        <v>34</v>
      </c>
      <c r="E113" s="4" t="s">
        <v>25</v>
      </c>
      <c r="F113" s="4" t="s">
        <v>25</v>
      </c>
      <c r="G113" s="4" t="s">
        <v>25</v>
      </c>
      <c r="H113" s="4" t="s">
        <v>25</v>
      </c>
      <c r="I113" s="5">
        <v>44713</v>
      </c>
      <c r="J113" s="6">
        <v>440</v>
      </c>
      <c r="K113" s="6">
        <v>440</v>
      </c>
      <c r="L113" s="6">
        <v>0</v>
      </c>
      <c r="M113" s="6">
        <v>0</v>
      </c>
      <c r="N113" s="6">
        <v>0</v>
      </c>
      <c r="O113" s="6">
        <v>0</v>
      </c>
      <c r="P113" s="6">
        <v>2</v>
      </c>
      <c r="Q113" s="4" t="s">
        <v>26</v>
      </c>
      <c r="R113" s="4">
        <v>0</v>
      </c>
      <c r="S113" s="6">
        <v>16</v>
      </c>
      <c r="T113" s="6">
        <v>0</v>
      </c>
      <c r="U113" s="6">
        <v>0</v>
      </c>
      <c r="V113" s="6">
        <f>IF(ISERROR(VLOOKUP($S$113,'TAR FIN'!$A$1:$O$85,15,0)),0,VLOOKUP($S$113,'TAR FIN'!$A$1:$O$85,15,0))</f>
        <v>25.66</v>
      </c>
      <c r="W113" s="6">
        <f>IF(ISERROR(VLOOKUP($T$113,'TAR FIN'!$A$1:$O$85,15,0)),0,VLOOKUP($T$113,'TAR FIN'!$A$1:$O$85,15,0))</f>
        <v>0</v>
      </c>
      <c r="X113" s="6">
        <f>IF(ISERROR(VLOOKUP($U$113,'TAR FIN'!$A$1:$O$85,15,0)),0,VLOOKUP($U$113,'TAR FIN'!$A$1:$O$85,15,0))</f>
        <v>0</v>
      </c>
      <c r="Y113" s="6">
        <f ca="1">('TUSD BE'!$AM$10+'TUSD BF'!$AM$10+'TUSD CVA'!$AM$10)*1</f>
        <v>25.189608465764316</v>
      </c>
      <c r="Z113" s="6"/>
      <c r="AA113" s="6"/>
      <c r="AB113" s="6">
        <f>$K$113*$V$113</f>
        <v>11290.4</v>
      </c>
      <c r="AC113" s="6">
        <f>$M$113*$W$113</f>
        <v>0</v>
      </c>
      <c r="AD113" s="6">
        <f>$O$113*$X$113</f>
        <v>0</v>
      </c>
      <c r="AE113" s="6">
        <f ca="1">$K$113*$Y$113</f>
        <v>11083.427724936299</v>
      </c>
      <c r="AF113" s="6">
        <f>$M$113*$Z$113</f>
        <v>0</v>
      </c>
      <c r="AG113" s="6">
        <f>$O$113*$AA$113</f>
        <v>0</v>
      </c>
    </row>
    <row r="114" spans="1:33" ht="11.25" customHeight="1" x14ac:dyDescent="0.25">
      <c r="A114" s="4" t="s">
        <v>21</v>
      </c>
      <c r="B114" s="4" t="s">
        <v>35</v>
      </c>
      <c r="C114" s="4" t="s">
        <v>36</v>
      </c>
      <c r="D114" s="4" t="s">
        <v>34</v>
      </c>
      <c r="E114" s="4" t="s">
        <v>25</v>
      </c>
      <c r="F114" s="4" t="s">
        <v>25</v>
      </c>
      <c r="G114" s="4" t="s">
        <v>25</v>
      </c>
      <c r="H114" s="4" t="s">
        <v>25</v>
      </c>
      <c r="I114" s="5">
        <v>44743</v>
      </c>
      <c r="J114" s="6">
        <v>10786</v>
      </c>
      <c r="K114" s="6">
        <v>10786</v>
      </c>
      <c r="L114" s="6">
        <v>0</v>
      </c>
      <c r="M114" s="6">
        <v>0</v>
      </c>
      <c r="N114" s="6">
        <v>0</v>
      </c>
      <c r="O114" s="6">
        <v>0</v>
      </c>
      <c r="P114" s="6">
        <v>30</v>
      </c>
      <c r="Q114" s="4" t="s">
        <v>26</v>
      </c>
      <c r="R114" s="4">
        <v>0</v>
      </c>
      <c r="S114" s="6">
        <v>16</v>
      </c>
      <c r="T114" s="6">
        <v>0</v>
      </c>
      <c r="U114" s="6">
        <v>0</v>
      </c>
      <c r="V114" s="6">
        <f>IF(ISERROR(VLOOKUP($S$114,'TAR FIN'!$A$1:$O$85,15,0)),0,VLOOKUP($S$114,'TAR FIN'!$A$1:$O$85,15,0))</f>
        <v>25.66</v>
      </c>
      <c r="W114" s="6">
        <f>IF(ISERROR(VLOOKUP($T$114,'TAR FIN'!$A$1:$O$85,15,0)),0,VLOOKUP($T$114,'TAR FIN'!$A$1:$O$85,15,0))</f>
        <v>0</v>
      </c>
      <c r="X114" s="6">
        <f>IF(ISERROR(VLOOKUP($U$114,'TAR FIN'!$A$1:$O$85,15,0)),0,VLOOKUP($U$114,'TAR FIN'!$A$1:$O$85,15,0))</f>
        <v>0</v>
      </c>
      <c r="Y114" s="6">
        <f ca="1">('TUSD BE'!$AM$10+'TUSD BF'!$AM$10+'TUSD CVA'!$AM$10)*1</f>
        <v>25.189608465764316</v>
      </c>
      <c r="Z114" s="6"/>
      <c r="AA114" s="6"/>
      <c r="AB114" s="6">
        <f>$K$114*$V$114</f>
        <v>276768.76</v>
      </c>
      <c r="AC114" s="6">
        <f>$M$114*$W$114</f>
        <v>0</v>
      </c>
      <c r="AD114" s="6">
        <f>$O$114*$X$114</f>
        <v>0</v>
      </c>
      <c r="AE114" s="6">
        <f ca="1">$K$114*$Y$114</f>
        <v>271695.11691173393</v>
      </c>
      <c r="AF114" s="6">
        <f>$M$114*$Z$114</f>
        <v>0</v>
      </c>
      <c r="AG114" s="6">
        <f>$O$114*$AA$114</f>
        <v>0</v>
      </c>
    </row>
    <row r="115" spans="1:33" ht="11.25" customHeight="1" x14ac:dyDescent="0.25">
      <c r="A115" s="4" t="s">
        <v>28</v>
      </c>
      <c r="B115" s="4" t="s">
        <v>35</v>
      </c>
      <c r="C115" s="4" t="s">
        <v>36</v>
      </c>
      <c r="D115" s="4" t="s">
        <v>34</v>
      </c>
      <c r="E115" s="4" t="s">
        <v>25</v>
      </c>
      <c r="F115" s="4" t="s">
        <v>25</v>
      </c>
      <c r="G115" s="4" t="s">
        <v>25</v>
      </c>
      <c r="H115" s="4" t="s">
        <v>25</v>
      </c>
      <c r="I115" s="5">
        <v>44743</v>
      </c>
      <c r="J115" s="6">
        <v>450</v>
      </c>
      <c r="K115" s="6">
        <v>450</v>
      </c>
      <c r="L115" s="6">
        <v>0</v>
      </c>
      <c r="M115" s="6">
        <v>0</v>
      </c>
      <c r="N115" s="6">
        <v>0</v>
      </c>
      <c r="O115" s="6">
        <v>0</v>
      </c>
      <c r="P115" s="6">
        <v>2</v>
      </c>
      <c r="Q115" s="4" t="s">
        <v>26</v>
      </c>
      <c r="R115" s="4">
        <v>0</v>
      </c>
      <c r="S115" s="6">
        <v>16</v>
      </c>
      <c r="T115" s="6">
        <v>0</v>
      </c>
      <c r="U115" s="6">
        <v>0</v>
      </c>
      <c r="V115" s="6">
        <f>IF(ISERROR(VLOOKUP($S$115,'TAR FIN'!$A$1:$O$85,15,0)),0,VLOOKUP($S$115,'TAR FIN'!$A$1:$O$85,15,0))</f>
        <v>25.66</v>
      </c>
      <c r="W115" s="6">
        <f>IF(ISERROR(VLOOKUP($T$115,'TAR FIN'!$A$1:$O$85,15,0)),0,VLOOKUP($T$115,'TAR FIN'!$A$1:$O$85,15,0))</f>
        <v>0</v>
      </c>
      <c r="X115" s="6">
        <f>IF(ISERROR(VLOOKUP($U$115,'TAR FIN'!$A$1:$O$85,15,0)),0,VLOOKUP($U$115,'TAR FIN'!$A$1:$O$85,15,0))</f>
        <v>0</v>
      </c>
      <c r="Y115" s="6">
        <f ca="1">('TUSD BE'!$AM$10+'TUSD BF'!$AM$10+'TUSD CVA'!$AM$10)*1</f>
        <v>25.189608465764316</v>
      </c>
      <c r="Z115" s="6"/>
      <c r="AA115" s="6"/>
      <c r="AB115" s="6">
        <f>$K$115*$V$115</f>
        <v>11547</v>
      </c>
      <c r="AC115" s="6">
        <f>$M$115*$W$115</f>
        <v>0</v>
      </c>
      <c r="AD115" s="6">
        <f>$O$115*$X$115</f>
        <v>0</v>
      </c>
      <c r="AE115" s="6">
        <f ca="1">$K$115*$Y$115</f>
        <v>11335.323809593941</v>
      </c>
      <c r="AF115" s="6">
        <f>$M$115*$Z$115</f>
        <v>0</v>
      </c>
      <c r="AG115" s="6">
        <f>$O$115*$AA$115</f>
        <v>0</v>
      </c>
    </row>
    <row r="116" spans="1:33" ht="11.25" customHeight="1" x14ac:dyDescent="0.25">
      <c r="A116" s="4" t="s">
        <v>21</v>
      </c>
      <c r="B116" s="4" t="s">
        <v>35</v>
      </c>
      <c r="C116" s="4" t="s">
        <v>36</v>
      </c>
      <c r="D116" s="4" t="s">
        <v>34</v>
      </c>
      <c r="E116" s="4" t="s">
        <v>25</v>
      </c>
      <c r="F116" s="4" t="s">
        <v>25</v>
      </c>
      <c r="G116" s="4" t="s">
        <v>25</v>
      </c>
      <c r="H116" s="4" t="s">
        <v>25</v>
      </c>
      <c r="I116" s="5">
        <v>44774</v>
      </c>
      <c r="J116" s="6">
        <v>10756</v>
      </c>
      <c r="K116" s="6">
        <v>10756</v>
      </c>
      <c r="L116" s="6">
        <v>0</v>
      </c>
      <c r="M116" s="6">
        <v>0</v>
      </c>
      <c r="N116" s="6">
        <v>0</v>
      </c>
      <c r="O116" s="6">
        <v>0</v>
      </c>
      <c r="P116" s="6">
        <v>29</v>
      </c>
      <c r="Q116" s="4" t="s">
        <v>26</v>
      </c>
      <c r="R116" s="4">
        <v>0</v>
      </c>
      <c r="S116" s="6">
        <v>16</v>
      </c>
      <c r="T116" s="6">
        <v>0</v>
      </c>
      <c r="U116" s="6">
        <v>0</v>
      </c>
      <c r="V116" s="6">
        <f>IF(ISERROR(VLOOKUP($S$116,'TAR FIN'!$A$1:$O$85,15,0)),0,VLOOKUP($S$116,'TAR FIN'!$A$1:$O$85,15,0))</f>
        <v>25.66</v>
      </c>
      <c r="W116" s="6">
        <f>IF(ISERROR(VLOOKUP($T$116,'TAR FIN'!$A$1:$O$85,15,0)),0,VLOOKUP($T$116,'TAR FIN'!$A$1:$O$85,15,0))</f>
        <v>0</v>
      </c>
      <c r="X116" s="6">
        <f>IF(ISERROR(VLOOKUP($U$116,'TAR FIN'!$A$1:$O$85,15,0)),0,VLOOKUP($U$116,'TAR FIN'!$A$1:$O$85,15,0))</f>
        <v>0</v>
      </c>
      <c r="Y116" s="6">
        <f ca="1">('TUSD BE'!$AM$10+'TUSD BF'!$AM$10+'TUSD CVA'!$AM$10)*1</f>
        <v>25.189608465764316</v>
      </c>
      <c r="Z116" s="6"/>
      <c r="AA116" s="6"/>
      <c r="AB116" s="6">
        <f>$K$116*$V$116</f>
        <v>275998.96000000002</v>
      </c>
      <c r="AC116" s="6">
        <f>$M$116*$W$116</f>
        <v>0</v>
      </c>
      <c r="AD116" s="6">
        <f>$O$116*$X$116</f>
        <v>0</v>
      </c>
      <c r="AE116" s="6">
        <f ca="1">$K$116*$Y$116</f>
        <v>270939.42865776096</v>
      </c>
      <c r="AF116" s="6">
        <f>$M$116*$Z$116</f>
        <v>0</v>
      </c>
      <c r="AG116" s="6">
        <f>$O$116*$AA$116</f>
        <v>0</v>
      </c>
    </row>
    <row r="117" spans="1:33" ht="11.25" customHeight="1" x14ac:dyDescent="0.25">
      <c r="A117" s="4" t="s">
        <v>28</v>
      </c>
      <c r="B117" s="4" t="s">
        <v>35</v>
      </c>
      <c r="C117" s="4" t="s">
        <v>36</v>
      </c>
      <c r="D117" s="4" t="s">
        <v>34</v>
      </c>
      <c r="E117" s="4" t="s">
        <v>25</v>
      </c>
      <c r="F117" s="4" t="s">
        <v>25</v>
      </c>
      <c r="G117" s="4" t="s">
        <v>25</v>
      </c>
      <c r="H117" s="4" t="s">
        <v>25</v>
      </c>
      <c r="I117" s="5">
        <v>44774</v>
      </c>
      <c r="J117" s="6">
        <v>578</v>
      </c>
      <c r="K117" s="6">
        <v>578</v>
      </c>
      <c r="L117" s="6">
        <v>0</v>
      </c>
      <c r="M117" s="6">
        <v>0</v>
      </c>
      <c r="N117" s="6">
        <v>0</v>
      </c>
      <c r="O117" s="6">
        <v>0</v>
      </c>
      <c r="P117" s="6">
        <v>3</v>
      </c>
      <c r="Q117" s="4" t="s">
        <v>26</v>
      </c>
      <c r="R117" s="4">
        <v>0</v>
      </c>
      <c r="S117" s="6">
        <v>16</v>
      </c>
      <c r="T117" s="6">
        <v>0</v>
      </c>
      <c r="U117" s="6">
        <v>0</v>
      </c>
      <c r="V117" s="6">
        <f>IF(ISERROR(VLOOKUP($S$117,'TAR FIN'!$A$1:$O$85,15,0)),0,VLOOKUP($S$117,'TAR FIN'!$A$1:$O$85,15,0))</f>
        <v>25.66</v>
      </c>
      <c r="W117" s="6">
        <f>IF(ISERROR(VLOOKUP($T$117,'TAR FIN'!$A$1:$O$85,15,0)),0,VLOOKUP($T$117,'TAR FIN'!$A$1:$O$85,15,0))</f>
        <v>0</v>
      </c>
      <c r="X117" s="6">
        <f>IF(ISERROR(VLOOKUP($U$117,'TAR FIN'!$A$1:$O$85,15,0)),0,VLOOKUP($U$117,'TAR FIN'!$A$1:$O$85,15,0))</f>
        <v>0</v>
      </c>
      <c r="Y117" s="6">
        <f ca="1">('TUSD BE'!$AM$10+'TUSD BF'!$AM$10+'TUSD CVA'!$AM$10)*1</f>
        <v>25.189608465764316</v>
      </c>
      <c r="Z117" s="6"/>
      <c r="AA117" s="6"/>
      <c r="AB117" s="6">
        <f>$K$117*$V$117</f>
        <v>14831.48</v>
      </c>
      <c r="AC117" s="6">
        <f>$M$117*$W$117</f>
        <v>0</v>
      </c>
      <c r="AD117" s="6">
        <f>$O$117*$X$117</f>
        <v>0</v>
      </c>
      <c r="AE117" s="6">
        <f ca="1">$K$117*$Y$117</f>
        <v>14559.593693211775</v>
      </c>
      <c r="AF117" s="6">
        <f>$M$117*$Z$117</f>
        <v>0</v>
      </c>
      <c r="AG117" s="6">
        <f>$O$117*$AA$117</f>
        <v>0</v>
      </c>
    </row>
    <row r="118" spans="1:33" ht="11.25" customHeight="1" x14ac:dyDescent="0.25">
      <c r="A118" s="4" t="s">
        <v>21</v>
      </c>
      <c r="B118" s="4" t="s">
        <v>35</v>
      </c>
      <c r="C118" s="4" t="s">
        <v>36</v>
      </c>
      <c r="D118" s="4" t="s">
        <v>34</v>
      </c>
      <c r="E118" s="4" t="s">
        <v>25</v>
      </c>
      <c r="F118" s="4" t="s">
        <v>25</v>
      </c>
      <c r="G118" s="4" t="s">
        <v>25</v>
      </c>
      <c r="H118" s="4" t="s">
        <v>37</v>
      </c>
      <c r="I118" s="5">
        <v>44440</v>
      </c>
      <c r="J118" s="6">
        <v>0</v>
      </c>
      <c r="K118" s="6">
        <v>0</v>
      </c>
      <c r="L118" s="6">
        <v>52.817999999999998</v>
      </c>
      <c r="M118" s="6">
        <v>52.817999999999998</v>
      </c>
      <c r="N118" s="6">
        <v>52.817999999999998</v>
      </c>
      <c r="O118" s="6">
        <v>52.817999999999998</v>
      </c>
      <c r="P118" s="6">
        <v>0</v>
      </c>
      <c r="Q118" s="4" t="s">
        <v>26</v>
      </c>
      <c r="R118" s="4">
        <v>0</v>
      </c>
      <c r="S118" s="6">
        <v>0</v>
      </c>
      <c r="T118" s="6">
        <v>25</v>
      </c>
      <c r="U118" s="6">
        <v>44</v>
      </c>
      <c r="V118" s="6">
        <f>IF(ISERROR(VLOOKUP($S$118,'TAR FIN'!$A$1:$O$85,15,0)),0,VLOOKUP($S$118,'TAR FIN'!$A$1:$O$85,15,0))</f>
        <v>0</v>
      </c>
      <c r="W118" s="6">
        <f>IF(ISERROR(VLOOKUP($T$118,'TAR FIN'!$A$1:$O$85,15,0)),0,VLOOKUP($T$118,'TAR FIN'!$A$1:$O$85,15,0))</f>
        <v>1922.56</v>
      </c>
      <c r="X118" s="6">
        <f>IF(ISERROR(VLOOKUP($U$118,'TAR FIN'!$A$1:$O$85,15,0)),0,VLOOKUP($U$118,'TAR FIN'!$A$1:$O$85,15,0))</f>
        <v>141.32</v>
      </c>
      <c r="Y118" s="6"/>
      <c r="Z118" s="6">
        <f ca="1">('TUSD BE'!$AM$11+'TUSD BF'!$AM$11+'TUSD CVA'!$AM$11)*1</f>
        <v>1931.7033804673958</v>
      </c>
      <c r="AA118" s="6">
        <f>('TE BE'!$AB$5+'TE BF'!$AB$5+'TE CVA'!$AB$5)*1</f>
        <v>135.80626150990429</v>
      </c>
      <c r="AB118" s="6">
        <f>$K$118*$V$118</f>
        <v>0</v>
      </c>
      <c r="AC118" s="6">
        <f>$M$118*$W$118</f>
        <v>101545.77407999999</v>
      </c>
      <c r="AD118" s="6">
        <f>$O$118*$X$118</f>
        <v>7464.2397599999995</v>
      </c>
      <c r="AE118" s="6">
        <f>$K$118*$Y$118</f>
        <v>0</v>
      </c>
      <c r="AF118" s="6">
        <f ca="1">$M$118*$Z$118</f>
        <v>102028.70914952691</v>
      </c>
      <c r="AG118" s="6">
        <f>$O$118*$AA$118</f>
        <v>7173.0151204301246</v>
      </c>
    </row>
    <row r="119" spans="1:33" ht="11.25" customHeight="1" x14ac:dyDescent="0.25">
      <c r="A119" s="4" t="s">
        <v>28</v>
      </c>
      <c r="B119" s="4" t="s">
        <v>35</v>
      </c>
      <c r="C119" s="4" t="s">
        <v>36</v>
      </c>
      <c r="D119" s="4" t="s">
        <v>34</v>
      </c>
      <c r="E119" s="4" t="s">
        <v>25</v>
      </c>
      <c r="F119" s="4" t="s">
        <v>25</v>
      </c>
      <c r="G119" s="4" t="s">
        <v>25</v>
      </c>
      <c r="H119" s="4" t="s">
        <v>37</v>
      </c>
      <c r="I119" s="5">
        <v>44440</v>
      </c>
      <c r="J119" s="6">
        <v>0</v>
      </c>
      <c r="K119" s="6">
        <v>0</v>
      </c>
      <c r="L119" s="6">
        <v>0.89500000000000002</v>
      </c>
      <c r="M119" s="6">
        <v>0.89500000000000002</v>
      </c>
      <c r="N119" s="6">
        <v>0.89500000000000002</v>
      </c>
      <c r="O119" s="6">
        <v>0.89500000000000002</v>
      </c>
      <c r="P119" s="6">
        <v>0</v>
      </c>
      <c r="Q119" s="4" t="s">
        <v>26</v>
      </c>
      <c r="R119" s="4">
        <v>0</v>
      </c>
      <c r="S119" s="6">
        <v>0</v>
      </c>
      <c r="T119" s="6">
        <v>25</v>
      </c>
      <c r="U119" s="6">
        <v>44</v>
      </c>
      <c r="V119" s="6">
        <f>IF(ISERROR(VLOOKUP($S$119,'TAR FIN'!$A$1:$O$85,15,0)),0,VLOOKUP($S$119,'TAR FIN'!$A$1:$O$85,15,0))</f>
        <v>0</v>
      </c>
      <c r="W119" s="6">
        <f>IF(ISERROR(VLOOKUP($T$119,'TAR FIN'!$A$1:$O$85,15,0)),0,VLOOKUP($T$119,'TAR FIN'!$A$1:$O$85,15,0))</f>
        <v>1922.56</v>
      </c>
      <c r="X119" s="6">
        <f>IF(ISERROR(VLOOKUP($U$119,'TAR FIN'!$A$1:$O$85,15,0)),0,VLOOKUP($U$119,'TAR FIN'!$A$1:$O$85,15,0))</f>
        <v>141.32</v>
      </c>
      <c r="Y119" s="6"/>
      <c r="Z119" s="6">
        <f ca="1">('TUSD BE'!$AM$11+'TUSD BF'!$AM$11+'TUSD CVA'!$AM$11)*1</f>
        <v>1931.7033804673958</v>
      </c>
      <c r="AA119" s="6">
        <f>('TE BE'!$AB$5+'TE BF'!$AB$5+'TE CVA'!$AB$5)*1</f>
        <v>135.80626150990429</v>
      </c>
      <c r="AB119" s="6">
        <f>$K$119*$V$119</f>
        <v>0</v>
      </c>
      <c r="AC119" s="6">
        <f>$M$119*$W$119</f>
        <v>1720.6912</v>
      </c>
      <c r="AD119" s="6">
        <f>$O$119*$X$119</f>
        <v>126.48139999999999</v>
      </c>
      <c r="AE119" s="6">
        <f>$K$119*$Y$119</f>
        <v>0</v>
      </c>
      <c r="AF119" s="6">
        <f ca="1">$M$119*$Z$119</f>
        <v>1728.8745255183194</v>
      </c>
      <c r="AG119" s="6">
        <f>$O$119*$AA$119</f>
        <v>121.54660405136434</v>
      </c>
    </row>
    <row r="120" spans="1:33" ht="11.25" customHeight="1" x14ac:dyDescent="0.25">
      <c r="A120" s="4" t="s">
        <v>21</v>
      </c>
      <c r="B120" s="4" t="s">
        <v>35</v>
      </c>
      <c r="C120" s="4" t="s">
        <v>36</v>
      </c>
      <c r="D120" s="4" t="s">
        <v>34</v>
      </c>
      <c r="E120" s="4" t="s">
        <v>25</v>
      </c>
      <c r="F120" s="4" t="s">
        <v>25</v>
      </c>
      <c r="G120" s="4" t="s">
        <v>25</v>
      </c>
      <c r="H120" s="4" t="s">
        <v>37</v>
      </c>
      <c r="I120" s="5">
        <v>44470</v>
      </c>
      <c r="J120" s="6">
        <v>0</v>
      </c>
      <c r="K120" s="6">
        <v>0</v>
      </c>
      <c r="L120" s="6">
        <v>58.448999999999998</v>
      </c>
      <c r="M120" s="6">
        <v>58.448999999999998</v>
      </c>
      <c r="N120" s="6">
        <v>58.448999999999998</v>
      </c>
      <c r="O120" s="6">
        <v>58.448999999999998</v>
      </c>
      <c r="P120" s="6">
        <v>0</v>
      </c>
      <c r="Q120" s="4" t="s">
        <v>26</v>
      </c>
      <c r="R120" s="4">
        <v>0</v>
      </c>
      <c r="S120" s="6">
        <v>0</v>
      </c>
      <c r="T120" s="6">
        <v>25</v>
      </c>
      <c r="U120" s="6">
        <v>44</v>
      </c>
      <c r="V120" s="6">
        <f>IF(ISERROR(VLOOKUP($S$120,'TAR FIN'!$A$1:$O$85,15,0)),0,VLOOKUP($S$120,'TAR FIN'!$A$1:$O$85,15,0))</f>
        <v>0</v>
      </c>
      <c r="W120" s="6">
        <f>IF(ISERROR(VLOOKUP($T$120,'TAR FIN'!$A$1:$O$85,15,0)),0,VLOOKUP($T$120,'TAR FIN'!$A$1:$O$85,15,0))</f>
        <v>1922.56</v>
      </c>
      <c r="X120" s="6">
        <f>IF(ISERROR(VLOOKUP($U$120,'TAR FIN'!$A$1:$O$85,15,0)),0,VLOOKUP($U$120,'TAR FIN'!$A$1:$O$85,15,0))</f>
        <v>141.32</v>
      </c>
      <c r="Y120" s="6"/>
      <c r="Z120" s="6">
        <f ca="1">('TUSD BE'!$AM$11+'TUSD BF'!$AM$11+'TUSD CVA'!$AM$11)*1</f>
        <v>1931.7033804673958</v>
      </c>
      <c r="AA120" s="6">
        <f>('TE BE'!$AB$5+'TE BF'!$AB$5+'TE CVA'!$AB$5)*1</f>
        <v>135.80626150990429</v>
      </c>
      <c r="AB120" s="6">
        <f>$K$120*$V$120</f>
        <v>0</v>
      </c>
      <c r="AC120" s="6">
        <f>$M$120*$W$120</f>
        <v>112371.70943999999</v>
      </c>
      <c r="AD120" s="6">
        <f>$O$120*$X$120</f>
        <v>8260.0126799999998</v>
      </c>
      <c r="AE120" s="6">
        <f>$K$120*$Y$120</f>
        <v>0</v>
      </c>
      <c r="AF120" s="6">
        <f ca="1">$M$120*$Z$120</f>
        <v>112906.13088493882</v>
      </c>
      <c r="AG120" s="6">
        <f>$O$120*$AA$120</f>
        <v>7937.7401789923952</v>
      </c>
    </row>
    <row r="121" spans="1:33" ht="11.25" customHeight="1" x14ac:dyDescent="0.25">
      <c r="A121" s="4" t="s">
        <v>21</v>
      </c>
      <c r="B121" s="4" t="s">
        <v>35</v>
      </c>
      <c r="C121" s="4" t="s">
        <v>36</v>
      </c>
      <c r="D121" s="4" t="s">
        <v>34</v>
      </c>
      <c r="E121" s="4" t="s">
        <v>25</v>
      </c>
      <c r="F121" s="4" t="s">
        <v>25</v>
      </c>
      <c r="G121" s="4" t="s">
        <v>25</v>
      </c>
      <c r="H121" s="4" t="s">
        <v>37</v>
      </c>
      <c r="I121" s="5">
        <v>44501</v>
      </c>
      <c r="J121" s="6">
        <v>0</v>
      </c>
      <c r="K121" s="6">
        <v>0</v>
      </c>
      <c r="L121" s="6">
        <v>54.72</v>
      </c>
      <c r="M121" s="6">
        <v>54.72</v>
      </c>
      <c r="N121" s="6">
        <v>54.72</v>
      </c>
      <c r="O121" s="6">
        <v>54.72</v>
      </c>
      <c r="P121" s="6">
        <v>0</v>
      </c>
      <c r="Q121" s="4" t="s">
        <v>26</v>
      </c>
      <c r="R121" s="4">
        <v>0</v>
      </c>
      <c r="S121" s="6">
        <v>0</v>
      </c>
      <c r="T121" s="6">
        <v>25</v>
      </c>
      <c r="U121" s="6">
        <v>44</v>
      </c>
      <c r="V121" s="6">
        <f>IF(ISERROR(VLOOKUP($S$121,'TAR FIN'!$A$1:$O$85,15,0)),0,VLOOKUP($S$121,'TAR FIN'!$A$1:$O$85,15,0))</f>
        <v>0</v>
      </c>
      <c r="W121" s="6">
        <f>IF(ISERROR(VLOOKUP($T$121,'TAR FIN'!$A$1:$O$85,15,0)),0,VLOOKUP($T$121,'TAR FIN'!$A$1:$O$85,15,0))</f>
        <v>1922.56</v>
      </c>
      <c r="X121" s="6">
        <f>IF(ISERROR(VLOOKUP($U$121,'TAR FIN'!$A$1:$O$85,15,0)),0,VLOOKUP($U$121,'TAR FIN'!$A$1:$O$85,15,0))</f>
        <v>141.32</v>
      </c>
      <c r="Y121" s="6"/>
      <c r="Z121" s="6">
        <f ca="1">('TUSD BE'!$AM$11+'TUSD BF'!$AM$11+'TUSD CVA'!$AM$11)*1</f>
        <v>1931.7033804673958</v>
      </c>
      <c r="AA121" s="6">
        <f>('TE BE'!$AB$5+'TE BF'!$AB$5+'TE CVA'!$AB$5)*1</f>
        <v>135.80626150990429</v>
      </c>
      <c r="AB121" s="6">
        <f>$K$121*$V$121</f>
        <v>0</v>
      </c>
      <c r="AC121" s="6">
        <f>$M$121*$W$121</f>
        <v>105202.48319999999</v>
      </c>
      <c r="AD121" s="6">
        <f>$O$121*$X$121</f>
        <v>7733.0303999999996</v>
      </c>
      <c r="AE121" s="6">
        <f>$K$121*$Y$121</f>
        <v>0</v>
      </c>
      <c r="AF121" s="6">
        <f ca="1">$M$121*$Z$121</f>
        <v>105702.8089791759</v>
      </c>
      <c r="AG121" s="6">
        <f>$O$121*$AA$121</f>
        <v>7431.3186298219625</v>
      </c>
    </row>
    <row r="122" spans="1:33" ht="11.25" customHeight="1" x14ac:dyDescent="0.25">
      <c r="A122" s="4" t="s">
        <v>28</v>
      </c>
      <c r="B122" s="4" t="s">
        <v>35</v>
      </c>
      <c r="C122" s="4" t="s">
        <v>36</v>
      </c>
      <c r="D122" s="4" t="s">
        <v>34</v>
      </c>
      <c r="E122" s="4" t="s">
        <v>25</v>
      </c>
      <c r="F122" s="4" t="s">
        <v>25</v>
      </c>
      <c r="G122" s="4" t="s">
        <v>25</v>
      </c>
      <c r="H122" s="4" t="s">
        <v>37</v>
      </c>
      <c r="I122" s="5">
        <v>44501</v>
      </c>
      <c r="J122" s="6">
        <v>0</v>
      </c>
      <c r="K122" s="6">
        <v>0</v>
      </c>
      <c r="L122" s="6">
        <v>0.21299999999999999</v>
      </c>
      <c r="M122" s="6">
        <v>0.21299999999999999</v>
      </c>
      <c r="N122" s="6">
        <v>0.21299999999999999</v>
      </c>
      <c r="O122" s="6">
        <v>0.21299999999999999</v>
      </c>
      <c r="P122" s="6">
        <v>0</v>
      </c>
      <c r="Q122" s="4" t="s">
        <v>26</v>
      </c>
      <c r="R122" s="4">
        <v>0</v>
      </c>
      <c r="S122" s="6">
        <v>0</v>
      </c>
      <c r="T122" s="6">
        <v>25</v>
      </c>
      <c r="U122" s="6">
        <v>44</v>
      </c>
      <c r="V122" s="6">
        <f>IF(ISERROR(VLOOKUP($S$122,'TAR FIN'!$A$1:$O$85,15,0)),0,VLOOKUP($S$122,'TAR FIN'!$A$1:$O$85,15,0))</f>
        <v>0</v>
      </c>
      <c r="W122" s="6">
        <f>IF(ISERROR(VLOOKUP($T$122,'TAR FIN'!$A$1:$O$85,15,0)),0,VLOOKUP($T$122,'TAR FIN'!$A$1:$O$85,15,0))</f>
        <v>1922.56</v>
      </c>
      <c r="X122" s="6">
        <f>IF(ISERROR(VLOOKUP($U$122,'TAR FIN'!$A$1:$O$85,15,0)),0,VLOOKUP($U$122,'TAR FIN'!$A$1:$O$85,15,0))</f>
        <v>141.32</v>
      </c>
      <c r="Y122" s="6"/>
      <c r="Z122" s="6">
        <f ca="1">('TUSD BE'!$AM$11+'TUSD BF'!$AM$11+'TUSD CVA'!$AM$11)*1</f>
        <v>1931.7033804673958</v>
      </c>
      <c r="AA122" s="6">
        <f>('TE BE'!$AB$5+'TE BF'!$AB$5+'TE CVA'!$AB$5)*1</f>
        <v>135.80626150990429</v>
      </c>
      <c r="AB122" s="6">
        <f>$K$122*$V$122</f>
        <v>0</v>
      </c>
      <c r="AC122" s="6">
        <f>$M$122*$W$122</f>
        <v>409.50527999999997</v>
      </c>
      <c r="AD122" s="6">
        <f>$O$122*$X$122</f>
        <v>30.101159999999997</v>
      </c>
      <c r="AE122" s="6">
        <f>$K$122*$Y$122</f>
        <v>0</v>
      </c>
      <c r="AF122" s="6">
        <f ca="1">$M$122*$Z$122</f>
        <v>411.45282003955532</v>
      </c>
      <c r="AG122" s="6">
        <f>$O$122*$AA$122</f>
        <v>28.926733701609614</v>
      </c>
    </row>
    <row r="123" spans="1:33" ht="11.25" customHeight="1" x14ac:dyDescent="0.25">
      <c r="A123" s="4" t="s">
        <v>21</v>
      </c>
      <c r="B123" s="4" t="s">
        <v>35</v>
      </c>
      <c r="C123" s="4" t="s">
        <v>36</v>
      </c>
      <c r="D123" s="4" t="s">
        <v>34</v>
      </c>
      <c r="E123" s="4" t="s">
        <v>25</v>
      </c>
      <c r="F123" s="4" t="s">
        <v>25</v>
      </c>
      <c r="G123" s="4" t="s">
        <v>25</v>
      </c>
      <c r="H123" s="4" t="s">
        <v>37</v>
      </c>
      <c r="I123" s="5">
        <v>44531</v>
      </c>
      <c r="J123" s="6">
        <v>0</v>
      </c>
      <c r="K123" s="6">
        <v>0</v>
      </c>
      <c r="L123" s="6">
        <v>64.216999999999999</v>
      </c>
      <c r="M123" s="6">
        <v>64.216999999999999</v>
      </c>
      <c r="N123" s="6">
        <v>64.216999999999999</v>
      </c>
      <c r="O123" s="6">
        <v>64.216999999999999</v>
      </c>
      <c r="P123" s="6">
        <v>0</v>
      </c>
      <c r="Q123" s="4" t="s">
        <v>26</v>
      </c>
      <c r="R123" s="4">
        <v>0</v>
      </c>
      <c r="S123" s="6">
        <v>0</v>
      </c>
      <c r="T123" s="6">
        <v>25</v>
      </c>
      <c r="U123" s="6">
        <v>44</v>
      </c>
      <c r="V123" s="6">
        <f>IF(ISERROR(VLOOKUP($S$123,'TAR FIN'!$A$1:$O$85,15,0)),0,VLOOKUP($S$123,'TAR FIN'!$A$1:$O$85,15,0))</f>
        <v>0</v>
      </c>
      <c r="W123" s="6">
        <f>IF(ISERROR(VLOOKUP($T$123,'TAR FIN'!$A$1:$O$85,15,0)),0,VLOOKUP($T$123,'TAR FIN'!$A$1:$O$85,15,0))</f>
        <v>1922.56</v>
      </c>
      <c r="X123" s="6">
        <f>IF(ISERROR(VLOOKUP($U$123,'TAR FIN'!$A$1:$O$85,15,0)),0,VLOOKUP($U$123,'TAR FIN'!$A$1:$O$85,15,0))</f>
        <v>141.32</v>
      </c>
      <c r="Y123" s="6"/>
      <c r="Z123" s="6">
        <f ca="1">('TUSD BE'!$AM$11+'TUSD BF'!$AM$11+'TUSD CVA'!$AM$11)*1</f>
        <v>1931.7033804673958</v>
      </c>
      <c r="AA123" s="6">
        <f>('TE BE'!$AB$5+'TE BF'!$AB$5+'TE CVA'!$AB$5)*1</f>
        <v>135.80626150990429</v>
      </c>
      <c r="AB123" s="6">
        <f>$K$123*$V$123</f>
        <v>0</v>
      </c>
      <c r="AC123" s="6">
        <f>$M$123*$W$123</f>
        <v>123461.03551999999</v>
      </c>
      <c r="AD123" s="6">
        <f>$O$123*$X$123</f>
        <v>9075.1464399999986</v>
      </c>
      <c r="AE123" s="6">
        <f>$K$123*$Y$123</f>
        <v>0</v>
      </c>
      <c r="AF123" s="6">
        <f ca="1">$M$123*$Z$123</f>
        <v>124048.19598347475</v>
      </c>
      <c r="AG123" s="6">
        <f>$O$123*$AA$123</f>
        <v>8721.0706953815243</v>
      </c>
    </row>
    <row r="124" spans="1:33" ht="11.25" customHeight="1" x14ac:dyDescent="0.25">
      <c r="A124" s="4" t="s">
        <v>28</v>
      </c>
      <c r="B124" s="4" t="s">
        <v>35</v>
      </c>
      <c r="C124" s="4" t="s">
        <v>36</v>
      </c>
      <c r="D124" s="4" t="s">
        <v>34</v>
      </c>
      <c r="E124" s="4" t="s">
        <v>25</v>
      </c>
      <c r="F124" s="4" t="s">
        <v>25</v>
      </c>
      <c r="G124" s="4" t="s">
        <v>25</v>
      </c>
      <c r="H124" s="4" t="s">
        <v>37</v>
      </c>
      <c r="I124" s="5">
        <v>44531</v>
      </c>
      <c r="J124" s="6">
        <v>0</v>
      </c>
      <c r="K124" s="6">
        <v>0</v>
      </c>
      <c r="L124" s="6">
        <v>0.17199999999999999</v>
      </c>
      <c r="M124" s="6">
        <v>0.17199999999999999</v>
      </c>
      <c r="N124" s="6">
        <v>0.17199999999999999</v>
      </c>
      <c r="O124" s="6">
        <v>0.17199999999999999</v>
      </c>
      <c r="P124" s="6">
        <v>0</v>
      </c>
      <c r="Q124" s="4" t="s">
        <v>26</v>
      </c>
      <c r="R124" s="4">
        <v>0</v>
      </c>
      <c r="S124" s="6">
        <v>0</v>
      </c>
      <c r="T124" s="6">
        <v>25</v>
      </c>
      <c r="U124" s="6">
        <v>44</v>
      </c>
      <c r="V124" s="6">
        <f>IF(ISERROR(VLOOKUP($S$124,'TAR FIN'!$A$1:$O$85,15,0)),0,VLOOKUP($S$124,'TAR FIN'!$A$1:$O$85,15,0))</f>
        <v>0</v>
      </c>
      <c r="W124" s="6">
        <f>IF(ISERROR(VLOOKUP($T$124,'TAR FIN'!$A$1:$O$85,15,0)),0,VLOOKUP($T$124,'TAR FIN'!$A$1:$O$85,15,0))</f>
        <v>1922.56</v>
      </c>
      <c r="X124" s="6">
        <f>IF(ISERROR(VLOOKUP($U$124,'TAR FIN'!$A$1:$O$85,15,0)),0,VLOOKUP($U$124,'TAR FIN'!$A$1:$O$85,15,0))</f>
        <v>141.32</v>
      </c>
      <c r="Y124" s="6"/>
      <c r="Z124" s="6">
        <f ca="1">('TUSD BE'!$AM$11+'TUSD BF'!$AM$11+'TUSD CVA'!$AM$11)*1</f>
        <v>1931.7033804673958</v>
      </c>
      <c r="AA124" s="6">
        <f>('TE BE'!$AB$5+'TE BF'!$AB$5+'TE CVA'!$AB$5)*1</f>
        <v>135.80626150990429</v>
      </c>
      <c r="AB124" s="6">
        <f>$K$124*$V$124</f>
        <v>0</v>
      </c>
      <c r="AC124" s="6">
        <f>$M$124*$W$124</f>
        <v>330.68031999999994</v>
      </c>
      <c r="AD124" s="6">
        <f>$O$124*$X$124</f>
        <v>24.307039999999997</v>
      </c>
      <c r="AE124" s="6">
        <f>$K$124*$Y$124</f>
        <v>0</v>
      </c>
      <c r="AF124" s="6">
        <f ca="1">$M$124*$Z$124</f>
        <v>332.25298144039203</v>
      </c>
      <c r="AG124" s="6">
        <f>$O$124*$AA$124</f>
        <v>23.358676979703535</v>
      </c>
    </row>
    <row r="125" spans="1:33" ht="11.25" customHeight="1" x14ac:dyDescent="0.25">
      <c r="A125" s="4" t="s">
        <v>21</v>
      </c>
      <c r="B125" s="4" t="s">
        <v>35</v>
      </c>
      <c r="C125" s="4" t="s">
        <v>36</v>
      </c>
      <c r="D125" s="4" t="s">
        <v>34</v>
      </c>
      <c r="E125" s="4" t="s">
        <v>25</v>
      </c>
      <c r="F125" s="4" t="s">
        <v>25</v>
      </c>
      <c r="G125" s="4" t="s">
        <v>25</v>
      </c>
      <c r="H125" s="4" t="s">
        <v>37</v>
      </c>
      <c r="I125" s="5">
        <v>44562</v>
      </c>
      <c r="J125" s="6">
        <v>0</v>
      </c>
      <c r="K125" s="6">
        <v>0</v>
      </c>
      <c r="L125" s="6">
        <v>68.721000000000004</v>
      </c>
      <c r="M125" s="6">
        <v>68.721000000000004</v>
      </c>
      <c r="N125" s="6">
        <v>68.721000000000004</v>
      </c>
      <c r="O125" s="6">
        <v>68.721000000000004</v>
      </c>
      <c r="P125" s="6">
        <v>0</v>
      </c>
      <c r="Q125" s="4" t="s">
        <v>26</v>
      </c>
      <c r="R125" s="4">
        <v>0</v>
      </c>
      <c r="S125" s="6">
        <v>0</v>
      </c>
      <c r="T125" s="6">
        <v>25</v>
      </c>
      <c r="U125" s="6">
        <v>44</v>
      </c>
      <c r="V125" s="6">
        <f>IF(ISERROR(VLOOKUP($S$125,'TAR FIN'!$A$1:$O$85,15,0)),0,VLOOKUP($S$125,'TAR FIN'!$A$1:$O$85,15,0))</f>
        <v>0</v>
      </c>
      <c r="W125" s="6">
        <f>IF(ISERROR(VLOOKUP($T$125,'TAR FIN'!$A$1:$O$85,15,0)),0,VLOOKUP($T$125,'TAR FIN'!$A$1:$O$85,15,0))</f>
        <v>1922.56</v>
      </c>
      <c r="X125" s="6">
        <f>IF(ISERROR(VLOOKUP($U$125,'TAR FIN'!$A$1:$O$85,15,0)),0,VLOOKUP($U$125,'TAR FIN'!$A$1:$O$85,15,0))</f>
        <v>141.32</v>
      </c>
      <c r="Y125" s="6"/>
      <c r="Z125" s="6">
        <f ca="1">('TUSD BE'!$AM$11+'TUSD BF'!$AM$11+'TUSD CVA'!$AM$11)*1</f>
        <v>1931.7033804673958</v>
      </c>
      <c r="AA125" s="6">
        <f>('TE BE'!$AB$5+'TE BF'!$AB$5+'TE CVA'!$AB$5)*1</f>
        <v>135.80626150990429</v>
      </c>
      <c r="AB125" s="6">
        <f>$K$125*$V$125</f>
        <v>0</v>
      </c>
      <c r="AC125" s="6">
        <f>$M$125*$W$125</f>
        <v>132120.24575999999</v>
      </c>
      <c r="AD125" s="6">
        <f>$O$125*$X$125</f>
        <v>9711.6517199999998</v>
      </c>
      <c r="AE125" s="6">
        <f>$K$125*$Y$125</f>
        <v>0</v>
      </c>
      <c r="AF125" s="6">
        <f ca="1">$M$125*$Z$125</f>
        <v>132748.58800909991</v>
      </c>
      <c r="AG125" s="6">
        <f>$O$125*$AA$125</f>
        <v>9332.7420972221335</v>
      </c>
    </row>
    <row r="126" spans="1:33" ht="11.25" customHeight="1" x14ac:dyDescent="0.25">
      <c r="A126" s="4" t="s">
        <v>28</v>
      </c>
      <c r="B126" s="4" t="s">
        <v>35</v>
      </c>
      <c r="C126" s="4" t="s">
        <v>36</v>
      </c>
      <c r="D126" s="4" t="s">
        <v>34</v>
      </c>
      <c r="E126" s="4" t="s">
        <v>25</v>
      </c>
      <c r="F126" s="4" t="s">
        <v>25</v>
      </c>
      <c r="G126" s="4" t="s">
        <v>25</v>
      </c>
      <c r="H126" s="4" t="s">
        <v>37</v>
      </c>
      <c r="I126" s="5">
        <v>44562</v>
      </c>
      <c r="J126" s="6">
        <v>0</v>
      </c>
      <c r="K126" s="6">
        <v>0</v>
      </c>
      <c r="L126" s="6">
        <v>0.183</v>
      </c>
      <c r="M126" s="6">
        <v>0.183</v>
      </c>
      <c r="N126" s="6">
        <v>0.183</v>
      </c>
      <c r="O126" s="6">
        <v>0.183</v>
      </c>
      <c r="P126" s="6">
        <v>0</v>
      </c>
      <c r="Q126" s="4" t="s">
        <v>26</v>
      </c>
      <c r="R126" s="4">
        <v>0</v>
      </c>
      <c r="S126" s="6">
        <v>0</v>
      </c>
      <c r="T126" s="6">
        <v>25</v>
      </c>
      <c r="U126" s="6">
        <v>44</v>
      </c>
      <c r="V126" s="6">
        <f>IF(ISERROR(VLOOKUP($S$126,'TAR FIN'!$A$1:$O$85,15,0)),0,VLOOKUP($S$126,'TAR FIN'!$A$1:$O$85,15,0))</f>
        <v>0</v>
      </c>
      <c r="W126" s="6">
        <f>IF(ISERROR(VLOOKUP($T$126,'TAR FIN'!$A$1:$O$85,15,0)),0,VLOOKUP($T$126,'TAR FIN'!$A$1:$O$85,15,0))</f>
        <v>1922.56</v>
      </c>
      <c r="X126" s="6">
        <f>IF(ISERROR(VLOOKUP($U$126,'TAR FIN'!$A$1:$O$85,15,0)),0,VLOOKUP($U$126,'TAR FIN'!$A$1:$O$85,15,0))</f>
        <v>141.32</v>
      </c>
      <c r="Y126" s="6"/>
      <c r="Z126" s="6">
        <f ca="1">('TUSD BE'!$AM$11+'TUSD BF'!$AM$11+'TUSD CVA'!$AM$11)*1</f>
        <v>1931.7033804673958</v>
      </c>
      <c r="AA126" s="6">
        <f>('TE BE'!$AB$5+'TE BF'!$AB$5+'TE CVA'!$AB$5)*1</f>
        <v>135.80626150990429</v>
      </c>
      <c r="AB126" s="6">
        <f>$K$126*$V$126</f>
        <v>0</v>
      </c>
      <c r="AC126" s="6">
        <f>$M$126*$W$126</f>
        <v>351.82847999999996</v>
      </c>
      <c r="AD126" s="6">
        <f>$O$126*$X$126</f>
        <v>25.861559999999997</v>
      </c>
      <c r="AE126" s="6">
        <f>$K$126*$Y$126</f>
        <v>0</v>
      </c>
      <c r="AF126" s="6">
        <f ca="1">$M$126*$Z$126</f>
        <v>353.50171862553344</v>
      </c>
      <c r="AG126" s="6">
        <f>$O$126*$AA$126</f>
        <v>24.852545856312485</v>
      </c>
    </row>
    <row r="127" spans="1:33" ht="11.25" customHeight="1" x14ac:dyDescent="0.25">
      <c r="A127" s="4" t="s">
        <v>21</v>
      </c>
      <c r="B127" s="4" t="s">
        <v>35</v>
      </c>
      <c r="C127" s="4" t="s">
        <v>36</v>
      </c>
      <c r="D127" s="4" t="s">
        <v>34</v>
      </c>
      <c r="E127" s="4" t="s">
        <v>25</v>
      </c>
      <c r="F127" s="4" t="s">
        <v>25</v>
      </c>
      <c r="G127" s="4" t="s">
        <v>25</v>
      </c>
      <c r="H127" s="4" t="s">
        <v>37</v>
      </c>
      <c r="I127" s="5">
        <v>44593</v>
      </c>
      <c r="J127" s="6">
        <v>0</v>
      </c>
      <c r="K127" s="6">
        <v>0</v>
      </c>
      <c r="L127" s="6">
        <v>51.87</v>
      </c>
      <c r="M127" s="6">
        <v>51.87</v>
      </c>
      <c r="N127" s="6">
        <v>51.87</v>
      </c>
      <c r="O127" s="6">
        <v>51.87</v>
      </c>
      <c r="P127" s="6">
        <v>0</v>
      </c>
      <c r="Q127" s="4" t="s">
        <v>26</v>
      </c>
      <c r="R127" s="4">
        <v>0</v>
      </c>
      <c r="S127" s="6">
        <v>0</v>
      </c>
      <c r="T127" s="6">
        <v>25</v>
      </c>
      <c r="U127" s="6">
        <v>44</v>
      </c>
      <c r="V127" s="6">
        <f>IF(ISERROR(VLOOKUP($S$127,'TAR FIN'!$A$1:$O$85,15,0)),0,VLOOKUP($S$127,'TAR FIN'!$A$1:$O$85,15,0))</f>
        <v>0</v>
      </c>
      <c r="W127" s="6">
        <f>IF(ISERROR(VLOOKUP($T$127,'TAR FIN'!$A$1:$O$85,15,0)),0,VLOOKUP($T$127,'TAR FIN'!$A$1:$O$85,15,0))</f>
        <v>1922.56</v>
      </c>
      <c r="X127" s="6">
        <f>IF(ISERROR(VLOOKUP($U$127,'TAR FIN'!$A$1:$O$85,15,0)),0,VLOOKUP($U$127,'TAR FIN'!$A$1:$O$85,15,0))</f>
        <v>141.32</v>
      </c>
      <c r="Y127" s="6"/>
      <c r="Z127" s="6">
        <f ca="1">('TUSD BE'!$AM$11+'TUSD BF'!$AM$11+'TUSD CVA'!$AM$11)*1</f>
        <v>1931.7033804673958</v>
      </c>
      <c r="AA127" s="6">
        <f>('TE BE'!$AB$5+'TE BF'!$AB$5+'TE CVA'!$AB$5)*1</f>
        <v>135.80626150990429</v>
      </c>
      <c r="AB127" s="6">
        <f>$K$127*$V$127</f>
        <v>0</v>
      </c>
      <c r="AC127" s="6">
        <f>$M$127*$W$127</f>
        <v>99723.187199999986</v>
      </c>
      <c r="AD127" s="6">
        <f>$O$127*$X$127</f>
        <v>7330.268399999999</v>
      </c>
      <c r="AE127" s="6">
        <f>$K$127*$Y$127</f>
        <v>0</v>
      </c>
      <c r="AF127" s="6">
        <f ca="1">$M$127*$Z$127</f>
        <v>100197.45434484382</v>
      </c>
      <c r="AG127" s="6">
        <f>$O$127*$AA$127</f>
        <v>7044.2707845187351</v>
      </c>
    </row>
    <row r="128" spans="1:33" ht="11.25" customHeight="1" x14ac:dyDescent="0.25">
      <c r="A128" s="4" t="s">
        <v>21</v>
      </c>
      <c r="B128" s="4" t="s">
        <v>35</v>
      </c>
      <c r="C128" s="4" t="s">
        <v>36</v>
      </c>
      <c r="D128" s="4" t="s">
        <v>34</v>
      </c>
      <c r="E128" s="4" t="s">
        <v>25</v>
      </c>
      <c r="F128" s="4" t="s">
        <v>25</v>
      </c>
      <c r="G128" s="4" t="s">
        <v>25</v>
      </c>
      <c r="H128" s="4" t="s">
        <v>37</v>
      </c>
      <c r="I128" s="5">
        <v>44621</v>
      </c>
      <c r="J128" s="6">
        <v>0</v>
      </c>
      <c r="K128" s="6">
        <v>0</v>
      </c>
      <c r="L128" s="6">
        <v>60.518000000000001</v>
      </c>
      <c r="M128" s="6">
        <v>60.518000000000001</v>
      </c>
      <c r="N128" s="6">
        <v>60.518000000000001</v>
      </c>
      <c r="O128" s="6">
        <v>60.518000000000001</v>
      </c>
      <c r="P128" s="6">
        <v>0</v>
      </c>
      <c r="Q128" s="4" t="s">
        <v>26</v>
      </c>
      <c r="R128" s="4">
        <v>0</v>
      </c>
      <c r="S128" s="6">
        <v>0</v>
      </c>
      <c r="T128" s="6">
        <v>25</v>
      </c>
      <c r="U128" s="6">
        <v>44</v>
      </c>
      <c r="V128" s="6">
        <f>IF(ISERROR(VLOOKUP($S$128,'TAR FIN'!$A$1:$O$85,15,0)),0,VLOOKUP($S$128,'TAR FIN'!$A$1:$O$85,15,0))</f>
        <v>0</v>
      </c>
      <c r="W128" s="6">
        <f>IF(ISERROR(VLOOKUP($T$128,'TAR FIN'!$A$1:$O$85,15,0)),0,VLOOKUP($T$128,'TAR FIN'!$A$1:$O$85,15,0))</f>
        <v>1922.56</v>
      </c>
      <c r="X128" s="6">
        <f>IF(ISERROR(VLOOKUP($U$128,'TAR FIN'!$A$1:$O$85,15,0)),0,VLOOKUP($U$128,'TAR FIN'!$A$1:$O$85,15,0))</f>
        <v>141.32</v>
      </c>
      <c r="Y128" s="6"/>
      <c r="Z128" s="6">
        <f ca="1">('TUSD BE'!$AM$11+'TUSD BF'!$AM$11+'TUSD CVA'!$AM$11)*1</f>
        <v>1931.7033804673958</v>
      </c>
      <c r="AA128" s="6">
        <f>('TE BE'!$AB$5+'TE BF'!$AB$5+'TE CVA'!$AB$5)*1</f>
        <v>135.80626150990429</v>
      </c>
      <c r="AB128" s="6">
        <f>$K$128*$V$128</f>
        <v>0</v>
      </c>
      <c r="AC128" s="6">
        <f>$M$128*$W$128</f>
        <v>116349.48608</v>
      </c>
      <c r="AD128" s="6">
        <f>$O$128*$X$128</f>
        <v>8552.4037599999992</v>
      </c>
      <c r="AE128" s="6">
        <f>$K$128*$Y$128</f>
        <v>0</v>
      </c>
      <c r="AF128" s="6">
        <f ca="1">$M$128*$Z$128</f>
        <v>116902.82517912587</v>
      </c>
      <c r="AG128" s="6">
        <f>$O$128*$AA$128</f>
        <v>8218.7233340563871</v>
      </c>
    </row>
    <row r="129" spans="1:33" ht="11.25" customHeight="1" x14ac:dyDescent="0.25">
      <c r="A129" s="4" t="s">
        <v>21</v>
      </c>
      <c r="B129" s="4" t="s">
        <v>35</v>
      </c>
      <c r="C129" s="4" t="s">
        <v>36</v>
      </c>
      <c r="D129" s="4" t="s">
        <v>34</v>
      </c>
      <c r="E129" s="4" t="s">
        <v>25</v>
      </c>
      <c r="F129" s="4" t="s">
        <v>25</v>
      </c>
      <c r="G129" s="4" t="s">
        <v>25</v>
      </c>
      <c r="H129" s="4" t="s">
        <v>37</v>
      </c>
      <c r="I129" s="5">
        <v>44652</v>
      </c>
      <c r="J129" s="6">
        <v>0</v>
      </c>
      <c r="K129" s="6">
        <v>0</v>
      </c>
      <c r="L129" s="6">
        <v>55.094000000000001</v>
      </c>
      <c r="M129" s="6">
        <v>55.094000000000001</v>
      </c>
      <c r="N129" s="6">
        <v>55.094000000000001</v>
      </c>
      <c r="O129" s="6">
        <v>55.094000000000001</v>
      </c>
      <c r="P129" s="6">
        <v>0</v>
      </c>
      <c r="Q129" s="4" t="s">
        <v>26</v>
      </c>
      <c r="R129" s="4">
        <v>0</v>
      </c>
      <c r="S129" s="6">
        <v>0</v>
      </c>
      <c r="T129" s="6">
        <v>25</v>
      </c>
      <c r="U129" s="6">
        <v>44</v>
      </c>
      <c r="V129" s="6">
        <f>IF(ISERROR(VLOOKUP($S$129,'TAR FIN'!$A$1:$O$85,15,0)),0,VLOOKUP($S$129,'TAR FIN'!$A$1:$O$85,15,0))</f>
        <v>0</v>
      </c>
      <c r="W129" s="6">
        <f>IF(ISERROR(VLOOKUP($T$129,'TAR FIN'!$A$1:$O$85,15,0)),0,VLOOKUP($T$129,'TAR FIN'!$A$1:$O$85,15,0))</f>
        <v>1922.56</v>
      </c>
      <c r="X129" s="6">
        <f>IF(ISERROR(VLOOKUP($U$129,'TAR FIN'!$A$1:$O$85,15,0)),0,VLOOKUP($U$129,'TAR FIN'!$A$1:$O$85,15,0))</f>
        <v>141.32</v>
      </c>
      <c r="Y129" s="6"/>
      <c r="Z129" s="6">
        <f ca="1">('TUSD BE'!$AM$11+'TUSD BF'!$AM$11+'TUSD CVA'!$AM$11)*1</f>
        <v>1931.7033804673958</v>
      </c>
      <c r="AA129" s="6">
        <f>('TE BE'!$AB$5+'TE BF'!$AB$5+'TE CVA'!$AB$5)*1</f>
        <v>135.80626150990429</v>
      </c>
      <c r="AB129" s="6">
        <f>$K$129*$V$129</f>
        <v>0</v>
      </c>
      <c r="AC129" s="6">
        <f>$M$129*$W$129</f>
        <v>105921.52064</v>
      </c>
      <c r="AD129" s="6">
        <f>$O$129*$X$129</f>
        <v>7785.8840799999998</v>
      </c>
      <c r="AE129" s="6">
        <f>$K$129*$Y$129</f>
        <v>0</v>
      </c>
      <c r="AF129" s="6">
        <f ca="1">$M$129*$Z$129</f>
        <v>106425.26604347071</v>
      </c>
      <c r="AG129" s="6">
        <f>$O$129*$AA$129</f>
        <v>7482.1101716266667</v>
      </c>
    </row>
    <row r="130" spans="1:33" ht="11.25" customHeight="1" x14ac:dyDescent="0.25">
      <c r="A130" s="4" t="s">
        <v>28</v>
      </c>
      <c r="B130" s="4" t="s">
        <v>35</v>
      </c>
      <c r="C130" s="4" t="s">
        <v>36</v>
      </c>
      <c r="D130" s="4" t="s">
        <v>34</v>
      </c>
      <c r="E130" s="4" t="s">
        <v>25</v>
      </c>
      <c r="F130" s="4" t="s">
        <v>25</v>
      </c>
      <c r="G130" s="4" t="s">
        <v>25</v>
      </c>
      <c r="H130" s="4" t="s">
        <v>37</v>
      </c>
      <c r="I130" s="5">
        <v>44652</v>
      </c>
      <c r="J130" s="6">
        <v>0</v>
      </c>
      <c r="K130" s="6">
        <v>0</v>
      </c>
      <c r="L130" s="6">
        <v>0.50800000000000001</v>
      </c>
      <c r="M130" s="6">
        <v>0.50800000000000001</v>
      </c>
      <c r="N130" s="6">
        <v>0.50800000000000001</v>
      </c>
      <c r="O130" s="6">
        <v>0.50800000000000001</v>
      </c>
      <c r="P130" s="6">
        <v>0</v>
      </c>
      <c r="Q130" s="4" t="s">
        <v>26</v>
      </c>
      <c r="R130" s="4">
        <v>0</v>
      </c>
      <c r="S130" s="6">
        <v>0</v>
      </c>
      <c r="T130" s="6">
        <v>25</v>
      </c>
      <c r="U130" s="6">
        <v>44</v>
      </c>
      <c r="V130" s="6">
        <f>IF(ISERROR(VLOOKUP($S$130,'TAR FIN'!$A$1:$O$85,15,0)),0,VLOOKUP($S$130,'TAR FIN'!$A$1:$O$85,15,0))</f>
        <v>0</v>
      </c>
      <c r="W130" s="6">
        <f>IF(ISERROR(VLOOKUP($T$130,'TAR FIN'!$A$1:$O$85,15,0)),0,VLOOKUP($T$130,'TAR FIN'!$A$1:$O$85,15,0))</f>
        <v>1922.56</v>
      </c>
      <c r="X130" s="6">
        <f>IF(ISERROR(VLOOKUP($U$130,'TAR FIN'!$A$1:$O$85,15,0)),0,VLOOKUP($U$130,'TAR FIN'!$A$1:$O$85,15,0))</f>
        <v>141.32</v>
      </c>
      <c r="Y130" s="6"/>
      <c r="Z130" s="6">
        <f ca="1">('TUSD BE'!$AM$11+'TUSD BF'!$AM$11+'TUSD CVA'!$AM$11)*1</f>
        <v>1931.7033804673958</v>
      </c>
      <c r="AA130" s="6">
        <f>('TE BE'!$AB$5+'TE BF'!$AB$5+'TE CVA'!$AB$5)*1</f>
        <v>135.80626150990429</v>
      </c>
      <c r="AB130" s="6">
        <f>$K$130*$V$130</f>
        <v>0</v>
      </c>
      <c r="AC130" s="6">
        <f>$M$130*$W$130</f>
        <v>976.66048000000001</v>
      </c>
      <c r="AD130" s="6">
        <f>$O$130*$X$130</f>
        <v>71.790559999999999</v>
      </c>
      <c r="AE130" s="6">
        <f>$K$130*$Y$130</f>
        <v>0</v>
      </c>
      <c r="AF130" s="6">
        <f ca="1">$M$130*$Z$130</f>
        <v>981.3053172774371</v>
      </c>
      <c r="AG130" s="6">
        <f>$O$130*$AA$130</f>
        <v>68.989580847031377</v>
      </c>
    </row>
    <row r="131" spans="1:33" ht="11.25" customHeight="1" x14ac:dyDescent="0.25">
      <c r="A131" s="4" t="s">
        <v>21</v>
      </c>
      <c r="B131" s="4" t="s">
        <v>35</v>
      </c>
      <c r="C131" s="4" t="s">
        <v>36</v>
      </c>
      <c r="D131" s="4" t="s">
        <v>34</v>
      </c>
      <c r="E131" s="4" t="s">
        <v>25</v>
      </c>
      <c r="F131" s="4" t="s">
        <v>25</v>
      </c>
      <c r="G131" s="4" t="s">
        <v>25</v>
      </c>
      <c r="H131" s="4" t="s">
        <v>37</v>
      </c>
      <c r="I131" s="5">
        <v>44682</v>
      </c>
      <c r="J131" s="6">
        <v>0</v>
      </c>
      <c r="K131" s="6">
        <v>0</v>
      </c>
      <c r="L131" s="6">
        <v>90.688999999999993</v>
      </c>
      <c r="M131" s="6">
        <v>90.688999999999993</v>
      </c>
      <c r="N131" s="6">
        <v>90.688999999999993</v>
      </c>
      <c r="O131" s="6">
        <v>90.688999999999993</v>
      </c>
      <c r="P131" s="6">
        <v>0</v>
      </c>
      <c r="Q131" s="4" t="s">
        <v>26</v>
      </c>
      <c r="R131" s="4">
        <v>0</v>
      </c>
      <c r="S131" s="6">
        <v>0</v>
      </c>
      <c r="T131" s="6">
        <v>25</v>
      </c>
      <c r="U131" s="6">
        <v>44</v>
      </c>
      <c r="V131" s="6">
        <f>IF(ISERROR(VLOOKUP($S$131,'TAR FIN'!$A$1:$O$85,15,0)),0,VLOOKUP($S$131,'TAR FIN'!$A$1:$O$85,15,0))</f>
        <v>0</v>
      </c>
      <c r="W131" s="6">
        <f>IF(ISERROR(VLOOKUP($T$131,'TAR FIN'!$A$1:$O$85,15,0)),0,VLOOKUP($T$131,'TAR FIN'!$A$1:$O$85,15,0))</f>
        <v>1922.56</v>
      </c>
      <c r="X131" s="6">
        <f>IF(ISERROR(VLOOKUP($U$131,'TAR FIN'!$A$1:$O$85,15,0)),0,VLOOKUP($U$131,'TAR FIN'!$A$1:$O$85,15,0))</f>
        <v>141.32</v>
      </c>
      <c r="Y131" s="6"/>
      <c r="Z131" s="6">
        <f ca="1">('TUSD BE'!$AM$11+'TUSD BF'!$AM$11+'TUSD CVA'!$AM$11)*1</f>
        <v>1931.7033804673958</v>
      </c>
      <c r="AA131" s="6">
        <f>('TE BE'!$AB$5+'TE BF'!$AB$5+'TE CVA'!$AB$5)*1</f>
        <v>135.80626150990429</v>
      </c>
      <c r="AB131" s="6">
        <f>$K$131*$V$131</f>
        <v>0</v>
      </c>
      <c r="AC131" s="6">
        <f>$M$131*$W$131</f>
        <v>174355.04383999997</v>
      </c>
      <c r="AD131" s="6">
        <f>$O$131*$X$131</f>
        <v>12816.169479999999</v>
      </c>
      <c r="AE131" s="6">
        <f>$K$131*$Y$131</f>
        <v>0</v>
      </c>
      <c r="AF131" s="6">
        <f ca="1">$M$131*$Z$131</f>
        <v>175184.24787120766</v>
      </c>
      <c r="AG131" s="6">
        <f>$O$131*$AA$131</f>
        <v>12316.134050071709</v>
      </c>
    </row>
    <row r="132" spans="1:33" ht="11.25" customHeight="1" x14ac:dyDescent="0.25">
      <c r="A132" s="4" t="s">
        <v>28</v>
      </c>
      <c r="B132" s="4" t="s">
        <v>35</v>
      </c>
      <c r="C132" s="4" t="s">
        <v>36</v>
      </c>
      <c r="D132" s="4" t="s">
        <v>34</v>
      </c>
      <c r="E132" s="4" t="s">
        <v>25</v>
      </c>
      <c r="F132" s="4" t="s">
        <v>25</v>
      </c>
      <c r="G132" s="4" t="s">
        <v>25</v>
      </c>
      <c r="H132" s="4" t="s">
        <v>37</v>
      </c>
      <c r="I132" s="5">
        <v>44682</v>
      </c>
      <c r="J132" s="6">
        <v>0</v>
      </c>
      <c r="K132" s="6">
        <v>0</v>
      </c>
      <c r="L132" s="6">
        <v>0.38800000000000001</v>
      </c>
      <c r="M132" s="6">
        <v>0.38800000000000001</v>
      </c>
      <c r="N132" s="6">
        <v>0.38800000000000001</v>
      </c>
      <c r="O132" s="6">
        <v>0.38800000000000001</v>
      </c>
      <c r="P132" s="6">
        <v>0</v>
      </c>
      <c r="Q132" s="4" t="s">
        <v>26</v>
      </c>
      <c r="R132" s="4">
        <v>0</v>
      </c>
      <c r="S132" s="6">
        <v>0</v>
      </c>
      <c r="T132" s="6">
        <v>25</v>
      </c>
      <c r="U132" s="6">
        <v>44</v>
      </c>
      <c r="V132" s="6">
        <f>IF(ISERROR(VLOOKUP($S$132,'TAR FIN'!$A$1:$O$85,15,0)),0,VLOOKUP($S$132,'TAR FIN'!$A$1:$O$85,15,0))</f>
        <v>0</v>
      </c>
      <c r="W132" s="6">
        <f>IF(ISERROR(VLOOKUP($T$132,'TAR FIN'!$A$1:$O$85,15,0)),0,VLOOKUP($T$132,'TAR FIN'!$A$1:$O$85,15,0))</f>
        <v>1922.56</v>
      </c>
      <c r="X132" s="6">
        <f>IF(ISERROR(VLOOKUP($U$132,'TAR FIN'!$A$1:$O$85,15,0)),0,VLOOKUP($U$132,'TAR FIN'!$A$1:$O$85,15,0))</f>
        <v>141.32</v>
      </c>
      <c r="Y132" s="6"/>
      <c r="Z132" s="6">
        <f ca="1">('TUSD BE'!$AM$11+'TUSD BF'!$AM$11+'TUSD CVA'!$AM$11)*1</f>
        <v>1931.7033804673958</v>
      </c>
      <c r="AA132" s="6">
        <f>('TE BE'!$AB$5+'TE BF'!$AB$5+'TE CVA'!$AB$5)*1</f>
        <v>135.80626150990429</v>
      </c>
      <c r="AB132" s="6">
        <f>$K$132*$V$132</f>
        <v>0</v>
      </c>
      <c r="AC132" s="6">
        <f>$M$132*$W$132</f>
        <v>745.95327999999995</v>
      </c>
      <c r="AD132" s="6">
        <f>$O$132*$X$132</f>
        <v>54.832160000000002</v>
      </c>
      <c r="AE132" s="6">
        <f>$K$132*$Y$132</f>
        <v>0</v>
      </c>
      <c r="AF132" s="6">
        <f ca="1">$M$132*$Z$132</f>
        <v>749.50091162134959</v>
      </c>
      <c r="AG132" s="6">
        <f>$O$132*$AA$132</f>
        <v>52.692829465842863</v>
      </c>
    </row>
    <row r="133" spans="1:33" ht="11.25" customHeight="1" x14ac:dyDescent="0.25">
      <c r="A133" s="4" t="s">
        <v>21</v>
      </c>
      <c r="B133" s="4" t="s">
        <v>35</v>
      </c>
      <c r="C133" s="4" t="s">
        <v>36</v>
      </c>
      <c r="D133" s="4" t="s">
        <v>34</v>
      </c>
      <c r="E133" s="4" t="s">
        <v>25</v>
      </c>
      <c r="F133" s="4" t="s">
        <v>25</v>
      </c>
      <c r="G133" s="4" t="s">
        <v>25</v>
      </c>
      <c r="H133" s="4" t="s">
        <v>37</v>
      </c>
      <c r="I133" s="5">
        <v>44713</v>
      </c>
      <c r="J133" s="6">
        <v>0</v>
      </c>
      <c r="K133" s="6">
        <v>0</v>
      </c>
      <c r="L133" s="6">
        <v>98.597999999999999</v>
      </c>
      <c r="M133" s="6">
        <v>98.597999999999999</v>
      </c>
      <c r="N133" s="6">
        <v>98.597999999999999</v>
      </c>
      <c r="O133" s="6">
        <v>98.597999999999999</v>
      </c>
      <c r="P133" s="6">
        <v>0</v>
      </c>
      <c r="Q133" s="4" t="s">
        <v>26</v>
      </c>
      <c r="R133" s="4">
        <v>0</v>
      </c>
      <c r="S133" s="6">
        <v>0</v>
      </c>
      <c r="T133" s="6">
        <v>25</v>
      </c>
      <c r="U133" s="6">
        <v>44</v>
      </c>
      <c r="V133" s="6">
        <f>IF(ISERROR(VLOOKUP($S$133,'TAR FIN'!$A$1:$O$85,15,0)),0,VLOOKUP($S$133,'TAR FIN'!$A$1:$O$85,15,0))</f>
        <v>0</v>
      </c>
      <c r="W133" s="6">
        <f>IF(ISERROR(VLOOKUP($T$133,'TAR FIN'!$A$1:$O$85,15,0)),0,VLOOKUP($T$133,'TAR FIN'!$A$1:$O$85,15,0))</f>
        <v>1922.56</v>
      </c>
      <c r="X133" s="6">
        <f>IF(ISERROR(VLOOKUP($U$133,'TAR FIN'!$A$1:$O$85,15,0)),0,VLOOKUP($U$133,'TAR FIN'!$A$1:$O$85,15,0))</f>
        <v>141.32</v>
      </c>
      <c r="Y133" s="6"/>
      <c r="Z133" s="6">
        <f ca="1">('TUSD BE'!$AM$11+'TUSD BF'!$AM$11+'TUSD CVA'!$AM$11)*1</f>
        <v>1931.7033804673958</v>
      </c>
      <c r="AA133" s="6">
        <f>('TE BE'!$AB$5+'TE BF'!$AB$5+'TE CVA'!$AB$5)*1</f>
        <v>135.80626150990429</v>
      </c>
      <c r="AB133" s="6">
        <f>$K$133*$V$133</f>
        <v>0</v>
      </c>
      <c r="AC133" s="6">
        <f>$M$133*$W$133</f>
        <v>189560.57087999998</v>
      </c>
      <c r="AD133" s="6">
        <f>$O$133*$X$133</f>
        <v>13933.869359999999</v>
      </c>
      <c r="AE133" s="6">
        <f>$K$133*$Y$133</f>
        <v>0</v>
      </c>
      <c r="AF133" s="6">
        <f ca="1">$M$133*$Z$133</f>
        <v>190462.08990732429</v>
      </c>
      <c r="AG133" s="6">
        <f>$O$133*$AA$133</f>
        <v>13390.225772353542</v>
      </c>
    </row>
    <row r="134" spans="1:33" ht="11.25" customHeight="1" x14ac:dyDescent="0.25">
      <c r="A134" s="4" t="s">
        <v>28</v>
      </c>
      <c r="B134" s="4" t="s">
        <v>35</v>
      </c>
      <c r="C134" s="4" t="s">
        <v>36</v>
      </c>
      <c r="D134" s="4" t="s">
        <v>34</v>
      </c>
      <c r="E134" s="4" t="s">
        <v>25</v>
      </c>
      <c r="F134" s="4" t="s">
        <v>25</v>
      </c>
      <c r="G134" s="4" t="s">
        <v>25</v>
      </c>
      <c r="H134" s="4" t="s">
        <v>37</v>
      </c>
      <c r="I134" s="5">
        <v>44713</v>
      </c>
      <c r="J134" s="6">
        <v>0</v>
      </c>
      <c r="K134" s="6">
        <v>0</v>
      </c>
      <c r="L134" s="6">
        <v>0.34300000000000003</v>
      </c>
      <c r="M134" s="6">
        <v>0.34300000000000003</v>
      </c>
      <c r="N134" s="6">
        <v>0.34300000000000003</v>
      </c>
      <c r="O134" s="6">
        <v>0.34300000000000003</v>
      </c>
      <c r="P134" s="6">
        <v>0</v>
      </c>
      <c r="Q134" s="4" t="s">
        <v>26</v>
      </c>
      <c r="R134" s="4">
        <v>0</v>
      </c>
      <c r="S134" s="6">
        <v>0</v>
      </c>
      <c r="T134" s="6">
        <v>25</v>
      </c>
      <c r="U134" s="6">
        <v>44</v>
      </c>
      <c r="V134" s="6">
        <f>IF(ISERROR(VLOOKUP($S$134,'TAR FIN'!$A$1:$O$85,15,0)),0,VLOOKUP($S$134,'TAR FIN'!$A$1:$O$85,15,0))</f>
        <v>0</v>
      </c>
      <c r="W134" s="6">
        <f>IF(ISERROR(VLOOKUP($T$134,'TAR FIN'!$A$1:$O$85,15,0)),0,VLOOKUP($T$134,'TAR FIN'!$A$1:$O$85,15,0))</f>
        <v>1922.56</v>
      </c>
      <c r="X134" s="6">
        <f>IF(ISERROR(VLOOKUP($U$134,'TAR FIN'!$A$1:$O$85,15,0)),0,VLOOKUP($U$134,'TAR FIN'!$A$1:$O$85,15,0))</f>
        <v>141.32</v>
      </c>
      <c r="Y134" s="6"/>
      <c r="Z134" s="6">
        <f ca="1">('TUSD BE'!$AM$11+'TUSD BF'!$AM$11+'TUSD CVA'!$AM$11)*1</f>
        <v>1931.7033804673958</v>
      </c>
      <c r="AA134" s="6">
        <f>('TE BE'!$AB$5+'TE BF'!$AB$5+'TE CVA'!$AB$5)*1</f>
        <v>135.80626150990429</v>
      </c>
      <c r="AB134" s="6">
        <f>$K$134*$V$134</f>
        <v>0</v>
      </c>
      <c r="AC134" s="6">
        <f>$M$134*$W$134</f>
        <v>659.43808000000001</v>
      </c>
      <c r="AD134" s="6">
        <f>$O$134*$X$134</f>
        <v>48.472760000000001</v>
      </c>
      <c r="AE134" s="6">
        <f>$K$134*$Y$134</f>
        <v>0</v>
      </c>
      <c r="AF134" s="6">
        <f ca="1">$M$134*$Z$134</f>
        <v>662.57425950031677</v>
      </c>
      <c r="AG134" s="6">
        <f>$O$134*$AA$134</f>
        <v>46.581547697897172</v>
      </c>
    </row>
    <row r="135" spans="1:33" ht="11.25" customHeight="1" x14ac:dyDescent="0.25">
      <c r="A135" s="4" t="s">
        <v>21</v>
      </c>
      <c r="B135" s="4" t="s">
        <v>35</v>
      </c>
      <c r="C135" s="4" t="s">
        <v>36</v>
      </c>
      <c r="D135" s="4" t="s">
        <v>34</v>
      </c>
      <c r="E135" s="4" t="s">
        <v>25</v>
      </c>
      <c r="F135" s="4" t="s">
        <v>25</v>
      </c>
      <c r="G135" s="4" t="s">
        <v>25</v>
      </c>
      <c r="H135" s="4" t="s">
        <v>37</v>
      </c>
      <c r="I135" s="5">
        <v>44743</v>
      </c>
      <c r="J135" s="6">
        <v>0</v>
      </c>
      <c r="K135" s="6">
        <v>0</v>
      </c>
      <c r="L135" s="6">
        <v>121.75</v>
      </c>
      <c r="M135" s="6">
        <v>121.75</v>
      </c>
      <c r="N135" s="6">
        <v>121.75</v>
      </c>
      <c r="O135" s="6">
        <v>121.75</v>
      </c>
      <c r="P135" s="6">
        <v>0</v>
      </c>
      <c r="Q135" s="4" t="s">
        <v>26</v>
      </c>
      <c r="R135" s="4">
        <v>0</v>
      </c>
      <c r="S135" s="6">
        <v>0</v>
      </c>
      <c r="T135" s="6">
        <v>25</v>
      </c>
      <c r="U135" s="6">
        <v>44</v>
      </c>
      <c r="V135" s="6">
        <f>IF(ISERROR(VLOOKUP($S$135,'TAR FIN'!$A$1:$O$85,15,0)),0,VLOOKUP($S$135,'TAR FIN'!$A$1:$O$85,15,0))</f>
        <v>0</v>
      </c>
      <c r="W135" s="6">
        <f>IF(ISERROR(VLOOKUP($T$135,'TAR FIN'!$A$1:$O$85,15,0)),0,VLOOKUP($T$135,'TAR FIN'!$A$1:$O$85,15,0))</f>
        <v>1922.56</v>
      </c>
      <c r="X135" s="6">
        <f>IF(ISERROR(VLOOKUP($U$135,'TAR FIN'!$A$1:$O$85,15,0)),0,VLOOKUP($U$135,'TAR FIN'!$A$1:$O$85,15,0))</f>
        <v>141.32</v>
      </c>
      <c r="Y135" s="6"/>
      <c r="Z135" s="6">
        <f ca="1">('TUSD BE'!$AM$11+'TUSD BF'!$AM$11+'TUSD CVA'!$AM$11)*1</f>
        <v>1931.7033804673958</v>
      </c>
      <c r="AA135" s="6">
        <f>('TE BE'!$AB$5+'TE BF'!$AB$5+'TE CVA'!$AB$5)*1</f>
        <v>135.80626150990429</v>
      </c>
      <c r="AB135" s="6">
        <f>$K$135*$V$135</f>
        <v>0</v>
      </c>
      <c r="AC135" s="6">
        <f>$M$135*$W$135</f>
        <v>234071.67999999999</v>
      </c>
      <c r="AD135" s="6">
        <f>$O$135*$X$135</f>
        <v>17205.71</v>
      </c>
      <c r="AE135" s="6">
        <f>$K$135*$Y$135</f>
        <v>0</v>
      </c>
      <c r="AF135" s="6">
        <f ca="1">$M$135*$Z$135</f>
        <v>235184.88657190543</v>
      </c>
      <c r="AG135" s="6">
        <f>$O$135*$AA$135</f>
        <v>16534.412338830847</v>
      </c>
    </row>
    <row r="136" spans="1:33" ht="11.25" customHeight="1" x14ac:dyDescent="0.25">
      <c r="A136" s="4" t="s">
        <v>21</v>
      </c>
      <c r="B136" s="4" t="s">
        <v>35</v>
      </c>
      <c r="C136" s="4" t="s">
        <v>36</v>
      </c>
      <c r="D136" s="4" t="s">
        <v>34</v>
      </c>
      <c r="E136" s="4" t="s">
        <v>25</v>
      </c>
      <c r="F136" s="4" t="s">
        <v>25</v>
      </c>
      <c r="G136" s="4" t="s">
        <v>25</v>
      </c>
      <c r="H136" s="4" t="s">
        <v>37</v>
      </c>
      <c r="I136" s="5">
        <v>44774</v>
      </c>
      <c r="J136" s="6">
        <v>0</v>
      </c>
      <c r="K136" s="6">
        <v>0</v>
      </c>
      <c r="L136" s="6">
        <v>129.63300000000001</v>
      </c>
      <c r="M136" s="6">
        <v>129.63300000000001</v>
      </c>
      <c r="N136" s="6">
        <v>129.63300000000001</v>
      </c>
      <c r="O136" s="6">
        <v>129.63300000000001</v>
      </c>
      <c r="P136" s="6">
        <v>0</v>
      </c>
      <c r="Q136" s="4" t="s">
        <v>26</v>
      </c>
      <c r="R136" s="4">
        <v>0</v>
      </c>
      <c r="S136" s="6">
        <v>0</v>
      </c>
      <c r="T136" s="6">
        <v>25</v>
      </c>
      <c r="U136" s="6">
        <v>44</v>
      </c>
      <c r="V136" s="6">
        <f>IF(ISERROR(VLOOKUP($S$136,'TAR FIN'!$A$1:$O$85,15,0)),0,VLOOKUP($S$136,'TAR FIN'!$A$1:$O$85,15,0))</f>
        <v>0</v>
      </c>
      <c r="W136" s="6">
        <f>IF(ISERROR(VLOOKUP($T$136,'TAR FIN'!$A$1:$O$85,15,0)),0,VLOOKUP($T$136,'TAR FIN'!$A$1:$O$85,15,0))</f>
        <v>1922.56</v>
      </c>
      <c r="X136" s="6">
        <f>IF(ISERROR(VLOOKUP($U$136,'TAR FIN'!$A$1:$O$85,15,0)),0,VLOOKUP($U$136,'TAR FIN'!$A$1:$O$85,15,0))</f>
        <v>141.32</v>
      </c>
      <c r="Y136" s="6"/>
      <c r="Z136" s="6">
        <f ca="1">('TUSD BE'!$AM$11+'TUSD BF'!$AM$11+'TUSD CVA'!$AM$11)*1</f>
        <v>1931.7033804673958</v>
      </c>
      <c r="AA136" s="6">
        <f>('TE BE'!$AB$5+'TE BF'!$AB$5+'TE CVA'!$AB$5)*1</f>
        <v>135.80626150990429</v>
      </c>
      <c r="AB136" s="6">
        <f>$K$136*$V$136</f>
        <v>0</v>
      </c>
      <c r="AC136" s="6">
        <f>$M$136*$W$136</f>
        <v>249227.22048000002</v>
      </c>
      <c r="AD136" s="6">
        <f>$O$136*$X$136</f>
        <v>18319.735560000001</v>
      </c>
      <c r="AE136" s="6">
        <f>$K$136*$Y$136</f>
        <v>0</v>
      </c>
      <c r="AF136" s="6">
        <f ca="1">$M$136*$Z$136</f>
        <v>250412.50432012996</v>
      </c>
      <c r="AG136" s="6">
        <f>$O$136*$AA$136</f>
        <v>17604.973098313425</v>
      </c>
    </row>
    <row r="137" spans="1:33" ht="11.25" customHeight="1" x14ac:dyDescent="0.25">
      <c r="A137" s="4" t="s">
        <v>28</v>
      </c>
      <c r="B137" s="4" t="s">
        <v>35</v>
      </c>
      <c r="C137" s="4" t="s">
        <v>36</v>
      </c>
      <c r="D137" s="4" t="s">
        <v>34</v>
      </c>
      <c r="E137" s="4" t="s">
        <v>25</v>
      </c>
      <c r="F137" s="4" t="s">
        <v>25</v>
      </c>
      <c r="G137" s="4" t="s">
        <v>25</v>
      </c>
      <c r="H137" s="4" t="s">
        <v>37</v>
      </c>
      <c r="I137" s="5">
        <v>44774</v>
      </c>
      <c r="J137" s="6">
        <v>0</v>
      </c>
      <c r="K137" s="6">
        <v>0</v>
      </c>
      <c r="L137" s="6">
        <v>0.998</v>
      </c>
      <c r="M137" s="6">
        <v>0.998</v>
      </c>
      <c r="N137" s="6">
        <v>0.998</v>
      </c>
      <c r="O137" s="6">
        <v>0.998</v>
      </c>
      <c r="P137" s="6">
        <v>0</v>
      </c>
      <c r="Q137" s="4" t="s">
        <v>26</v>
      </c>
      <c r="R137" s="4">
        <v>0</v>
      </c>
      <c r="S137" s="6">
        <v>0</v>
      </c>
      <c r="T137" s="6">
        <v>25</v>
      </c>
      <c r="U137" s="6">
        <v>44</v>
      </c>
      <c r="V137" s="6">
        <f>IF(ISERROR(VLOOKUP($S$137,'TAR FIN'!$A$1:$O$85,15,0)),0,VLOOKUP($S$137,'TAR FIN'!$A$1:$O$85,15,0))</f>
        <v>0</v>
      </c>
      <c r="W137" s="6">
        <f>IF(ISERROR(VLOOKUP($T$137,'TAR FIN'!$A$1:$O$85,15,0)),0,VLOOKUP($T$137,'TAR FIN'!$A$1:$O$85,15,0))</f>
        <v>1922.56</v>
      </c>
      <c r="X137" s="6">
        <f>IF(ISERROR(VLOOKUP($U$137,'TAR FIN'!$A$1:$O$85,15,0)),0,VLOOKUP($U$137,'TAR FIN'!$A$1:$O$85,15,0))</f>
        <v>141.32</v>
      </c>
      <c r="Y137" s="6"/>
      <c r="Z137" s="6">
        <f ca="1">('TUSD BE'!$AM$11+'TUSD BF'!$AM$11+'TUSD CVA'!$AM$11)*1</f>
        <v>1931.7033804673958</v>
      </c>
      <c r="AA137" s="6">
        <f>('TE BE'!$AB$5+'TE BF'!$AB$5+'TE CVA'!$AB$5)*1</f>
        <v>135.80626150990429</v>
      </c>
      <c r="AB137" s="6">
        <f>$K$137*$V$137</f>
        <v>0</v>
      </c>
      <c r="AC137" s="6">
        <f>$M$137*$W$137</f>
        <v>1918.71488</v>
      </c>
      <c r="AD137" s="6">
        <f>$O$137*$X$137</f>
        <v>141.03736000000001</v>
      </c>
      <c r="AE137" s="6">
        <f>$K$137*$Y$137</f>
        <v>0</v>
      </c>
      <c r="AF137" s="6">
        <f ca="1">$M$137*$Z$137</f>
        <v>1927.839973706461</v>
      </c>
      <c r="AG137" s="6">
        <f>$O$137*$AA$137</f>
        <v>135.53464898688449</v>
      </c>
    </row>
    <row r="138" spans="1:33" ht="11.25" customHeight="1" x14ac:dyDescent="0.25">
      <c r="A138" s="4" t="s">
        <v>21</v>
      </c>
      <c r="B138" s="4" t="s">
        <v>35</v>
      </c>
      <c r="C138" s="4" t="s">
        <v>36</v>
      </c>
      <c r="D138" s="4" t="s">
        <v>41</v>
      </c>
      <c r="E138" s="4" t="s">
        <v>25</v>
      </c>
      <c r="F138" s="4" t="s">
        <v>25</v>
      </c>
      <c r="G138" s="4" t="s">
        <v>25</v>
      </c>
      <c r="H138" s="4" t="s">
        <v>38</v>
      </c>
      <c r="I138" s="5">
        <v>44440</v>
      </c>
      <c r="J138" s="6">
        <v>0</v>
      </c>
      <c r="K138" s="61">
        <v>0</v>
      </c>
      <c r="L138" s="6">
        <v>24.815999999999999</v>
      </c>
      <c r="M138" s="61">
        <v>24.815999999999999</v>
      </c>
      <c r="N138" s="6">
        <v>24.815999999999999</v>
      </c>
      <c r="O138" s="61">
        <v>24.815999999999999</v>
      </c>
      <c r="P138" s="6">
        <v>0</v>
      </c>
      <c r="Q138" s="4" t="s">
        <v>26</v>
      </c>
      <c r="R138" s="4">
        <v>0</v>
      </c>
      <c r="S138" s="6">
        <v>0</v>
      </c>
      <c r="T138" s="6">
        <v>23</v>
      </c>
      <c r="U138" s="6">
        <v>51</v>
      </c>
      <c r="V138" s="61">
        <f>IF(ISERROR(VLOOKUP($S$138,'TAR FIN'!$A$1:$O$85,15,0)),0,VLOOKUP($S$138,'TAR FIN'!$A$1:$O$85,15,0))</f>
        <v>0</v>
      </c>
      <c r="W138" s="61">
        <f>IF(ISERROR(VLOOKUP($T$138,'TAR FIN'!$A$1:$O$85,15,0)),0,VLOOKUP($T$138,'TAR FIN'!$A$1:$O$85,15,0))*(1-0.04)</f>
        <v>63.571199999999997</v>
      </c>
      <c r="X138" s="61">
        <f>IF(ISERROR(VLOOKUP($U$138,'TAR FIN'!$A$1:$O$85,15,0)),0,VLOOKUP($U$138,'TAR FIN'!$A$1:$O$85,15,0))*(1-0.04)</f>
        <v>135.66719999999998</v>
      </c>
      <c r="Y138" s="61"/>
      <c r="Z138" s="61">
        <f ca="1">('TUSD BE'!$AM$12+'TUSD BF'!$AM$12+'TUSD CVA'!$AM$12)*1*(1-0.02)</f>
        <v>97.850794719339632</v>
      </c>
      <c r="AA138" s="61">
        <f>('TE BE'!$AB$6+'TE BF'!$AB$6+'TE CVA'!$AB$6)*1*(1-0.02)</f>
        <v>133.0901362797062</v>
      </c>
      <c r="AB138" s="6">
        <f>$K$138*$V$138</f>
        <v>0</v>
      </c>
      <c r="AC138" s="6">
        <f>$M$138*$W$138</f>
        <v>1577.5828991999999</v>
      </c>
      <c r="AD138" s="6">
        <f>$O$138*$X$138</f>
        <v>3366.7172351999993</v>
      </c>
      <c r="AE138" s="6">
        <f>$K$138*$Y$138</f>
        <v>0</v>
      </c>
      <c r="AF138" s="6">
        <f ca="1">$M$138*$Z$138</f>
        <v>2428.2653217551324</v>
      </c>
      <c r="AG138" s="6">
        <f>$O$138*$AA$138</f>
        <v>3302.7648219171888</v>
      </c>
    </row>
    <row r="139" spans="1:33" ht="11.25" customHeight="1" x14ac:dyDescent="0.25">
      <c r="A139" s="4" t="s">
        <v>28</v>
      </c>
      <c r="B139" s="4" t="s">
        <v>35</v>
      </c>
      <c r="C139" s="4" t="s">
        <v>36</v>
      </c>
      <c r="D139" s="4" t="s">
        <v>41</v>
      </c>
      <c r="E139" s="4" t="s">
        <v>25</v>
      </c>
      <c r="F139" s="4" t="s">
        <v>25</v>
      </c>
      <c r="G139" s="4" t="s">
        <v>25</v>
      </c>
      <c r="H139" s="4" t="s">
        <v>38</v>
      </c>
      <c r="I139" s="5">
        <v>44440</v>
      </c>
      <c r="J139" s="6">
        <v>0</v>
      </c>
      <c r="K139" s="61">
        <v>0</v>
      </c>
      <c r="L139" s="6">
        <v>36.305999999999997</v>
      </c>
      <c r="M139" s="61">
        <v>36.305999999999997</v>
      </c>
      <c r="N139" s="6">
        <v>36.305999999999997</v>
      </c>
      <c r="O139" s="61">
        <v>36.305999999999997</v>
      </c>
      <c r="P139" s="6">
        <v>0</v>
      </c>
      <c r="Q139" s="4" t="s">
        <v>26</v>
      </c>
      <c r="R139" s="4">
        <v>0</v>
      </c>
      <c r="S139" s="6">
        <v>0</v>
      </c>
      <c r="T139" s="6">
        <v>23</v>
      </c>
      <c r="U139" s="6">
        <v>51</v>
      </c>
      <c r="V139" s="61">
        <f>IF(ISERROR(VLOOKUP($S$139,'TAR FIN'!$A$1:$O$85,15,0)),0,VLOOKUP($S$139,'TAR FIN'!$A$1:$O$85,15,0))</f>
        <v>0</v>
      </c>
      <c r="W139" s="61">
        <f>IF(ISERROR(VLOOKUP($T$139,'TAR FIN'!$A$1:$O$85,15,0)),0,VLOOKUP($T$139,'TAR FIN'!$A$1:$O$85,15,0))*(1-0.04)</f>
        <v>63.571199999999997</v>
      </c>
      <c r="X139" s="61">
        <f>IF(ISERROR(VLOOKUP($U$139,'TAR FIN'!$A$1:$O$85,15,0)),0,VLOOKUP($U$139,'TAR FIN'!$A$1:$O$85,15,0))*(1-0.04)</f>
        <v>135.66719999999998</v>
      </c>
      <c r="Y139" s="61"/>
      <c r="Z139" s="61">
        <f ca="1">('TUSD BE'!$AM$12+'TUSD BF'!$AM$12+'TUSD CVA'!$AM$12)*1*(1-0.02)</f>
        <v>97.850794719339632</v>
      </c>
      <c r="AA139" s="61">
        <f>('TE BE'!$AB$6+'TE BF'!$AB$6+'TE CVA'!$AB$6)*1*(1-0.02)</f>
        <v>133.0901362797062</v>
      </c>
      <c r="AB139" s="6">
        <f>$K$139*$V$139</f>
        <v>0</v>
      </c>
      <c r="AC139" s="6">
        <f>$M$139*$W$139</f>
        <v>2308.0159871999999</v>
      </c>
      <c r="AD139" s="6">
        <f>$O$139*$X$139</f>
        <v>4925.5333631999993</v>
      </c>
      <c r="AE139" s="6">
        <f>$K$139*$Y$139</f>
        <v>0</v>
      </c>
      <c r="AF139" s="6">
        <f ca="1">$M$139*$Z$139</f>
        <v>3552.5709530803442</v>
      </c>
      <c r="AG139" s="6">
        <f>$O$139*$AA$139</f>
        <v>4831.9704877710128</v>
      </c>
    </row>
    <row r="140" spans="1:33" ht="11.25" customHeight="1" x14ac:dyDescent="0.25">
      <c r="A140" s="4" t="s">
        <v>21</v>
      </c>
      <c r="B140" s="4" t="s">
        <v>35</v>
      </c>
      <c r="C140" s="4" t="s">
        <v>36</v>
      </c>
      <c r="D140" s="4" t="s">
        <v>41</v>
      </c>
      <c r="E140" s="4" t="s">
        <v>25</v>
      </c>
      <c r="F140" s="4" t="s">
        <v>25</v>
      </c>
      <c r="G140" s="4" t="s">
        <v>25</v>
      </c>
      <c r="H140" s="4" t="s">
        <v>38</v>
      </c>
      <c r="I140" s="5">
        <v>44470</v>
      </c>
      <c r="J140" s="6">
        <v>0</v>
      </c>
      <c r="K140" s="61">
        <v>0</v>
      </c>
      <c r="L140" s="6">
        <v>11.069000000000001</v>
      </c>
      <c r="M140" s="61">
        <v>11.069000000000001</v>
      </c>
      <c r="N140" s="6">
        <v>11.069000000000001</v>
      </c>
      <c r="O140" s="61">
        <v>11.069000000000001</v>
      </c>
      <c r="P140" s="6">
        <v>0</v>
      </c>
      <c r="Q140" s="4" t="s">
        <v>26</v>
      </c>
      <c r="R140" s="4">
        <v>0</v>
      </c>
      <c r="S140" s="6">
        <v>0</v>
      </c>
      <c r="T140" s="6">
        <v>23</v>
      </c>
      <c r="U140" s="6">
        <v>51</v>
      </c>
      <c r="V140" s="61">
        <f>IF(ISERROR(VLOOKUP($S$140,'TAR FIN'!$A$1:$O$85,15,0)),0,VLOOKUP($S$140,'TAR FIN'!$A$1:$O$85,15,0))</f>
        <v>0</v>
      </c>
      <c r="W140" s="61">
        <f>IF(ISERROR(VLOOKUP($T$140,'TAR FIN'!$A$1:$O$85,15,0)),0,VLOOKUP($T$140,'TAR FIN'!$A$1:$O$85,15,0))*(1-0.04)</f>
        <v>63.571199999999997</v>
      </c>
      <c r="X140" s="61">
        <f>IF(ISERROR(VLOOKUP($U$140,'TAR FIN'!$A$1:$O$85,15,0)),0,VLOOKUP($U$140,'TAR FIN'!$A$1:$O$85,15,0))*(1-0.04)</f>
        <v>135.66719999999998</v>
      </c>
      <c r="Y140" s="61"/>
      <c r="Z140" s="61">
        <f ca="1">('TUSD BE'!$AM$12+'TUSD BF'!$AM$12+'TUSD CVA'!$AM$12)*1*(1-0.02)</f>
        <v>97.850794719339632</v>
      </c>
      <c r="AA140" s="61">
        <f>('TE BE'!$AB$6+'TE BF'!$AB$6+'TE CVA'!$AB$6)*1*(1-0.02)</f>
        <v>133.0901362797062</v>
      </c>
      <c r="AB140" s="6">
        <f>$K$140*$V$140</f>
        <v>0</v>
      </c>
      <c r="AC140" s="6">
        <f>$M$140*$W$140</f>
        <v>703.66961279999998</v>
      </c>
      <c r="AD140" s="6">
        <f>$O$140*$X$140</f>
        <v>1501.7002367999999</v>
      </c>
      <c r="AE140" s="6">
        <f>$K$140*$Y$140</f>
        <v>0</v>
      </c>
      <c r="AF140" s="6">
        <f ca="1">$M$140*$Z$140</f>
        <v>1083.1104467483706</v>
      </c>
      <c r="AG140" s="6">
        <f>$O$140*$AA$140</f>
        <v>1473.1747184800681</v>
      </c>
    </row>
    <row r="141" spans="1:33" ht="11.25" customHeight="1" x14ac:dyDescent="0.25">
      <c r="A141" s="4" t="s">
        <v>28</v>
      </c>
      <c r="B141" s="4" t="s">
        <v>35</v>
      </c>
      <c r="C141" s="4" t="s">
        <v>36</v>
      </c>
      <c r="D141" s="4" t="s">
        <v>41</v>
      </c>
      <c r="E141" s="4" t="s">
        <v>25</v>
      </c>
      <c r="F141" s="4" t="s">
        <v>25</v>
      </c>
      <c r="G141" s="4" t="s">
        <v>25</v>
      </c>
      <c r="H141" s="4" t="s">
        <v>38</v>
      </c>
      <c r="I141" s="5">
        <v>44470</v>
      </c>
      <c r="J141" s="6">
        <v>0</v>
      </c>
      <c r="K141" s="61">
        <v>0</v>
      </c>
      <c r="L141" s="6">
        <v>33.93</v>
      </c>
      <c r="M141" s="61">
        <v>33.93</v>
      </c>
      <c r="N141" s="6">
        <v>33.93</v>
      </c>
      <c r="O141" s="61">
        <v>33.93</v>
      </c>
      <c r="P141" s="6">
        <v>0</v>
      </c>
      <c r="Q141" s="4" t="s">
        <v>26</v>
      </c>
      <c r="R141" s="4">
        <v>0</v>
      </c>
      <c r="S141" s="6">
        <v>0</v>
      </c>
      <c r="T141" s="6">
        <v>23</v>
      </c>
      <c r="U141" s="6">
        <v>51</v>
      </c>
      <c r="V141" s="61">
        <f>IF(ISERROR(VLOOKUP($S$141,'TAR FIN'!$A$1:$O$85,15,0)),0,VLOOKUP($S$141,'TAR FIN'!$A$1:$O$85,15,0))</f>
        <v>0</v>
      </c>
      <c r="W141" s="61">
        <f>IF(ISERROR(VLOOKUP($T$141,'TAR FIN'!$A$1:$O$85,15,0)),0,VLOOKUP($T$141,'TAR FIN'!$A$1:$O$85,15,0))*(1-0.04)</f>
        <v>63.571199999999997</v>
      </c>
      <c r="X141" s="61">
        <f>IF(ISERROR(VLOOKUP($U$141,'TAR FIN'!$A$1:$O$85,15,0)),0,VLOOKUP($U$141,'TAR FIN'!$A$1:$O$85,15,0))*(1-0.04)</f>
        <v>135.66719999999998</v>
      </c>
      <c r="Y141" s="61"/>
      <c r="Z141" s="61">
        <f ca="1">('TUSD BE'!$AM$12+'TUSD BF'!$AM$12+'TUSD CVA'!$AM$12)*1*(1-0.02)</f>
        <v>97.850794719339632</v>
      </c>
      <c r="AA141" s="61">
        <f>('TE BE'!$AB$6+'TE BF'!$AB$6+'TE CVA'!$AB$6)*1*(1-0.02)</f>
        <v>133.0901362797062</v>
      </c>
      <c r="AB141" s="6">
        <f>$K$141*$V$141</f>
        <v>0</v>
      </c>
      <c r="AC141" s="6">
        <f>$M$141*$W$141</f>
        <v>2156.970816</v>
      </c>
      <c r="AD141" s="6">
        <f>$O$141*$X$141</f>
        <v>4603.1880959999989</v>
      </c>
      <c r="AE141" s="6">
        <f>$K$141*$Y$141</f>
        <v>0</v>
      </c>
      <c r="AF141" s="6">
        <f ca="1">$M$141*$Z$141</f>
        <v>3320.0774648271936</v>
      </c>
      <c r="AG141" s="6">
        <f>$O$141*$AA$141</f>
        <v>4515.7483239704316</v>
      </c>
    </row>
    <row r="142" spans="1:33" ht="11.25" customHeight="1" x14ac:dyDescent="0.25">
      <c r="A142" s="4" t="s">
        <v>21</v>
      </c>
      <c r="B142" s="4" t="s">
        <v>35</v>
      </c>
      <c r="C142" s="4" t="s">
        <v>36</v>
      </c>
      <c r="D142" s="4" t="s">
        <v>41</v>
      </c>
      <c r="E142" s="4" t="s">
        <v>25</v>
      </c>
      <c r="F142" s="4" t="s">
        <v>25</v>
      </c>
      <c r="G142" s="4" t="s">
        <v>25</v>
      </c>
      <c r="H142" s="4" t="s">
        <v>38</v>
      </c>
      <c r="I142" s="5">
        <v>44501</v>
      </c>
      <c r="J142" s="6">
        <v>0</v>
      </c>
      <c r="K142" s="61">
        <v>0</v>
      </c>
      <c r="L142" s="6">
        <v>24.327999999999999</v>
      </c>
      <c r="M142" s="61">
        <v>24.327999999999999</v>
      </c>
      <c r="N142" s="6">
        <v>24.327999999999999</v>
      </c>
      <c r="O142" s="61">
        <v>24.327999999999999</v>
      </c>
      <c r="P142" s="6">
        <v>0</v>
      </c>
      <c r="Q142" s="4" t="s">
        <v>26</v>
      </c>
      <c r="R142" s="4">
        <v>0</v>
      </c>
      <c r="S142" s="6">
        <v>0</v>
      </c>
      <c r="T142" s="6">
        <v>23</v>
      </c>
      <c r="U142" s="6">
        <v>51</v>
      </c>
      <c r="V142" s="61">
        <f>IF(ISERROR(VLOOKUP($S$142,'TAR FIN'!$A$1:$O$85,15,0)),0,VLOOKUP($S$142,'TAR FIN'!$A$1:$O$85,15,0))</f>
        <v>0</v>
      </c>
      <c r="W142" s="61">
        <f>IF(ISERROR(VLOOKUP($T$142,'TAR FIN'!$A$1:$O$85,15,0)),0,VLOOKUP($T$142,'TAR FIN'!$A$1:$O$85,15,0))*(1-0.04)</f>
        <v>63.571199999999997</v>
      </c>
      <c r="X142" s="61">
        <f>IF(ISERROR(VLOOKUP($U$142,'TAR FIN'!$A$1:$O$85,15,0)),0,VLOOKUP($U$142,'TAR FIN'!$A$1:$O$85,15,0))*(1-0.04)</f>
        <v>135.66719999999998</v>
      </c>
      <c r="Y142" s="61"/>
      <c r="Z142" s="61">
        <f ca="1">('TUSD BE'!$AM$12+'TUSD BF'!$AM$12+'TUSD CVA'!$AM$12)*1*(1-0.02)</f>
        <v>97.850794719339632</v>
      </c>
      <c r="AA142" s="61">
        <f>('TE BE'!$AB$6+'TE BF'!$AB$6+'TE CVA'!$AB$6)*1*(1-0.02)</f>
        <v>133.0901362797062</v>
      </c>
      <c r="AB142" s="6">
        <f>$K$142*$V$142</f>
        <v>0</v>
      </c>
      <c r="AC142" s="6">
        <f>$M$142*$W$142</f>
        <v>1546.5601535999999</v>
      </c>
      <c r="AD142" s="6">
        <f>$O$142*$X$142</f>
        <v>3300.5116415999996</v>
      </c>
      <c r="AE142" s="6">
        <f>$K$142*$Y$142</f>
        <v>0</v>
      </c>
      <c r="AF142" s="6">
        <f ca="1">$M$142*$Z$142</f>
        <v>2380.5141339320944</v>
      </c>
      <c r="AG142" s="6">
        <f>$O$142*$AA$142</f>
        <v>3237.8168354126924</v>
      </c>
    </row>
    <row r="143" spans="1:33" ht="11.25" customHeight="1" x14ac:dyDescent="0.25">
      <c r="A143" s="4" t="s">
        <v>28</v>
      </c>
      <c r="B143" s="4" t="s">
        <v>35</v>
      </c>
      <c r="C143" s="4" t="s">
        <v>36</v>
      </c>
      <c r="D143" s="4" t="s">
        <v>41</v>
      </c>
      <c r="E143" s="4" t="s">
        <v>25</v>
      </c>
      <c r="F143" s="4" t="s">
        <v>25</v>
      </c>
      <c r="G143" s="4" t="s">
        <v>25</v>
      </c>
      <c r="H143" s="4" t="s">
        <v>38</v>
      </c>
      <c r="I143" s="5">
        <v>44501</v>
      </c>
      <c r="J143" s="6">
        <v>0</v>
      </c>
      <c r="K143" s="61">
        <v>0</v>
      </c>
      <c r="L143" s="6">
        <v>32.448</v>
      </c>
      <c r="M143" s="61">
        <v>32.448</v>
      </c>
      <c r="N143" s="6">
        <v>32.448</v>
      </c>
      <c r="O143" s="61">
        <v>32.448</v>
      </c>
      <c r="P143" s="6">
        <v>0</v>
      </c>
      <c r="Q143" s="4" t="s">
        <v>26</v>
      </c>
      <c r="R143" s="4">
        <v>0</v>
      </c>
      <c r="S143" s="6">
        <v>0</v>
      </c>
      <c r="T143" s="6">
        <v>23</v>
      </c>
      <c r="U143" s="6">
        <v>51</v>
      </c>
      <c r="V143" s="61">
        <f>IF(ISERROR(VLOOKUP($S$143,'TAR FIN'!$A$1:$O$85,15,0)),0,VLOOKUP($S$143,'TAR FIN'!$A$1:$O$85,15,0))</f>
        <v>0</v>
      </c>
      <c r="W143" s="61">
        <f>IF(ISERROR(VLOOKUP($T$143,'TAR FIN'!$A$1:$O$85,15,0)),0,VLOOKUP($T$143,'TAR FIN'!$A$1:$O$85,15,0))*(1-0.04)</f>
        <v>63.571199999999997</v>
      </c>
      <c r="X143" s="61">
        <f>IF(ISERROR(VLOOKUP($U$143,'TAR FIN'!$A$1:$O$85,15,0)),0,VLOOKUP($U$143,'TAR FIN'!$A$1:$O$85,15,0))*(1-0.04)</f>
        <v>135.66719999999998</v>
      </c>
      <c r="Y143" s="61"/>
      <c r="Z143" s="61">
        <f ca="1">('TUSD BE'!$AM$12+'TUSD BF'!$AM$12+'TUSD CVA'!$AM$12)*1*(1-0.02)</f>
        <v>97.850794719339632</v>
      </c>
      <c r="AA143" s="61">
        <f>('TE BE'!$AB$6+'TE BF'!$AB$6+'TE CVA'!$AB$6)*1*(1-0.02)</f>
        <v>133.0901362797062</v>
      </c>
      <c r="AB143" s="6">
        <f>$K$143*$V$143</f>
        <v>0</v>
      </c>
      <c r="AC143" s="6">
        <f>$M$143*$W$143</f>
        <v>2062.7582975999999</v>
      </c>
      <c r="AD143" s="6">
        <f>$O$143*$X$143</f>
        <v>4402.1293055999995</v>
      </c>
      <c r="AE143" s="6">
        <f>$K$143*$Y$143</f>
        <v>0</v>
      </c>
      <c r="AF143" s="6">
        <f ca="1">$M$143*$Z$143</f>
        <v>3175.0625870531326</v>
      </c>
      <c r="AG143" s="6">
        <f>$O$143*$AA$143</f>
        <v>4318.5087420039072</v>
      </c>
    </row>
    <row r="144" spans="1:33" ht="11.25" customHeight="1" x14ac:dyDescent="0.25">
      <c r="A144" s="4" t="s">
        <v>21</v>
      </c>
      <c r="B144" s="4" t="s">
        <v>35</v>
      </c>
      <c r="C144" s="4" t="s">
        <v>36</v>
      </c>
      <c r="D144" s="4" t="s">
        <v>41</v>
      </c>
      <c r="E144" s="4" t="s">
        <v>25</v>
      </c>
      <c r="F144" s="4" t="s">
        <v>25</v>
      </c>
      <c r="G144" s="4" t="s">
        <v>25</v>
      </c>
      <c r="H144" s="4" t="s">
        <v>38</v>
      </c>
      <c r="I144" s="5">
        <v>44531</v>
      </c>
      <c r="J144" s="6">
        <v>0</v>
      </c>
      <c r="K144" s="61">
        <v>0</v>
      </c>
      <c r="L144" s="6">
        <v>1.9530000000000001</v>
      </c>
      <c r="M144" s="61">
        <v>1.9530000000000001</v>
      </c>
      <c r="N144" s="6">
        <v>1.9530000000000001</v>
      </c>
      <c r="O144" s="61">
        <v>1.9530000000000001</v>
      </c>
      <c r="P144" s="6">
        <v>0</v>
      </c>
      <c r="Q144" s="4" t="s">
        <v>26</v>
      </c>
      <c r="R144" s="4">
        <v>0</v>
      </c>
      <c r="S144" s="6">
        <v>0</v>
      </c>
      <c r="T144" s="6">
        <v>23</v>
      </c>
      <c r="U144" s="6">
        <v>51</v>
      </c>
      <c r="V144" s="61">
        <f>IF(ISERROR(VLOOKUP($S$144,'TAR FIN'!$A$1:$O$85,15,0)),0,VLOOKUP($S$144,'TAR FIN'!$A$1:$O$85,15,0))</f>
        <v>0</v>
      </c>
      <c r="W144" s="61">
        <f>IF(ISERROR(VLOOKUP($T$144,'TAR FIN'!$A$1:$O$85,15,0)),0,VLOOKUP($T$144,'TAR FIN'!$A$1:$O$85,15,0))*(1-0.04)</f>
        <v>63.571199999999997</v>
      </c>
      <c r="X144" s="61">
        <f>IF(ISERROR(VLOOKUP($U$144,'TAR FIN'!$A$1:$O$85,15,0)),0,VLOOKUP($U$144,'TAR FIN'!$A$1:$O$85,15,0))*(1-0.04)</f>
        <v>135.66719999999998</v>
      </c>
      <c r="Y144" s="61"/>
      <c r="Z144" s="61">
        <f ca="1">('TUSD BE'!$AM$12+'TUSD BF'!$AM$12+'TUSD CVA'!$AM$12)*1*(1-0.02)</f>
        <v>97.850794719339632</v>
      </c>
      <c r="AA144" s="61">
        <f>('TE BE'!$AB$6+'TE BF'!$AB$6+'TE CVA'!$AB$6)*1*(1-0.02)</f>
        <v>133.0901362797062</v>
      </c>
      <c r="AB144" s="6">
        <f>$K$144*$V$144</f>
        <v>0</v>
      </c>
      <c r="AC144" s="6">
        <f>$M$144*$W$144</f>
        <v>124.1545536</v>
      </c>
      <c r="AD144" s="6">
        <f>$O$144*$X$144</f>
        <v>264.95804159999994</v>
      </c>
      <c r="AE144" s="6">
        <f>$K$144*$Y$144</f>
        <v>0</v>
      </c>
      <c r="AF144" s="6">
        <f ca="1">$M$144*$Z$144</f>
        <v>191.10260208687032</v>
      </c>
      <c r="AG144" s="6">
        <f>$O$144*$AA$144</f>
        <v>259.92503615426619</v>
      </c>
    </row>
    <row r="145" spans="1:33" ht="11.25" customHeight="1" x14ac:dyDescent="0.25">
      <c r="A145" s="4" t="s">
        <v>28</v>
      </c>
      <c r="B145" s="4" t="s">
        <v>35</v>
      </c>
      <c r="C145" s="4" t="s">
        <v>36</v>
      </c>
      <c r="D145" s="4" t="s">
        <v>41</v>
      </c>
      <c r="E145" s="4" t="s">
        <v>25</v>
      </c>
      <c r="F145" s="4" t="s">
        <v>25</v>
      </c>
      <c r="G145" s="4" t="s">
        <v>25</v>
      </c>
      <c r="H145" s="4" t="s">
        <v>38</v>
      </c>
      <c r="I145" s="5">
        <v>44531</v>
      </c>
      <c r="J145" s="6">
        <v>0</v>
      </c>
      <c r="K145" s="61">
        <v>0</v>
      </c>
      <c r="L145" s="6">
        <v>41.04</v>
      </c>
      <c r="M145" s="61">
        <v>41.04</v>
      </c>
      <c r="N145" s="6">
        <v>41.04</v>
      </c>
      <c r="O145" s="61">
        <v>41.04</v>
      </c>
      <c r="P145" s="6">
        <v>0</v>
      </c>
      <c r="Q145" s="4" t="s">
        <v>26</v>
      </c>
      <c r="R145" s="4">
        <v>0</v>
      </c>
      <c r="S145" s="6">
        <v>0</v>
      </c>
      <c r="T145" s="6">
        <v>23</v>
      </c>
      <c r="U145" s="6">
        <v>51</v>
      </c>
      <c r="V145" s="61">
        <f>IF(ISERROR(VLOOKUP($S$145,'TAR FIN'!$A$1:$O$85,15,0)),0,VLOOKUP($S$145,'TAR FIN'!$A$1:$O$85,15,0))</f>
        <v>0</v>
      </c>
      <c r="W145" s="61">
        <f>IF(ISERROR(VLOOKUP($T$145,'TAR FIN'!$A$1:$O$85,15,0)),0,VLOOKUP($T$145,'TAR FIN'!$A$1:$O$85,15,0))*(1-0.04)</f>
        <v>63.571199999999997</v>
      </c>
      <c r="X145" s="61">
        <f>IF(ISERROR(VLOOKUP($U$145,'TAR FIN'!$A$1:$O$85,15,0)),0,VLOOKUP($U$145,'TAR FIN'!$A$1:$O$85,15,0))*(1-0.04)</f>
        <v>135.66719999999998</v>
      </c>
      <c r="Y145" s="61"/>
      <c r="Z145" s="61">
        <f ca="1">('TUSD BE'!$AM$12+'TUSD BF'!$AM$12+'TUSD CVA'!$AM$12)*1*(1-0.02)</f>
        <v>97.850794719339632</v>
      </c>
      <c r="AA145" s="61">
        <f>('TE BE'!$AB$6+'TE BF'!$AB$6+'TE CVA'!$AB$6)*1*(1-0.02)</f>
        <v>133.0901362797062</v>
      </c>
      <c r="AB145" s="6">
        <f>$K$145*$V$145</f>
        <v>0</v>
      </c>
      <c r="AC145" s="6">
        <f>$M$145*$W$145</f>
        <v>2608.9620479999999</v>
      </c>
      <c r="AD145" s="6">
        <f>$O$145*$X$145</f>
        <v>5567.7818879999986</v>
      </c>
      <c r="AE145" s="6">
        <f>$K$145*$Y$145</f>
        <v>0</v>
      </c>
      <c r="AF145" s="6">
        <f ca="1">$M$145*$Z$145</f>
        <v>4015.7966152816985</v>
      </c>
      <c r="AG145" s="6">
        <f>$O$145*$AA$145</f>
        <v>5462.0191929191424</v>
      </c>
    </row>
    <row r="146" spans="1:33" ht="11.25" customHeight="1" x14ac:dyDescent="0.25">
      <c r="A146" s="4" t="s">
        <v>21</v>
      </c>
      <c r="B146" s="4" t="s">
        <v>35</v>
      </c>
      <c r="C146" s="4" t="s">
        <v>36</v>
      </c>
      <c r="D146" s="4" t="s">
        <v>41</v>
      </c>
      <c r="E146" s="4" t="s">
        <v>25</v>
      </c>
      <c r="F146" s="4" t="s">
        <v>25</v>
      </c>
      <c r="G146" s="4" t="s">
        <v>25</v>
      </c>
      <c r="H146" s="4" t="s">
        <v>38</v>
      </c>
      <c r="I146" s="5">
        <v>44562</v>
      </c>
      <c r="J146" s="6">
        <v>0</v>
      </c>
      <c r="K146" s="61">
        <v>0</v>
      </c>
      <c r="L146" s="6">
        <v>23.11</v>
      </c>
      <c r="M146" s="61">
        <v>23.11</v>
      </c>
      <c r="N146" s="6">
        <v>23.11</v>
      </c>
      <c r="O146" s="61">
        <v>23.11</v>
      </c>
      <c r="P146" s="6">
        <v>0</v>
      </c>
      <c r="Q146" s="4" t="s">
        <v>26</v>
      </c>
      <c r="R146" s="4">
        <v>0</v>
      </c>
      <c r="S146" s="6">
        <v>0</v>
      </c>
      <c r="T146" s="6">
        <v>23</v>
      </c>
      <c r="U146" s="6">
        <v>51</v>
      </c>
      <c r="V146" s="61">
        <f>IF(ISERROR(VLOOKUP($S$146,'TAR FIN'!$A$1:$O$85,15,0)),0,VLOOKUP($S$146,'TAR FIN'!$A$1:$O$85,15,0))</f>
        <v>0</v>
      </c>
      <c r="W146" s="61">
        <f>IF(ISERROR(VLOOKUP($T$146,'TAR FIN'!$A$1:$O$85,15,0)),0,VLOOKUP($T$146,'TAR FIN'!$A$1:$O$85,15,0))*(1-0.04)</f>
        <v>63.571199999999997</v>
      </c>
      <c r="X146" s="61">
        <f>IF(ISERROR(VLOOKUP($U$146,'TAR FIN'!$A$1:$O$85,15,0)),0,VLOOKUP($U$146,'TAR FIN'!$A$1:$O$85,15,0))*(1-0.04)</f>
        <v>135.66719999999998</v>
      </c>
      <c r="Y146" s="61"/>
      <c r="Z146" s="61">
        <f ca="1">('TUSD BE'!$AM$12+'TUSD BF'!$AM$12+'TUSD CVA'!$AM$12)*1*(1-0.02)</f>
        <v>97.850794719339632</v>
      </c>
      <c r="AA146" s="61">
        <f>('TE BE'!$AB$6+'TE BF'!$AB$6+'TE CVA'!$AB$6)*1*(1-0.02)</f>
        <v>133.0901362797062</v>
      </c>
      <c r="AB146" s="6">
        <f>$K$146*$V$146</f>
        <v>0</v>
      </c>
      <c r="AC146" s="6">
        <f>$M$146*$W$146</f>
        <v>1469.1304319999999</v>
      </c>
      <c r="AD146" s="6">
        <f>$O$146*$X$146</f>
        <v>3135.2689919999993</v>
      </c>
      <c r="AE146" s="6">
        <f>$K$146*$Y$146</f>
        <v>0</v>
      </c>
      <c r="AF146" s="6">
        <f ca="1">$M$146*$Z$146</f>
        <v>2261.331865963939</v>
      </c>
      <c r="AG146" s="6">
        <f>$O$146*$AA$146</f>
        <v>3075.71304942401</v>
      </c>
    </row>
    <row r="147" spans="1:33" ht="11.25" customHeight="1" x14ac:dyDescent="0.25">
      <c r="A147" s="4" t="s">
        <v>28</v>
      </c>
      <c r="B147" s="4" t="s">
        <v>35</v>
      </c>
      <c r="C147" s="4" t="s">
        <v>36</v>
      </c>
      <c r="D147" s="4" t="s">
        <v>41</v>
      </c>
      <c r="E147" s="4" t="s">
        <v>25</v>
      </c>
      <c r="F147" s="4" t="s">
        <v>25</v>
      </c>
      <c r="G147" s="4" t="s">
        <v>25</v>
      </c>
      <c r="H147" s="4" t="s">
        <v>38</v>
      </c>
      <c r="I147" s="5">
        <v>44562</v>
      </c>
      <c r="J147" s="6">
        <v>0</v>
      </c>
      <c r="K147" s="61">
        <v>0</v>
      </c>
      <c r="L147" s="6">
        <v>38.734999999999999</v>
      </c>
      <c r="M147" s="61">
        <v>38.734999999999999</v>
      </c>
      <c r="N147" s="6">
        <v>38.734999999999999</v>
      </c>
      <c r="O147" s="61">
        <v>38.734999999999999</v>
      </c>
      <c r="P147" s="6">
        <v>0</v>
      </c>
      <c r="Q147" s="4" t="s">
        <v>26</v>
      </c>
      <c r="R147" s="4">
        <v>0</v>
      </c>
      <c r="S147" s="6">
        <v>0</v>
      </c>
      <c r="T147" s="6">
        <v>23</v>
      </c>
      <c r="U147" s="6">
        <v>51</v>
      </c>
      <c r="V147" s="61">
        <f>IF(ISERROR(VLOOKUP($S$147,'TAR FIN'!$A$1:$O$85,15,0)),0,VLOOKUP($S$147,'TAR FIN'!$A$1:$O$85,15,0))</f>
        <v>0</v>
      </c>
      <c r="W147" s="61">
        <f>IF(ISERROR(VLOOKUP($T$147,'TAR FIN'!$A$1:$O$85,15,0)),0,VLOOKUP($T$147,'TAR FIN'!$A$1:$O$85,15,0))*(1-0.04)</f>
        <v>63.571199999999997</v>
      </c>
      <c r="X147" s="61">
        <f>IF(ISERROR(VLOOKUP($U$147,'TAR FIN'!$A$1:$O$85,15,0)),0,VLOOKUP($U$147,'TAR FIN'!$A$1:$O$85,15,0))*(1-0.04)</f>
        <v>135.66719999999998</v>
      </c>
      <c r="Y147" s="61"/>
      <c r="Z147" s="61">
        <f ca="1">('TUSD BE'!$AM$12+'TUSD BF'!$AM$12+'TUSD CVA'!$AM$12)*1*(1-0.02)</f>
        <v>97.850794719339632</v>
      </c>
      <c r="AA147" s="61">
        <f>('TE BE'!$AB$6+'TE BF'!$AB$6+'TE CVA'!$AB$6)*1*(1-0.02)</f>
        <v>133.0901362797062</v>
      </c>
      <c r="AB147" s="6">
        <f>$K$147*$V$147</f>
        <v>0</v>
      </c>
      <c r="AC147" s="6">
        <f>$M$147*$W$147</f>
        <v>2462.4304319999997</v>
      </c>
      <c r="AD147" s="6">
        <f>$O$147*$X$147</f>
        <v>5255.0689919999995</v>
      </c>
      <c r="AE147" s="6">
        <f>$K$147*$Y$147</f>
        <v>0</v>
      </c>
      <c r="AF147" s="6">
        <f ca="1">$M$147*$Z$147</f>
        <v>3790.2505334536204</v>
      </c>
      <c r="AG147" s="6">
        <f>$O$147*$AA$147</f>
        <v>5155.2464287944194</v>
      </c>
    </row>
    <row r="148" spans="1:33" ht="11.25" customHeight="1" x14ac:dyDescent="0.25">
      <c r="A148" s="4" t="s">
        <v>21</v>
      </c>
      <c r="B148" s="4" t="s">
        <v>35</v>
      </c>
      <c r="C148" s="4" t="s">
        <v>36</v>
      </c>
      <c r="D148" s="4" t="s">
        <v>41</v>
      </c>
      <c r="E148" s="4" t="s">
        <v>25</v>
      </c>
      <c r="F148" s="4" t="s">
        <v>25</v>
      </c>
      <c r="G148" s="4" t="s">
        <v>25</v>
      </c>
      <c r="H148" s="4" t="s">
        <v>38</v>
      </c>
      <c r="I148" s="5">
        <v>44593</v>
      </c>
      <c r="J148" s="6">
        <v>0</v>
      </c>
      <c r="K148" s="61">
        <v>0</v>
      </c>
      <c r="L148" s="6">
        <v>20.693000000000001</v>
      </c>
      <c r="M148" s="61">
        <v>20.693000000000001</v>
      </c>
      <c r="N148" s="6">
        <v>20.693000000000001</v>
      </c>
      <c r="O148" s="61">
        <v>20.693000000000001</v>
      </c>
      <c r="P148" s="6">
        <v>0</v>
      </c>
      <c r="Q148" s="4" t="s">
        <v>26</v>
      </c>
      <c r="R148" s="4">
        <v>0</v>
      </c>
      <c r="S148" s="6">
        <v>0</v>
      </c>
      <c r="T148" s="6">
        <v>23</v>
      </c>
      <c r="U148" s="6">
        <v>51</v>
      </c>
      <c r="V148" s="61">
        <f>IF(ISERROR(VLOOKUP($S$148,'TAR FIN'!$A$1:$O$85,15,0)),0,VLOOKUP($S$148,'TAR FIN'!$A$1:$O$85,15,0))</f>
        <v>0</v>
      </c>
      <c r="W148" s="61">
        <f>IF(ISERROR(VLOOKUP($T$148,'TAR FIN'!$A$1:$O$85,15,0)),0,VLOOKUP($T$148,'TAR FIN'!$A$1:$O$85,15,0))*(1-0.04)</f>
        <v>63.571199999999997</v>
      </c>
      <c r="X148" s="61">
        <f>IF(ISERROR(VLOOKUP($U$148,'TAR FIN'!$A$1:$O$85,15,0)),0,VLOOKUP($U$148,'TAR FIN'!$A$1:$O$85,15,0))*(1-0.04)</f>
        <v>135.66719999999998</v>
      </c>
      <c r="Y148" s="61"/>
      <c r="Z148" s="61">
        <f ca="1">('TUSD BE'!$AM$12+'TUSD BF'!$AM$12+'TUSD CVA'!$AM$12)*1*(1-0.02)</f>
        <v>97.850794719339632</v>
      </c>
      <c r="AA148" s="61">
        <f>('TE BE'!$AB$6+'TE BF'!$AB$6+'TE CVA'!$AB$6)*1*(1-0.02)</f>
        <v>133.0901362797062</v>
      </c>
      <c r="AB148" s="6">
        <f>$K$148*$V$148</f>
        <v>0</v>
      </c>
      <c r="AC148" s="6">
        <f>$M$148*$W$148</f>
        <v>1315.4788416000001</v>
      </c>
      <c r="AD148" s="6">
        <f>$O$148*$X$148</f>
        <v>2807.3613695999998</v>
      </c>
      <c r="AE148" s="6">
        <f>$K$148*$Y$148</f>
        <v>0</v>
      </c>
      <c r="AF148" s="6">
        <f ca="1">$M$148*$Z$148</f>
        <v>2024.8264951272952</v>
      </c>
      <c r="AG148" s="6">
        <f>$O$148*$AA$148</f>
        <v>2754.0341900359608</v>
      </c>
    </row>
    <row r="149" spans="1:33" ht="11.25" customHeight="1" x14ac:dyDescent="0.25">
      <c r="A149" s="4" t="s">
        <v>28</v>
      </c>
      <c r="B149" s="4" t="s">
        <v>35</v>
      </c>
      <c r="C149" s="4" t="s">
        <v>36</v>
      </c>
      <c r="D149" s="4" t="s">
        <v>41</v>
      </c>
      <c r="E149" s="4" t="s">
        <v>25</v>
      </c>
      <c r="F149" s="4" t="s">
        <v>25</v>
      </c>
      <c r="G149" s="4" t="s">
        <v>25</v>
      </c>
      <c r="H149" s="4" t="s">
        <v>38</v>
      </c>
      <c r="I149" s="5">
        <v>44593</v>
      </c>
      <c r="J149" s="6">
        <v>0</v>
      </c>
      <c r="K149" s="61">
        <v>0</v>
      </c>
      <c r="L149" s="6">
        <v>32.728000000000002</v>
      </c>
      <c r="M149" s="61">
        <v>32.728000000000002</v>
      </c>
      <c r="N149" s="6">
        <v>32.728000000000002</v>
      </c>
      <c r="O149" s="61">
        <v>32.728000000000002</v>
      </c>
      <c r="P149" s="6">
        <v>0</v>
      </c>
      <c r="Q149" s="4" t="s">
        <v>26</v>
      </c>
      <c r="R149" s="4">
        <v>0</v>
      </c>
      <c r="S149" s="6">
        <v>0</v>
      </c>
      <c r="T149" s="6">
        <v>23</v>
      </c>
      <c r="U149" s="6">
        <v>51</v>
      </c>
      <c r="V149" s="61">
        <f>IF(ISERROR(VLOOKUP($S$149,'TAR FIN'!$A$1:$O$85,15,0)),0,VLOOKUP($S$149,'TAR FIN'!$A$1:$O$85,15,0))</f>
        <v>0</v>
      </c>
      <c r="W149" s="61">
        <f>IF(ISERROR(VLOOKUP($T$149,'TAR FIN'!$A$1:$O$85,15,0)),0,VLOOKUP($T$149,'TAR FIN'!$A$1:$O$85,15,0))*(1-0.04)</f>
        <v>63.571199999999997</v>
      </c>
      <c r="X149" s="61">
        <f>IF(ISERROR(VLOOKUP($U$149,'TAR FIN'!$A$1:$O$85,15,0)),0,VLOOKUP($U$149,'TAR FIN'!$A$1:$O$85,15,0))*(1-0.04)</f>
        <v>135.66719999999998</v>
      </c>
      <c r="Y149" s="61"/>
      <c r="Z149" s="61">
        <f ca="1">('TUSD BE'!$AM$12+'TUSD BF'!$AM$12+'TUSD CVA'!$AM$12)*1*(1-0.02)</f>
        <v>97.850794719339632</v>
      </c>
      <c r="AA149" s="61">
        <f>('TE BE'!$AB$6+'TE BF'!$AB$6+'TE CVA'!$AB$6)*1*(1-0.02)</f>
        <v>133.0901362797062</v>
      </c>
      <c r="AB149" s="6">
        <f>$K$149*$V$149</f>
        <v>0</v>
      </c>
      <c r="AC149" s="6">
        <f>$M$149*$W$149</f>
        <v>2080.5582336000002</v>
      </c>
      <c r="AD149" s="6">
        <f>$O$149*$X$149</f>
        <v>4440.1161215999991</v>
      </c>
      <c r="AE149" s="6">
        <f>$K$149*$Y$149</f>
        <v>0</v>
      </c>
      <c r="AF149" s="6">
        <f ca="1">$M$149*$Z$149</f>
        <v>3202.4608095745475</v>
      </c>
      <c r="AG149" s="6">
        <f>$O$149*$AA$149</f>
        <v>4355.7739801622247</v>
      </c>
    </row>
    <row r="150" spans="1:33" ht="11.25" customHeight="1" x14ac:dyDescent="0.25">
      <c r="A150" s="4" t="s">
        <v>21</v>
      </c>
      <c r="B150" s="4" t="s">
        <v>35</v>
      </c>
      <c r="C150" s="4" t="s">
        <v>36</v>
      </c>
      <c r="D150" s="4" t="s">
        <v>41</v>
      </c>
      <c r="E150" s="4" t="s">
        <v>25</v>
      </c>
      <c r="F150" s="4" t="s">
        <v>25</v>
      </c>
      <c r="G150" s="4" t="s">
        <v>25</v>
      </c>
      <c r="H150" s="4" t="s">
        <v>38</v>
      </c>
      <c r="I150" s="5">
        <v>44621</v>
      </c>
      <c r="J150" s="6">
        <v>0</v>
      </c>
      <c r="K150" s="61">
        <v>0</v>
      </c>
      <c r="L150" s="6">
        <v>18.538</v>
      </c>
      <c r="M150" s="61">
        <v>18.538</v>
      </c>
      <c r="N150" s="6">
        <v>18.538</v>
      </c>
      <c r="O150" s="61">
        <v>18.538</v>
      </c>
      <c r="P150" s="6">
        <v>0</v>
      </c>
      <c r="Q150" s="4" t="s">
        <v>26</v>
      </c>
      <c r="R150" s="4">
        <v>0</v>
      </c>
      <c r="S150" s="6">
        <v>0</v>
      </c>
      <c r="T150" s="6">
        <v>23</v>
      </c>
      <c r="U150" s="6">
        <v>51</v>
      </c>
      <c r="V150" s="61">
        <f>IF(ISERROR(VLOOKUP($S$150,'TAR FIN'!$A$1:$O$85,15,0)),0,VLOOKUP($S$150,'TAR FIN'!$A$1:$O$85,15,0))</f>
        <v>0</v>
      </c>
      <c r="W150" s="61">
        <f>IF(ISERROR(VLOOKUP($T$150,'TAR FIN'!$A$1:$O$85,15,0)),0,VLOOKUP($T$150,'TAR FIN'!$A$1:$O$85,15,0))*(1-0.04)</f>
        <v>63.571199999999997</v>
      </c>
      <c r="X150" s="61">
        <f>IF(ISERROR(VLOOKUP($U$150,'TAR FIN'!$A$1:$O$85,15,0)),0,VLOOKUP($U$150,'TAR FIN'!$A$1:$O$85,15,0))*(1-0.04)</f>
        <v>135.66719999999998</v>
      </c>
      <c r="Y150" s="61"/>
      <c r="Z150" s="61">
        <f ca="1">('TUSD BE'!$AM$12+'TUSD BF'!$AM$12+'TUSD CVA'!$AM$12)*1*(1-0.02)</f>
        <v>97.850794719339632</v>
      </c>
      <c r="AA150" s="61">
        <f>('TE BE'!$AB$6+'TE BF'!$AB$6+'TE CVA'!$AB$6)*1*(1-0.02)</f>
        <v>133.0901362797062</v>
      </c>
      <c r="AB150" s="6">
        <f>$K$150*$V$150</f>
        <v>0</v>
      </c>
      <c r="AC150" s="6">
        <f>$M$150*$W$150</f>
        <v>1178.4829055999999</v>
      </c>
      <c r="AD150" s="6">
        <f>$O$150*$X$150</f>
        <v>2514.9985535999995</v>
      </c>
      <c r="AE150" s="6">
        <f>$K$150*$Y$150</f>
        <v>0</v>
      </c>
      <c r="AF150" s="6">
        <f ca="1">$M$150*$Z$150</f>
        <v>1813.9580325071181</v>
      </c>
      <c r="AG150" s="6">
        <f>$O$150*$AA$150</f>
        <v>2467.2249463531934</v>
      </c>
    </row>
    <row r="151" spans="1:33" ht="11.25" customHeight="1" x14ac:dyDescent="0.25">
      <c r="A151" s="4" t="s">
        <v>28</v>
      </c>
      <c r="B151" s="4" t="s">
        <v>35</v>
      </c>
      <c r="C151" s="4" t="s">
        <v>36</v>
      </c>
      <c r="D151" s="4" t="s">
        <v>41</v>
      </c>
      <c r="E151" s="4" t="s">
        <v>25</v>
      </c>
      <c r="F151" s="4" t="s">
        <v>25</v>
      </c>
      <c r="G151" s="4" t="s">
        <v>25</v>
      </c>
      <c r="H151" s="4" t="s">
        <v>38</v>
      </c>
      <c r="I151" s="5">
        <v>44621</v>
      </c>
      <c r="J151" s="6">
        <v>0</v>
      </c>
      <c r="K151" s="61">
        <v>0</v>
      </c>
      <c r="L151" s="6">
        <v>47.869</v>
      </c>
      <c r="M151" s="61">
        <v>47.869</v>
      </c>
      <c r="N151" s="6">
        <v>47.869</v>
      </c>
      <c r="O151" s="61">
        <v>47.869</v>
      </c>
      <c r="P151" s="6">
        <v>0</v>
      </c>
      <c r="Q151" s="4" t="s">
        <v>26</v>
      </c>
      <c r="R151" s="4">
        <v>0</v>
      </c>
      <c r="S151" s="6">
        <v>0</v>
      </c>
      <c r="T151" s="6">
        <v>23</v>
      </c>
      <c r="U151" s="6">
        <v>51</v>
      </c>
      <c r="V151" s="61">
        <f>IF(ISERROR(VLOOKUP($S$151,'TAR FIN'!$A$1:$O$85,15,0)),0,VLOOKUP($S$151,'TAR FIN'!$A$1:$O$85,15,0))</f>
        <v>0</v>
      </c>
      <c r="W151" s="61">
        <f>IF(ISERROR(VLOOKUP($T$151,'TAR FIN'!$A$1:$O$85,15,0)),0,VLOOKUP($T$151,'TAR FIN'!$A$1:$O$85,15,0))*(1-0.04)</f>
        <v>63.571199999999997</v>
      </c>
      <c r="X151" s="61">
        <f>IF(ISERROR(VLOOKUP($U$151,'TAR FIN'!$A$1:$O$85,15,0)),0,VLOOKUP($U$151,'TAR FIN'!$A$1:$O$85,15,0))*(1-0.04)</f>
        <v>135.66719999999998</v>
      </c>
      <c r="Y151" s="61"/>
      <c r="Z151" s="61">
        <f ca="1">('TUSD BE'!$AM$12+'TUSD BF'!$AM$12+'TUSD CVA'!$AM$12)*1*(1-0.02)</f>
        <v>97.850794719339632</v>
      </c>
      <c r="AA151" s="61">
        <f>('TE BE'!$AB$6+'TE BF'!$AB$6+'TE CVA'!$AB$6)*1*(1-0.02)</f>
        <v>133.0901362797062</v>
      </c>
      <c r="AB151" s="6">
        <f>$K$151*$V$151</f>
        <v>0</v>
      </c>
      <c r="AC151" s="6">
        <f>$M$151*$W$151</f>
        <v>3043.0897728</v>
      </c>
      <c r="AD151" s="6">
        <f>$O$151*$X$151</f>
        <v>6494.2531967999994</v>
      </c>
      <c r="AE151" s="6">
        <f>$K$151*$Y$151</f>
        <v>0</v>
      </c>
      <c r="AF151" s="6">
        <f ca="1">$M$151*$Z$151</f>
        <v>4684.0196924200691</v>
      </c>
      <c r="AG151" s="6">
        <f>$O$151*$AA$151</f>
        <v>6370.8917335732558</v>
      </c>
    </row>
    <row r="152" spans="1:33" ht="11.25" customHeight="1" x14ac:dyDescent="0.25">
      <c r="A152" s="4" t="s">
        <v>21</v>
      </c>
      <c r="B152" s="4" t="s">
        <v>35</v>
      </c>
      <c r="C152" s="4" t="s">
        <v>36</v>
      </c>
      <c r="D152" s="4" t="s">
        <v>41</v>
      </c>
      <c r="E152" s="4" t="s">
        <v>25</v>
      </c>
      <c r="F152" s="4" t="s">
        <v>25</v>
      </c>
      <c r="G152" s="4" t="s">
        <v>25</v>
      </c>
      <c r="H152" s="4" t="s">
        <v>38</v>
      </c>
      <c r="I152" s="5">
        <v>44652</v>
      </c>
      <c r="J152" s="6">
        <v>0</v>
      </c>
      <c r="K152" s="61">
        <v>0</v>
      </c>
      <c r="L152" s="6">
        <v>13.742000000000001</v>
      </c>
      <c r="M152" s="61">
        <v>13.742000000000001</v>
      </c>
      <c r="N152" s="6">
        <v>13.742000000000001</v>
      </c>
      <c r="O152" s="61">
        <v>13.742000000000001</v>
      </c>
      <c r="P152" s="6">
        <v>0</v>
      </c>
      <c r="Q152" s="4" t="s">
        <v>26</v>
      </c>
      <c r="R152" s="4">
        <v>0</v>
      </c>
      <c r="S152" s="6">
        <v>0</v>
      </c>
      <c r="T152" s="6">
        <v>23</v>
      </c>
      <c r="U152" s="6">
        <v>51</v>
      </c>
      <c r="V152" s="61">
        <f>IF(ISERROR(VLOOKUP($S$152,'TAR FIN'!$A$1:$O$85,15,0)),0,VLOOKUP($S$152,'TAR FIN'!$A$1:$O$85,15,0))</f>
        <v>0</v>
      </c>
      <c r="W152" s="61">
        <f>IF(ISERROR(VLOOKUP($T$152,'TAR FIN'!$A$1:$O$85,15,0)),0,VLOOKUP($T$152,'TAR FIN'!$A$1:$O$85,15,0))*(1-0.04)</f>
        <v>63.571199999999997</v>
      </c>
      <c r="X152" s="61">
        <f>IF(ISERROR(VLOOKUP($U$152,'TAR FIN'!$A$1:$O$85,15,0)),0,VLOOKUP($U$152,'TAR FIN'!$A$1:$O$85,15,0))*(1-0.04)</f>
        <v>135.66719999999998</v>
      </c>
      <c r="Y152" s="61"/>
      <c r="Z152" s="61">
        <f ca="1">('TUSD BE'!$AM$12+'TUSD BF'!$AM$12+'TUSD CVA'!$AM$12)*1*(1-0.02)</f>
        <v>97.850794719339632</v>
      </c>
      <c r="AA152" s="61">
        <f>('TE BE'!$AB$6+'TE BF'!$AB$6+'TE CVA'!$AB$6)*1*(1-0.02)</f>
        <v>133.0901362797062</v>
      </c>
      <c r="AB152" s="6">
        <f>$K$152*$V$152</f>
        <v>0</v>
      </c>
      <c r="AC152" s="6">
        <f>$M$152*$W$152</f>
        <v>873.59543040000005</v>
      </c>
      <c r="AD152" s="6">
        <f>$O$152*$X$152</f>
        <v>1864.3386623999997</v>
      </c>
      <c r="AE152" s="6">
        <f>$K$152*$Y$152</f>
        <v>0</v>
      </c>
      <c r="AF152" s="6">
        <f ca="1">$M$152*$Z$152</f>
        <v>1344.6656210331653</v>
      </c>
      <c r="AG152" s="6">
        <f>$O$152*$AA$152</f>
        <v>1828.9246527557227</v>
      </c>
    </row>
    <row r="153" spans="1:33" ht="11.25" customHeight="1" x14ac:dyDescent="0.25">
      <c r="A153" s="4" t="s">
        <v>28</v>
      </c>
      <c r="B153" s="4" t="s">
        <v>35</v>
      </c>
      <c r="C153" s="4" t="s">
        <v>36</v>
      </c>
      <c r="D153" s="4" t="s">
        <v>41</v>
      </c>
      <c r="E153" s="4" t="s">
        <v>25</v>
      </c>
      <c r="F153" s="4" t="s">
        <v>25</v>
      </c>
      <c r="G153" s="4" t="s">
        <v>25</v>
      </c>
      <c r="H153" s="4" t="s">
        <v>38</v>
      </c>
      <c r="I153" s="5">
        <v>44652</v>
      </c>
      <c r="J153" s="6">
        <v>0</v>
      </c>
      <c r="K153" s="61">
        <v>0</v>
      </c>
      <c r="L153" s="6">
        <v>43.215000000000003</v>
      </c>
      <c r="M153" s="61">
        <v>43.215000000000003</v>
      </c>
      <c r="N153" s="6">
        <v>43.215000000000003</v>
      </c>
      <c r="O153" s="61">
        <v>43.215000000000003</v>
      </c>
      <c r="P153" s="6">
        <v>0</v>
      </c>
      <c r="Q153" s="4" t="s">
        <v>26</v>
      </c>
      <c r="R153" s="4">
        <v>0</v>
      </c>
      <c r="S153" s="6">
        <v>0</v>
      </c>
      <c r="T153" s="6">
        <v>23</v>
      </c>
      <c r="U153" s="6">
        <v>51</v>
      </c>
      <c r="V153" s="61">
        <f>IF(ISERROR(VLOOKUP($S$153,'TAR FIN'!$A$1:$O$85,15,0)),0,VLOOKUP($S$153,'TAR FIN'!$A$1:$O$85,15,0))</f>
        <v>0</v>
      </c>
      <c r="W153" s="61">
        <f>IF(ISERROR(VLOOKUP($T$153,'TAR FIN'!$A$1:$O$85,15,0)),0,VLOOKUP($T$153,'TAR FIN'!$A$1:$O$85,15,0))*(1-0.04)</f>
        <v>63.571199999999997</v>
      </c>
      <c r="X153" s="61">
        <f>IF(ISERROR(VLOOKUP($U$153,'TAR FIN'!$A$1:$O$85,15,0)),0,VLOOKUP($U$153,'TAR FIN'!$A$1:$O$85,15,0))*(1-0.04)</f>
        <v>135.66719999999998</v>
      </c>
      <c r="Y153" s="61"/>
      <c r="Z153" s="61">
        <f ca="1">('TUSD BE'!$AM$12+'TUSD BF'!$AM$12+'TUSD CVA'!$AM$12)*1*(1-0.02)</f>
        <v>97.850794719339632</v>
      </c>
      <c r="AA153" s="61">
        <f>('TE BE'!$AB$6+'TE BF'!$AB$6+'TE CVA'!$AB$6)*1*(1-0.02)</f>
        <v>133.0901362797062</v>
      </c>
      <c r="AB153" s="6">
        <f>$K$153*$V$153</f>
        <v>0</v>
      </c>
      <c r="AC153" s="6">
        <f>$M$153*$W$153</f>
        <v>2747.2294080000001</v>
      </c>
      <c r="AD153" s="6">
        <f>$O$153*$X$153</f>
        <v>5862.8580479999991</v>
      </c>
      <c r="AE153" s="6">
        <f>$K$153*$Y$153</f>
        <v>0</v>
      </c>
      <c r="AF153" s="6">
        <f ca="1">$M$153*$Z$153</f>
        <v>4228.6220937962626</v>
      </c>
      <c r="AG153" s="6">
        <f>$O$153*$AA$153</f>
        <v>5751.4902393275042</v>
      </c>
    </row>
    <row r="154" spans="1:33" ht="11.25" customHeight="1" x14ac:dyDescent="0.25">
      <c r="A154" s="4" t="s">
        <v>21</v>
      </c>
      <c r="B154" s="4" t="s">
        <v>35</v>
      </c>
      <c r="C154" s="4" t="s">
        <v>36</v>
      </c>
      <c r="D154" s="4" t="s">
        <v>41</v>
      </c>
      <c r="E154" s="4" t="s">
        <v>25</v>
      </c>
      <c r="F154" s="4" t="s">
        <v>25</v>
      </c>
      <c r="G154" s="4" t="s">
        <v>25</v>
      </c>
      <c r="H154" s="4" t="s">
        <v>38</v>
      </c>
      <c r="I154" s="5">
        <v>44682</v>
      </c>
      <c r="J154" s="6">
        <v>0</v>
      </c>
      <c r="K154" s="61">
        <v>0</v>
      </c>
      <c r="L154" s="6">
        <v>21.577000000000002</v>
      </c>
      <c r="M154" s="61">
        <v>21.577000000000002</v>
      </c>
      <c r="N154" s="6">
        <v>21.577000000000002</v>
      </c>
      <c r="O154" s="61">
        <v>21.577000000000002</v>
      </c>
      <c r="P154" s="6">
        <v>0</v>
      </c>
      <c r="Q154" s="4" t="s">
        <v>26</v>
      </c>
      <c r="R154" s="4">
        <v>0</v>
      </c>
      <c r="S154" s="6">
        <v>0</v>
      </c>
      <c r="T154" s="6">
        <v>23</v>
      </c>
      <c r="U154" s="6">
        <v>51</v>
      </c>
      <c r="V154" s="61">
        <f>IF(ISERROR(VLOOKUP($S$154,'TAR FIN'!$A$1:$O$85,15,0)),0,VLOOKUP($S$154,'TAR FIN'!$A$1:$O$85,15,0))</f>
        <v>0</v>
      </c>
      <c r="W154" s="61">
        <f>IF(ISERROR(VLOOKUP($T$154,'TAR FIN'!$A$1:$O$85,15,0)),0,VLOOKUP($T$154,'TAR FIN'!$A$1:$O$85,15,0))*(1-0.04)</f>
        <v>63.571199999999997</v>
      </c>
      <c r="X154" s="61">
        <f>IF(ISERROR(VLOOKUP($U$154,'TAR FIN'!$A$1:$O$85,15,0)),0,VLOOKUP($U$154,'TAR FIN'!$A$1:$O$85,15,0))*(1-0.04)</f>
        <v>135.66719999999998</v>
      </c>
      <c r="Y154" s="61"/>
      <c r="Z154" s="61">
        <f ca="1">('TUSD BE'!$AM$12+'TUSD BF'!$AM$12+'TUSD CVA'!$AM$12)*1*(1-0.02)</f>
        <v>97.850794719339632</v>
      </c>
      <c r="AA154" s="61">
        <f>('TE BE'!$AB$6+'TE BF'!$AB$6+'TE CVA'!$AB$6)*1*(1-0.02)</f>
        <v>133.0901362797062</v>
      </c>
      <c r="AB154" s="6">
        <f>$K$154*$V$154</f>
        <v>0</v>
      </c>
      <c r="AC154" s="6">
        <f>$M$154*$W$154</f>
        <v>1371.6757824000001</v>
      </c>
      <c r="AD154" s="6">
        <f>$O$154*$X$154</f>
        <v>2927.2911743999998</v>
      </c>
      <c r="AE154" s="6">
        <f>$K$154*$Y$154</f>
        <v>0</v>
      </c>
      <c r="AF154" s="6">
        <f ca="1">$M$154*$Z$154</f>
        <v>2111.3265976591915</v>
      </c>
      <c r="AG154" s="6">
        <f>$O$154*$AA$154</f>
        <v>2871.6858705072209</v>
      </c>
    </row>
    <row r="155" spans="1:33" ht="11.25" customHeight="1" x14ac:dyDescent="0.25">
      <c r="A155" s="4" t="s">
        <v>28</v>
      </c>
      <c r="B155" s="4" t="s">
        <v>35</v>
      </c>
      <c r="C155" s="4" t="s">
        <v>36</v>
      </c>
      <c r="D155" s="4" t="s">
        <v>41</v>
      </c>
      <c r="E155" s="4" t="s">
        <v>25</v>
      </c>
      <c r="F155" s="4" t="s">
        <v>25</v>
      </c>
      <c r="G155" s="4" t="s">
        <v>25</v>
      </c>
      <c r="H155" s="4" t="s">
        <v>38</v>
      </c>
      <c r="I155" s="5">
        <v>44682</v>
      </c>
      <c r="J155" s="6">
        <v>0</v>
      </c>
      <c r="K155" s="61">
        <v>0</v>
      </c>
      <c r="L155" s="6">
        <v>23.762</v>
      </c>
      <c r="M155" s="61">
        <v>23.762</v>
      </c>
      <c r="N155" s="6">
        <v>23.762</v>
      </c>
      <c r="O155" s="61">
        <v>23.762</v>
      </c>
      <c r="P155" s="6">
        <v>0</v>
      </c>
      <c r="Q155" s="4" t="s">
        <v>26</v>
      </c>
      <c r="R155" s="4">
        <v>0</v>
      </c>
      <c r="S155" s="6">
        <v>0</v>
      </c>
      <c r="T155" s="6">
        <v>23</v>
      </c>
      <c r="U155" s="6">
        <v>51</v>
      </c>
      <c r="V155" s="61">
        <f>IF(ISERROR(VLOOKUP($S$155,'TAR FIN'!$A$1:$O$85,15,0)),0,VLOOKUP($S$155,'TAR FIN'!$A$1:$O$85,15,0))</f>
        <v>0</v>
      </c>
      <c r="W155" s="61">
        <f>IF(ISERROR(VLOOKUP($T$155,'TAR FIN'!$A$1:$O$85,15,0)),0,VLOOKUP($T$155,'TAR FIN'!$A$1:$O$85,15,0))*(1-0.04)</f>
        <v>63.571199999999997</v>
      </c>
      <c r="X155" s="61">
        <f>IF(ISERROR(VLOOKUP($U$155,'TAR FIN'!$A$1:$O$85,15,0)),0,VLOOKUP($U$155,'TAR FIN'!$A$1:$O$85,15,0))*(1-0.04)</f>
        <v>135.66719999999998</v>
      </c>
      <c r="Y155" s="61"/>
      <c r="Z155" s="61">
        <f ca="1">('TUSD BE'!$AM$12+'TUSD BF'!$AM$12+'TUSD CVA'!$AM$12)*1*(1-0.02)</f>
        <v>97.850794719339632</v>
      </c>
      <c r="AA155" s="61">
        <f>('TE BE'!$AB$6+'TE BF'!$AB$6+'TE CVA'!$AB$6)*1*(1-0.02)</f>
        <v>133.0901362797062</v>
      </c>
      <c r="AB155" s="6">
        <f>$K$155*$V$155</f>
        <v>0</v>
      </c>
      <c r="AC155" s="6">
        <f>$M$155*$W$155</f>
        <v>1510.5788544</v>
      </c>
      <c r="AD155" s="6">
        <f>$O$155*$X$155</f>
        <v>3223.7240063999998</v>
      </c>
      <c r="AE155" s="6">
        <f>$K$155*$Y$155</f>
        <v>0</v>
      </c>
      <c r="AF155" s="6">
        <f ca="1">$M$155*$Z$155</f>
        <v>2325.1305841209482</v>
      </c>
      <c r="AG155" s="6">
        <f>$O$155*$AA$155</f>
        <v>3162.4878182783787</v>
      </c>
    </row>
    <row r="156" spans="1:33" ht="11.25" customHeight="1" x14ac:dyDescent="0.25">
      <c r="A156" s="4" t="s">
        <v>21</v>
      </c>
      <c r="B156" s="4" t="s">
        <v>35</v>
      </c>
      <c r="C156" s="4" t="s">
        <v>36</v>
      </c>
      <c r="D156" s="4" t="s">
        <v>41</v>
      </c>
      <c r="E156" s="4" t="s">
        <v>25</v>
      </c>
      <c r="F156" s="4" t="s">
        <v>25</v>
      </c>
      <c r="G156" s="4" t="s">
        <v>25</v>
      </c>
      <c r="H156" s="4" t="s">
        <v>38</v>
      </c>
      <c r="I156" s="5">
        <v>44713</v>
      </c>
      <c r="J156" s="6">
        <v>0</v>
      </c>
      <c r="K156" s="61">
        <v>0</v>
      </c>
      <c r="L156" s="6">
        <v>2.1389999999999998</v>
      </c>
      <c r="M156" s="61">
        <v>2.1389999999999998</v>
      </c>
      <c r="N156" s="6">
        <v>2.1389999999999998</v>
      </c>
      <c r="O156" s="61">
        <v>2.1389999999999998</v>
      </c>
      <c r="P156" s="6">
        <v>0</v>
      </c>
      <c r="Q156" s="4" t="s">
        <v>26</v>
      </c>
      <c r="R156" s="4">
        <v>0</v>
      </c>
      <c r="S156" s="6">
        <v>0</v>
      </c>
      <c r="T156" s="6">
        <v>23</v>
      </c>
      <c r="U156" s="6">
        <v>51</v>
      </c>
      <c r="V156" s="61">
        <f>IF(ISERROR(VLOOKUP($S$156,'TAR FIN'!$A$1:$O$85,15,0)),0,VLOOKUP($S$156,'TAR FIN'!$A$1:$O$85,15,0))</f>
        <v>0</v>
      </c>
      <c r="W156" s="61">
        <f>IF(ISERROR(VLOOKUP($T$156,'TAR FIN'!$A$1:$O$85,15,0)),0,VLOOKUP($T$156,'TAR FIN'!$A$1:$O$85,15,0))*(1-0.04)</f>
        <v>63.571199999999997</v>
      </c>
      <c r="X156" s="61">
        <f>IF(ISERROR(VLOOKUP($U$156,'TAR FIN'!$A$1:$O$85,15,0)),0,VLOOKUP($U$156,'TAR FIN'!$A$1:$O$85,15,0))*(1-0.04)</f>
        <v>135.66719999999998</v>
      </c>
      <c r="Y156" s="61"/>
      <c r="Z156" s="61">
        <f ca="1">('TUSD BE'!$AM$12+'TUSD BF'!$AM$12+'TUSD CVA'!$AM$12)*1*(1-0.02)</f>
        <v>97.850794719339632</v>
      </c>
      <c r="AA156" s="61">
        <f>('TE BE'!$AB$6+'TE BF'!$AB$6+'TE CVA'!$AB$6)*1*(1-0.02)</f>
        <v>133.0901362797062</v>
      </c>
      <c r="AB156" s="6">
        <f>$K$156*$V$156</f>
        <v>0</v>
      </c>
      <c r="AC156" s="6">
        <f>$M$156*$W$156</f>
        <v>135.97879679999997</v>
      </c>
      <c r="AD156" s="6">
        <f>$O$156*$X$156</f>
        <v>290.19214079999995</v>
      </c>
      <c r="AE156" s="6">
        <f>$K$156*$Y$156</f>
        <v>0</v>
      </c>
      <c r="AF156" s="6">
        <f ca="1">$M$156*$Z$156</f>
        <v>209.30284990466745</v>
      </c>
      <c r="AG156" s="6">
        <f>$O$156*$AA$156</f>
        <v>284.67980150229153</v>
      </c>
    </row>
    <row r="157" spans="1:33" ht="11.25" customHeight="1" x14ac:dyDescent="0.25">
      <c r="A157" s="4" t="s">
        <v>28</v>
      </c>
      <c r="B157" s="4" t="s">
        <v>35</v>
      </c>
      <c r="C157" s="4" t="s">
        <v>36</v>
      </c>
      <c r="D157" s="4" t="s">
        <v>41</v>
      </c>
      <c r="E157" s="4" t="s">
        <v>25</v>
      </c>
      <c r="F157" s="4" t="s">
        <v>25</v>
      </c>
      <c r="G157" s="4" t="s">
        <v>25</v>
      </c>
      <c r="H157" s="4" t="s">
        <v>38</v>
      </c>
      <c r="I157" s="5">
        <v>44713</v>
      </c>
      <c r="J157" s="6">
        <v>0</v>
      </c>
      <c r="K157" s="61">
        <v>0</v>
      </c>
      <c r="L157" s="6">
        <v>35.104999999999997</v>
      </c>
      <c r="M157" s="61">
        <v>35.104999999999997</v>
      </c>
      <c r="N157" s="6">
        <v>35.104999999999997</v>
      </c>
      <c r="O157" s="61">
        <v>35.104999999999997</v>
      </c>
      <c r="P157" s="6">
        <v>0</v>
      </c>
      <c r="Q157" s="4" t="s">
        <v>26</v>
      </c>
      <c r="R157" s="4">
        <v>0</v>
      </c>
      <c r="S157" s="6">
        <v>0</v>
      </c>
      <c r="T157" s="6">
        <v>23</v>
      </c>
      <c r="U157" s="6">
        <v>51</v>
      </c>
      <c r="V157" s="61">
        <f>IF(ISERROR(VLOOKUP($S$157,'TAR FIN'!$A$1:$O$85,15,0)),0,VLOOKUP($S$157,'TAR FIN'!$A$1:$O$85,15,0))</f>
        <v>0</v>
      </c>
      <c r="W157" s="61">
        <f>IF(ISERROR(VLOOKUP($T$157,'TAR FIN'!$A$1:$O$85,15,0)),0,VLOOKUP($T$157,'TAR FIN'!$A$1:$O$85,15,0))*(1-0.04)</f>
        <v>63.571199999999997</v>
      </c>
      <c r="X157" s="61">
        <f>IF(ISERROR(VLOOKUP($U$157,'TAR FIN'!$A$1:$O$85,15,0)),0,VLOOKUP($U$157,'TAR FIN'!$A$1:$O$85,15,0))*(1-0.04)</f>
        <v>135.66719999999998</v>
      </c>
      <c r="Y157" s="61"/>
      <c r="Z157" s="61">
        <f ca="1">('TUSD BE'!$AM$12+'TUSD BF'!$AM$12+'TUSD CVA'!$AM$12)*1*(1-0.02)</f>
        <v>97.850794719339632</v>
      </c>
      <c r="AA157" s="61">
        <f>('TE BE'!$AB$6+'TE BF'!$AB$6+'TE CVA'!$AB$6)*1*(1-0.02)</f>
        <v>133.0901362797062</v>
      </c>
      <c r="AB157" s="6">
        <f>$K$157*$V$157</f>
        <v>0</v>
      </c>
      <c r="AC157" s="6">
        <f>$M$157*$W$157</f>
        <v>2231.6669759999995</v>
      </c>
      <c r="AD157" s="6">
        <f>$O$157*$X$157</f>
        <v>4762.5970559999987</v>
      </c>
      <c r="AE157" s="6">
        <f>$K$157*$Y$157</f>
        <v>0</v>
      </c>
      <c r="AF157" s="6">
        <f ca="1">$M$157*$Z$157</f>
        <v>3435.0521486224175</v>
      </c>
      <c r="AG157" s="6">
        <f>$O$157*$AA$157</f>
        <v>4672.1292340990858</v>
      </c>
    </row>
    <row r="158" spans="1:33" ht="11.25" customHeight="1" x14ac:dyDescent="0.25">
      <c r="A158" s="4" t="s">
        <v>21</v>
      </c>
      <c r="B158" s="4" t="s">
        <v>35</v>
      </c>
      <c r="C158" s="4" t="s">
        <v>36</v>
      </c>
      <c r="D158" s="4" t="s">
        <v>41</v>
      </c>
      <c r="E158" s="4" t="s">
        <v>25</v>
      </c>
      <c r="F158" s="4" t="s">
        <v>25</v>
      </c>
      <c r="G158" s="4" t="s">
        <v>25</v>
      </c>
      <c r="H158" s="4" t="s">
        <v>38</v>
      </c>
      <c r="I158" s="5">
        <v>44743</v>
      </c>
      <c r="J158" s="6">
        <v>0</v>
      </c>
      <c r="K158" s="61">
        <v>0</v>
      </c>
      <c r="L158" s="6">
        <v>0.872</v>
      </c>
      <c r="M158" s="61">
        <v>0.872</v>
      </c>
      <c r="N158" s="6">
        <v>0.872</v>
      </c>
      <c r="O158" s="61">
        <v>0.872</v>
      </c>
      <c r="P158" s="6">
        <v>0</v>
      </c>
      <c r="Q158" s="4" t="s">
        <v>26</v>
      </c>
      <c r="R158" s="4">
        <v>0</v>
      </c>
      <c r="S158" s="6">
        <v>0</v>
      </c>
      <c r="T158" s="6">
        <v>23</v>
      </c>
      <c r="U158" s="6">
        <v>51</v>
      </c>
      <c r="V158" s="61">
        <f>IF(ISERROR(VLOOKUP($S$158,'TAR FIN'!$A$1:$O$85,15,0)),0,VLOOKUP($S$158,'TAR FIN'!$A$1:$O$85,15,0))</f>
        <v>0</v>
      </c>
      <c r="W158" s="61">
        <f>IF(ISERROR(VLOOKUP($T$158,'TAR FIN'!$A$1:$O$85,15,0)),0,VLOOKUP($T$158,'TAR FIN'!$A$1:$O$85,15,0))*(1-0.04)</f>
        <v>63.571199999999997</v>
      </c>
      <c r="X158" s="61">
        <f>IF(ISERROR(VLOOKUP($U$158,'TAR FIN'!$A$1:$O$85,15,0)),0,VLOOKUP($U$158,'TAR FIN'!$A$1:$O$85,15,0))*(1-0.04)</f>
        <v>135.66719999999998</v>
      </c>
      <c r="Y158" s="61"/>
      <c r="Z158" s="61">
        <f ca="1">('TUSD BE'!$AM$12+'TUSD BF'!$AM$12+'TUSD CVA'!$AM$12)*1*(1-0.02)</f>
        <v>97.850794719339632</v>
      </c>
      <c r="AA158" s="61">
        <f>('TE BE'!$AB$6+'TE BF'!$AB$6+'TE CVA'!$AB$6)*1*(1-0.02)</f>
        <v>133.0901362797062</v>
      </c>
      <c r="AB158" s="6">
        <f>$K$158*$V$158</f>
        <v>0</v>
      </c>
      <c r="AC158" s="6">
        <f>$M$158*$W$158</f>
        <v>55.434086399999998</v>
      </c>
      <c r="AD158" s="6">
        <f>$O$158*$X$158</f>
        <v>118.30179839999998</v>
      </c>
      <c r="AE158" s="6">
        <f>$K$158*$Y$158</f>
        <v>0</v>
      </c>
      <c r="AF158" s="6">
        <f ca="1">$M$158*$Z$158</f>
        <v>85.325892995264155</v>
      </c>
      <c r="AG158" s="6">
        <f>$O$158*$AA$158</f>
        <v>116.0545988359038</v>
      </c>
    </row>
    <row r="159" spans="1:33" ht="11.25" customHeight="1" x14ac:dyDescent="0.25">
      <c r="A159" s="4" t="s">
        <v>21</v>
      </c>
      <c r="B159" s="4" t="s">
        <v>35</v>
      </c>
      <c r="C159" s="4" t="s">
        <v>36</v>
      </c>
      <c r="D159" s="4" t="s">
        <v>41</v>
      </c>
      <c r="E159" s="4" t="s">
        <v>25</v>
      </c>
      <c r="F159" s="4" t="s">
        <v>25</v>
      </c>
      <c r="G159" s="4" t="s">
        <v>25</v>
      </c>
      <c r="H159" s="4" t="s">
        <v>38</v>
      </c>
      <c r="I159" s="5">
        <v>44774</v>
      </c>
      <c r="J159" s="6">
        <v>0</v>
      </c>
      <c r="K159" s="61">
        <v>0</v>
      </c>
      <c r="L159" s="6">
        <v>15.085000000000001</v>
      </c>
      <c r="M159" s="61">
        <v>15.085000000000001</v>
      </c>
      <c r="N159" s="6">
        <v>15.085000000000001</v>
      </c>
      <c r="O159" s="61">
        <v>15.085000000000001</v>
      </c>
      <c r="P159" s="6">
        <v>0</v>
      </c>
      <c r="Q159" s="4" t="s">
        <v>26</v>
      </c>
      <c r="R159" s="4">
        <v>0</v>
      </c>
      <c r="S159" s="6">
        <v>0</v>
      </c>
      <c r="T159" s="6">
        <v>23</v>
      </c>
      <c r="U159" s="6">
        <v>51</v>
      </c>
      <c r="V159" s="61">
        <f>IF(ISERROR(VLOOKUP($S$159,'TAR FIN'!$A$1:$O$85,15,0)),0,VLOOKUP($S$159,'TAR FIN'!$A$1:$O$85,15,0))</f>
        <v>0</v>
      </c>
      <c r="W159" s="61">
        <f>IF(ISERROR(VLOOKUP($T$159,'TAR FIN'!$A$1:$O$85,15,0)),0,VLOOKUP($T$159,'TAR FIN'!$A$1:$O$85,15,0))*(1-0.04)</f>
        <v>63.571199999999997</v>
      </c>
      <c r="X159" s="61">
        <f>IF(ISERROR(VLOOKUP($U$159,'TAR FIN'!$A$1:$O$85,15,0)),0,VLOOKUP($U$159,'TAR FIN'!$A$1:$O$85,15,0))*(1-0.04)</f>
        <v>135.66719999999998</v>
      </c>
      <c r="Y159" s="61"/>
      <c r="Z159" s="61">
        <f ca="1">('TUSD BE'!$AM$12+'TUSD BF'!$AM$12+'TUSD CVA'!$AM$12)*1*(1-0.02)</f>
        <v>97.850794719339632</v>
      </c>
      <c r="AA159" s="61">
        <f>('TE BE'!$AB$6+'TE BF'!$AB$6+'TE CVA'!$AB$6)*1*(1-0.02)</f>
        <v>133.0901362797062</v>
      </c>
      <c r="AB159" s="6">
        <f>$K$159*$V$159</f>
        <v>0</v>
      </c>
      <c r="AC159" s="6">
        <f>$M$159*$W$159</f>
        <v>958.97155199999997</v>
      </c>
      <c r="AD159" s="6">
        <f>$O$159*$X$159</f>
        <v>2046.5397119999998</v>
      </c>
      <c r="AE159" s="6">
        <f>$K$159*$Y$159</f>
        <v>0</v>
      </c>
      <c r="AF159" s="6">
        <f ca="1">$M$159*$Z$159</f>
        <v>1476.0792383412384</v>
      </c>
      <c r="AG159" s="6">
        <f>$O$159*$AA$159</f>
        <v>2007.6647057793682</v>
      </c>
    </row>
    <row r="160" spans="1:33" ht="11.25" customHeight="1" x14ac:dyDescent="0.25">
      <c r="A160" s="4" t="s">
        <v>28</v>
      </c>
      <c r="B160" s="4" t="s">
        <v>35</v>
      </c>
      <c r="C160" s="4" t="s">
        <v>36</v>
      </c>
      <c r="D160" s="4" t="s">
        <v>41</v>
      </c>
      <c r="E160" s="4" t="s">
        <v>25</v>
      </c>
      <c r="F160" s="4" t="s">
        <v>25</v>
      </c>
      <c r="G160" s="4" t="s">
        <v>25</v>
      </c>
      <c r="H160" s="4" t="s">
        <v>38</v>
      </c>
      <c r="I160" s="5">
        <v>44774</v>
      </c>
      <c r="J160" s="6">
        <v>0</v>
      </c>
      <c r="K160" s="61">
        <v>0</v>
      </c>
      <c r="L160" s="6">
        <v>56.241</v>
      </c>
      <c r="M160" s="61">
        <v>56.241</v>
      </c>
      <c r="N160" s="6">
        <v>56.241</v>
      </c>
      <c r="O160" s="61">
        <v>56.241</v>
      </c>
      <c r="P160" s="6">
        <v>0</v>
      </c>
      <c r="Q160" s="4" t="s">
        <v>26</v>
      </c>
      <c r="R160" s="4">
        <v>0</v>
      </c>
      <c r="S160" s="6">
        <v>0</v>
      </c>
      <c r="T160" s="6">
        <v>23</v>
      </c>
      <c r="U160" s="6">
        <v>51</v>
      </c>
      <c r="V160" s="61">
        <f>IF(ISERROR(VLOOKUP($S$160,'TAR FIN'!$A$1:$O$85,15,0)),0,VLOOKUP($S$160,'TAR FIN'!$A$1:$O$85,15,0))</f>
        <v>0</v>
      </c>
      <c r="W160" s="61">
        <f>IF(ISERROR(VLOOKUP($T$160,'TAR FIN'!$A$1:$O$85,15,0)),0,VLOOKUP($T$160,'TAR FIN'!$A$1:$O$85,15,0))*(1-0.04)</f>
        <v>63.571199999999997</v>
      </c>
      <c r="X160" s="61">
        <f>IF(ISERROR(VLOOKUP($U$160,'TAR FIN'!$A$1:$O$85,15,0)),0,VLOOKUP($U$160,'TAR FIN'!$A$1:$O$85,15,0))*(1-0.04)</f>
        <v>135.66719999999998</v>
      </c>
      <c r="Y160" s="61"/>
      <c r="Z160" s="61">
        <f ca="1">('TUSD BE'!$AM$12+'TUSD BF'!$AM$12+'TUSD CVA'!$AM$12)*1*(1-0.02)</f>
        <v>97.850794719339632</v>
      </c>
      <c r="AA160" s="61">
        <f>('TE BE'!$AB$6+'TE BF'!$AB$6+'TE CVA'!$AB$6)*1*(1-0.02)</f>
        <v>133.0901362797062</v>
      </c>
      <c r="AB160" s="6">
        <f>$K$160*$V$160</f>
        <v>0</v>
      </c>
      <c r="AC160" s="6">
        <f>$M$160*$W$160</f>
        <v>3575.3078591999997</v>
      </c>
      <c r="AD160" s="6">
        <f>$O$160*$X$160</f>
        <v>7630.0589951999991</v>
      </c>
      <c r="AE160" s="6">
        <f>$K$160*$Y$160</f>
        <v>0</v>
      </c>
      <c r="AF160" s="6">
        <f ca="1">$M$160*$Z$160</f>
        <v>5503.2265458103802</v>
      </c>
      <c r="AG160" s="6">
        <f>$O$160*$AA$160</f>
        <v>7485.1223545069561</v>
      </c>
    </row>
    <row r="161" spans="1:33" ht="11.25" customHeight="1" x14ac:dyDescent="0.25">
      <c r="A161" s="4" t="s">
        <v>21</v>
      </c>
      <c r="B161" s="4" t="s">
        <v>35</v>
      </c>
      <c r="C161" s="4" t="s">
        <v>36</v>
      </c>
      <c r="D161" s="4" t="s">
        <v>41</v>
      </c>
      <c r="E161" s="4" t="s">
        <v>25</v>
      </c>
      <c r="F161" s="4" t="s">
        <v>25</v>
      </c>
      <c r="G161" s="4" t="s">
        <v>25</v>
      </c>
      <c r="H161" s="4" t="s">
        <v>25</v>
      </c>
      <c r="I161" s="5">
        <v>44440</v>
      </c>
      <c r="J161" s="6">
        <v>90</v>
      </c>
      <c r="K161" s="61">
        <v>90</v>
      </c>
      <c r="L161" s="6">
        <v>0</v>
      </c>
      <c r="M161" s="61">
        <v>0</v>
      </c>
      <c r="N161" s="6">
        <v>0</v>
      </c>
      <c r="O161" s="61">
        <v>0</v>
      </c>
      <c r="P161" s="6">
        <v>1</v>
      </c>
      <c r="Q161" s="4" t="s">
        <v>26</v>
      </c>
      <c r="R161" s="4">
        <v>0</v>
      </c>
      <c r="S161" s="6">
        <v>16</v>
      </c>
      <c r="T161" s="6">
        <v>0</v>
      </c>
      <c r="U161" s="6">
        <v>0</v>
      </c>
      <c r="V161" s="61">
        <f>IF(ISERROR(VLOOKUP($S$161,'TAR FIN'!$A$1:$O$85,15,0)),0,VLOOKUP($S$161,'TAR FIN'!$A$1:$O$85,15,0))*(1-0.04)</f>
        <v>24.633599999999998</v>
      </c>
      <c r="W161" s="61">
        <f>IF(ISERROR(VLOOKUP($T$161,'TAR FIN'!$A$1:$O$85,15,0)),0,VLOOKUP($T$161,'TAR FIN'!$A$1:$O$85,15,0))</f>
        <v>0</v>
      </c>
      <c r="X161" s="61">
        <f>IF(ISERROR(VLOOKUP($U$161,'TAR FIN'!$A$1:$O$85,15,0)),0,VLOOKUP($U$161,'TAR FIN'!$A$1:$O$85,15,0))</f>
        <v>0</v>
      </c>
      <c r="Y161" s="61">
        <f ca="1">('TUSD BE'!$AM$10+'TUSD BF'!$AM$10+'TUSD CVA'!$AM$10)*1*(1-0.02)</f>
        <v>24.68581629644903</v>
      </c>
      <c r="Z161" s="61"/>
      <c r="AA161" s="61"/>
      <c r="AB161" s="6">
        <f>$K$161*$V$161</f>
        <v>2217.0239999999999</v>
      </c>
      <c r="AC161" s="6">
        <f>$M$161*$W$161</f>
        <v>0</v>
      </c>
      <c r="AD161" s="6">
        <f>$O$161*$X$161</f>
        <v>0</v>
      </c>
      <c r="AE161" s="6">
        <f ca="1">$K$161*$Y$161</f>
        <v>2221.7234666804125</v>
      </c>
      <c r="AF161" s="6">
        <f>$M$161*$Z$161</f>
        <v>0</v>
      </c>
      <c r="AG161" s="6">
        <f>$O$161*$AA$161</f>
        <v>0</v>
      </c>
    </row>
    <row r="162" spans="1:33" ht="11.25" customHeight="1" x14ac:dyDescent="0.25">
      <c r="A162" s="4" t="s">
        <v>28</v>
      </c>
      <c r="B162" s="4" t="s">
        <v>35</v>
      </c>
      <c r="C162" s="4" t="s">
        <v>36</v>
      </c>
      <c r="D162" s="4" t="s">
        <v>41</v>
      </c>
      <c r="E162" s="4" t="s">
        <v>25</v>
      </c>
      <c r="F162" s="4" t="s">
        <v>25</v>
      </c>
      <c r="G162" s="4" t="s">
        <v>25</v>
      </c>
      <c r="H162" s="4" t="s">
        <v>25</v>
      </c>
      <c r="I162" s="5">
        <v>44440</v>
      </c>
      <c r="J162" s="6">
        <v>264</v>
      </c>
      <c r="K162" s="61">
        <v>264</v>
      </c>
      <c r="L162" s="6">
        <v>0</v>
      </c>
      <c r="M162" s="61">
        <v>0</v>
      </c>
      <c r="N162" s="6">
        <v>0</v>
      </c>
      <c r="O162" s="61">
        <v>0</v>
      </c>
      <c r="P162" s="6">
        <v>2</v>
      </c>
      <c r="Q162" s="4" t="s">
        <v>26</v>
      </c>
      <c r="R162" s="4">
        <v>0</v>
      </c>
      <c r="S162" s="6">
        <v>16</v>
      </c>
      <c r="T162" s="6">
        <v>0</v>
      </c>
      <c r="U162" s="6">
        <v>0</v>
      </c>
      <c r="V162" s="61">
        <f>IF(ISERROR(VLOOKUP($S$162,'TAR FIN'!$A$1:$O$85,15,0)),0,VLOOKUP($S$162,'TAR FIN'!$A$1:$O$85,15,0))*(1-0.04)</f>
        <v>24.633599999999998</v>
      </c>
      <c r="W162" s="61">
        <f>IF(ISERROR(VLOOKUP($T$162,'TAR FIN'!$A$1:$O$85,15,0)),0,VLOOKUP($T$162,'TAR FIN'!$A$1:$O$85,15,0))</f>
        <v>0</v>
      </c>
      <c r="X162" s="61">
        <f>IF(ISERROR(VLOOKUP($U$162,'TAR FIN'!$A$1:$O$85,15,0)),0,VLOOKUP($U$162,'TAR FIN'!$A$1:$O$85,15,0))</f>
        <v>0</v>
      </c>
      <c r="Y162" s="61">
        <f ca="1">('TUSD BE'!$AM$10+'TUSD BF'!$AM$10+'TUSD CVA'!$AM$10)*1*(1-0.02)</f>
        <v>24.68581629644903</v>
      </c>
      <c r="Z162" s="61"/>
      <c r="AA162" s="61"/>
      <c r="AB162" s="6">
        <f>$K$162*$V$162</f>
        <v>6503.2703999999994</v>
      </c>
      <c r="AC162" s="6">
        <f>$M$162*$W$162</f>
        <v>0</v>
      </c>
      <c r="AD162" s="6">
        <f>$O$162*$X$162</f>
        <v>0</v>
      </c>
      <c r="AE162" s="6">
        <f ca="1">$K$162*$Y$162</f>
        <v>6517.055502262544</v>
      </c>
      <c r="AF162" s="6">
        <f>$M$162*$Z$162</f>
        <v>0</v>
      </c>
      <c r="AG162" s="6">
        <f>$O$162*$AA$162</f>
        <v>0</v>
      </c>
    </row>
    <row r="163" spans="1:33" ht="11.25" customHeight="1" x14ac:dyDescent="0.25">
      <c r="A163" s="4" t="s">
        <v>21</v>
      </c>
      <c r="B163" s="4" t="s">
        <v>35</v>
      </c>
      <c r="C163" s="4" t="s">
        <v>36</v>
      </c>
      <c r="D163" s="4" t="s">
        <v>41</v>
      </c>
      <c r="E163" s="4" t="s">
        <v>25</v>
      </c>
      <c r="F163" s="4" t="s">
        <v>25</v>
      </c>
      <c r="G163" s="4" t="s">
        <v>25</v>
      </c>
      <c r="H163" s="4" t="s">
        <v>25</v>
      </c>
      <c r="I163" s="5">
        <v>44470</v>
      </c>
      <c r="J163" s="6">
        <v>90</v>
      </c>
      <c r="K163" s="61">
        <v>90</v>
      </c>
      <c r="L163" s="6">
        <v>0</v>
      </c>
      <c r="M163" s="61">
        <v>0</v>
      </c>
      <c r="N163" s="6">
        <v>0</v>
      </c>
      <c r="O163" s="61">
        <v>0</v>
      </c>
      <c r="P163" s="6">
        <v>1</v>
      </c>
      <c r="Q163" s="4" t="s">
        <v>26</v>
      </c>
      <c r="R163" s="4">
        <v>0</v>
      </c>
      <c r="S163" s="6">
        <v>16</v>
      </c>
      <c r="T163" s="6">
        <v>0</v>
      </c>
      <c r="U163" s="6">
        <v>0</v>
      </c>
      <c r="V163" s="61">
        <f>IF(ISERROR(VLOOKUP($S$163,'TAR FIN'!$A$1:$O$85,15,0)),0,VLOOKUP($S$163,'TAR FIN'!$A$1:$O$85,15,0))*(1-0.04)</f>
        <v>24.633599999999998</v>
      </c>
      <c r="W163" s="61">
        <f>IF(ISERROR(VLOOKUP($T$163,'TAR FIN'!$A$1:$O$85,15,0)),0,VLOOKUP($T$163,'TAR FIN'!$A$1:$O$85,15,0))</f>
        <v>0</v>
      </c>
      <c r="X163" s="61">
        <f>IF(ISERROR(VLOOKUP($U$163,'TAR FIN'!$A$1:$O$85,15,0)),0,VLOOKUP($U$163,'TAR FIN'!$A$1:$O$85,15,0))</f>
        <v>0</v>
      </c>
      <c r="Y163" s="61">
        <f ca="1">('TUSD BE'!$AM$10+'TUSD BF'!$AM$10+'TUSD CVA'!$AM$10)*1*(1-0.02)</f>
        <v>24.68581629644903</v>
      </c>
      <c r="Z163" s="61"/>
      <c r="AA163" s="61"/>
      <c r="AB163" s="6">
        <f>$K$163*$V$163</f>
        <v>2217.0239999999999</v>
      </c>
      <c r="AC163" s="6">
        <f>$M$163*$W$163</f>
        <v>0</v>
      </c>
      <c r="AD163" s="6">
        <f>$O$163*$X$163</f>
        <v>0</v>
      </c>
      <c r="AE163" s="6">
        <f ca="1">$K$163*$Y$163</f>
        <v>2221.7234666804125</v>
      </c>
      <c r="AF163" s="6">
        <f>$M$163*$Z$163</f>
        <v>0</v>
      </c>
      <c r="AG163" s="6">
        <f>$O$163*$AA$163</f>
        <v>0</v>
      </c>
    </row>
    <row r="164" spans="1:33" ht="11.25" customHeight="1" x14ac:dyDescent="0.25">
      <c r="A164" s="4" t="s">
        <v>28</v>
      </c>
      <c r="B164" s="4" t="s">
        <v>35</v>
      </c>
      <c r="C164" s="4" t="s">
        <v>36</v>
      </c>
      <c r="D164" s="4" t="s">
        <v>41</v>
      </c>
      <c r="E164" s="4" t="s">
        <v>25</v>
      </c>
      <c r="F164" s="4" t="s">
        <v>25</v>
      </c>
      <c r="G164" s="4" t="s">
        <v>25</v>
      </c>
      <c r="H164" s="4" t="s">
        <v>25</v>
      </c>
      <c r="I164" s="5">
        <v>44470</v>
      </c>
      <c r="J164" s="6">
        <v>254</v>
      </c>
      <c r="K164" s="61">
        <v>254</v>
      </c>
      <c r="L164" s="6">
        <v>0</v>
      </c>
      <c r="M164" s="61">
        <v>0</v>
      </c>
      <c r="N164" s="6">
        <v>0</v>
      </c>
      <c r="O164" s="61">
        <v>0</v>
      </c>
      <c r="P164" s="6">
        <v>2</v>
      </c>
      <c r="Q164" s="4" t="s">
        <v>26</v>
      </c>
      <c r="R164" s="4">
        <v>0</v>
      </c>
      <c r="S164" s="6">
        <v>16</v>
      </c>
      <c r="T164" s="6">
        <v>0</v>
      </c>
      <c r="U164" s="6">
        <v>0</v>
      </c>
      <c r="V164" s="61">
        <f>IF(ISERROR(VLOOKUP($S$164,'TAR FIN'!$A$1:$O$85,15,0)),0,VLOOKUP($S$164,'TAR FIN'!$A$1:$O$85,15,0))*(1-0.04)</f>
        <v>24.633599999999998</v>
      </c>
      <c r="W164" s="61">
        <f>IF(ISERROR(VLOOKUP($T$164,'TAR FIN'!$A$1:$O$85,15,0)),0,VLOOKUP($T$164,'TAR FIN'!$A$1:$O$85,15,0))</f>
        <v>0</v>
      </c>
      <c r="X164" s="61">
        <f>IF(ISERROR(VLOOKUP($U$164,'TAR FIN'!$A$1:$O$85,15,0)),0,VLOOKUP($U$164,'TAR FIN'!$A$1:$O$85,15,0))</f>
        <v>0</v>
      </c>
      <c r="Y164" s="61">
        <f ca="1">('TUSD BE'!$AM$10+'TUSD BF'!$AM$10+'TUSD CVA'!$AM$10)*1*(1-0.02)</f>
        <v>24.68581629644903</v>
      </c>
      <c r="Z164" s="61"/>
      <c r="AA164" s="61"/>
      <c r="AB164" s="6">
        <f>$K$164*$V$164</f>
        <v>6256.9343999999992</v>
      </c>
      <c r="AC164" s="6">
        <f>$M$164*$W$164</f>
        <v>0</v>
      </c>
      <c r="AD164" s="6">
        <f>$O$164*$X$164</f>
        <v>0</v>
      </c>
      <c r="AE164" s="6">
        <f ca="1">$K$164*$Y$164</f>
        <v>6270.1973392980535</v>
      </c>
      <c r="AF164" s="6">
        <f>$M$164*$Z$164</f>
        <v>0</v>
      </c>
      <c r="AG164" s="6">
        <f>$O$164*$AA$164</f>
        <v>0</v>
      </c>
    </row>
    <row r="165" spans="1:33" ht="11.25" customHeight="1" x14ac:dyDescent="0.25">
      <c r="A165" s="4" t="s">
        <v>21</v>
      </c>
      <c r="B165" s="4" t="s">
        <v>35</v>
      </c>
      <c r="C165" s="4" t="s">
        <v>36</v>
      </c>
      <c r="D165" s="4" t="s">
        <v>41</v>
      </c>
      <c r="E165" s="4" t="s">
        <v>25</v>
      </c>
      <c r="F165" s="4" t="s">
        <v>25</v>
      </c>
      <c r="G165" s="4" t="s">
        <v>25</v>
      </c>
      <c r="H165" s="4" t="s">
        <v>25</v>
      </c>
      <c r="I165" s="5">
        <v>44501</v>
      </c>
      <c r="J165" s="6">
        <v>90</v>
      </c>
      <c r="K165" s="61">
        <v>90</v>
      </c>
      <c r="L165" s="6">
        <v>0</v>
      </c>
      <c r="M165" s="61">
        <v>0</v>
      </c>
      <c r="N165" s="6">
        <v>0</v>
      </c>
      <c r="O165" s="61">
        <v>0</v>
      </c>
      <c r="P165" s="6">
        <v>1</v>
      </c>
      <c r="Q165" s="4" t="s">
        <v>26</v>
      </c>
      <c r="R165" s="4">
        <v>0</v>
      </c>
      <c r="S165" s="6">
        <v>16</v>
      </c>
      <c r="T165" s="6">
        <v>0</v>
      </c>
      <c r="U165" s="6">
        <v>0</v>
      </c>
      <c r="V165" s="61">
        <f>IF(ISERROR(VLOOKUP($S$165,'TAR FIN'!$A$1:$O$85,15,0)),0,VLOOKUP($S$165,'TAR FIN'!$A$1:$O$85,15,0))*(1-0.04)</f>
        <v>24.633599999999998</v>
      </c>
      <c r="W165" s="61">
        <f>IF(ISERROR(VLOOKUP($T$165,'TAR FIN'!$A$1:$O$85,15,0)),0,VLOOKUP($T$165,'TAR FIN'!$A$1:$O$85,15,0))</f>
        <v>0</v>
      </c>
      <c r="X165" s="61">
        <f>IF(ISERROR(VLOOKUP($U$165,'TAR FIN'!$A$1:$O$85,15,0)),0,VLOOKUP($U$165,'TAR FIN'!$A$1:$O$85,15,0))</f>
        <v>0</v>
      </c>
      <c r="Y165" s="61">
        <f ca="1">('TUSD BE'!$AM$10+'TUSD BF'!$AM$10+'TUSD CVA'!$AM$10)*1*(1-0.02)</f>
        <v>24.68581629644903</v>
      </c>
      <c r="Z165" s="61"/>
      <c r="AA165" s="61"/>
      <c r="AB165" s="6">
        <f>$K$165*$V$165</f>
        <v>2217.0239999999999</v>
      </c>
      <c r="AC165" s="6">
        <f>$M$165*$W$165</f>
        <v>0</v>
      </c>
      <c r="AD165" s="6">
        <f>$O$165*$X$165</f>
        <v>0</v>
      </c>
      <c r="AE165" s="6">
        <f ca="1">$K$165*$Y$165</f>
        <v>2221.7234666804125</v>
      </c>
      <c r="AF165" s="6">
        <f>$M$165*$Z$165</f>
        <v>0</v>
      </c>
      <c r="AG165" s="6">
        <f>$O$165*$AA$165</f>
        <v>0</v>
      </c>
    </row>
    <row r="166" spans="1:33" ht="11.25" customHeight="1" x14ac:dyDescent="0.25">
      <c r="A166" s="4" t="s">
        <v>28</v>
      </c>
      <c r="B166" s="4" t="s">
        <v>35</v>
      </c>
      <c r="C166" s="4" t="s">
        <v>36</v>
      </c>
      <c r="D166" s="4" t="s">
        <v>41</v>
      </c>
      <c r="E166" s="4" t="s">
        <v>25</v>
      </c>
      <c r="F166" s="4" t="s">
        <v>25</v>
      </c>
      <c r="G166" s="4" t="s">
        <v>25</v>
      </c>
      <c r="H166" s="4" t="s">
        <v>25</v>
      </c>
      <c r="I166" s="5">
        <v>44501</v>
      </c>
      <c r="J166" s="6">
        <v>259</v>
      </c>
      <c r="K166" s="61">
        <v>259</v>
      </c>
      <c r="L166" s="6">
        <v>0</v>
      </c>
      <c r="M166" s="61">
        <v>0</v>
      </c>
      <c r="N166" s="6">
        <v>0</v>
      </c>
      <c r="O166" s="61">
        <v>0</v>
      </c>
      <c r="P166" s="6">
        <v>2</v>
      </c>
      <c r="Q166" s="4" t="s">
        <v>26</v>
      </c>
      <c r="R166" s="4">
        <v>0</v>
      </c>
      <c r="S166" s="6">
        <v>16</v>
      </c>
      <c r="T166" s="6">
        <v>0</v>
      </c>
      <c r="U166" s="6">
        <v>0</v>
      </c>
      <c r="V166" s="61">
        <f>IF(ISERROR(VLOOKUP($S$166,'TAR FIN'!$A$1:$O$85,15,0)),0,VLOOKUP($S$166,'TAR FIN'!$A$1:$O$85,15,0))*(1-0.04)</f>
        <v>24.633599999999998</v>
      </c>
      <c r="W166" s="61">
        <f>IF(ISERROR(VLOOKUP($T$166,'TAR FIN'!$A$1:$O$85,15,0)),0,VLOOKUP($T$166,'TAR FIN'!$A$1:$O$85,15,0))</f>
        <v>0</v>
      </c>
      <c r="X166" s="61">
        <f>IF(ISERROR(VLOOKUP($U$166,'TAR FIN'!$A$1:$O$85,15,0)),0,VLOOKUP($U$166,'TAR FIN'!$A$1:$O$85,15,0))</f>
        <v>0</v>
      </c>
      <c r="Y166" s="61">
        <f ca="1">('TUSD BE'!$AM$10+'TUSD BF'!$AM$10+'TUSD CVA'!$AM$10)*1*(1-0.02)</f>
        <v>24.68581629644903</v>
      </c>
      <c r="Z166" s="61"/>
      <c r="AA166" s="61"/>
      <c r="AB166" s="6">
        <f>$K$166*$V$166</f>
        <v>6380.1023999999998</v>
      </c>
      <c r="AC166" s="6">
        <f>$M$166*$W$166</f>
        <v>0</v>
      </c>
      <c r="AD166" s="6">
        <f>$O$166*$X$166</f>
        <v>0</v>
      </c>
      <c r="AE166" s="6">
        <f ca="1">$K$166*$Y$166</f>
        <v>6393.6264207802988</v>
      </c>
      <c r="AF166" s="6">
        <f>$M$166*$Z$166</f>
        <v>0</v>
      </c>
      <c r="AG166" s="6">
        <f>$O$166*$AA$166</f>
        <v>0</v>
      </c>
    </row>
    <row r="167" spans="1:33" ht="11.25" customHeight="1" x14ac:dyDescent="0.25">
      <c r="A167" s="4" t="s">
        <v>21</v>
      </c>
      <c r="B167" s="4" t="s">
        <v>35</v>
      </c>
      <c r="C167" s="4" t="s">
        <v>36</v>
      </c>
      <c r="D167" s="4" t="s">
        <v>41</v>
      </c>
      <c r="E167" s="4" t="s">
        <v>25</v>
      </c>
      <c r="F167" s="4" t="s">
        <v>25</v>
      </c>
      <c r="G167" s="4" t="s">
        <v>25</v>
      </c>
      <c r="H167" s="4" t="s">
        <v>25</v>
      </c>
      <c r="I167" s="5">
        <v>44531</v>
      </c>
      <c r="J167" s="6">
        <v>90</v>
      </c>
      <c r="K167" s="61">
        <v>90</v>
      </c>
      <c r="L167" s="6">
        <v>0</v>
      </c>
      <c r="M167" s="61">
        <v>0</v>
      </c>
      <c r="N167" s="6">
        <v>0</v>
      </c>
      <c r="O167" s="61">
        <v>0</v>
      </c>
      <c r="P167" s="6">
        <v>1</v>
      </c>
      <c r="Q167" s="4" t="s">
        <v>26</v>
      </c>
      <c r="R167" s="4">
        <v>0</v>
      </c>
      <c r="S167" s="6">
        <v>16</v>
      </c>
      <c r="T167" s="6">
        <v>0</v>
      </c>
      <c r="U167" s="6">
        <v>0</v>
      </c>
      <c r="V167" s="61">
        <f>IF(ISERROR(VLOOKUP($S$167,'TAR FIN'!$A$1:$O$85,15,0)),0,VLOOKUP($S$167,'TAR FIN'!$A$1:$O$85,15,0))*(1-0.04)</f>
        <v>24.633599999999998</v>
      </c>
      <c r="W167" s="61">
        <f>IF(ISERROR(VLOOKUP($T$167,'TAR FIN'!$A$1:$O$85,15,0)),0,VLOOKUP($T$167,'TAR FIN'!$A$1:$O$85,15,0))</f>
        <v>0</v>
      </c>
      <c r="X167" s="61">
        <f>IF(ISERROR(VLOOKUP($U$167,'TAR FIN'!$A$1:$O$85,15,0)),0,VLOOKUP($U$167,'TAR FIN'!$A$1:$O$85,15,0))</f>
        <v>0</v>
      </c>
      <c r="Y167" s="61">
        <f ca="1">('TUSD BE'!$AM$10+'TUSD BF'!$AM$10+'TUSD CVA'!$AM$10)*1*(1-0.02)</f>
        <v>24.68581629644903</v>
      </c>
      <c r="Z167" s="61"/>
      <c r="AA167" s="61"/>
      <c r="AB167" s="6">
        <f>$K$167*$V$167</f>
        <v>2217.0239999999999</v>
      </c>
      <c r="AC167" s="6">
        <f>$M$167*$W$167</f>
        <v>0</v>
      </c>
      <c r="AD167" s="6">
        <f>$O$167*$X$167</f>
        <v>0</v>
      </c>
      <c r="AE167" s="6">
        <f ca="1">$K$167*$Y$167</f>
        <v>2221.7234666804125</v>
      </c>
      <c r="AF167" s="6">
        <f>$M$167*$Z$167</f>
        <v>0</v>
      </c>
      <c r="AG167" s="6">
        <f>$O$167*$AA$167</f>
        <v>0</v>
      </c>
    </row>
    <row r="168" spans="1:33" ht="11.25" customHeight="1" x14ac:dyDescent="0.25">
      <c r="A168" s="4" t="s">
        <v>28</v>
      </c>
      <c r="B168" s="4" t="s">
        <v>35</v>
      </c>
      <c r="C168" s="4" t="s">
        <v>36</v>
      </c>
      <c r="D168" s="4" t="s">
        <v>41</v>
      </c>
      <c r="E168" s="4" t="s">
        <v>25</v>
      </c>
      <c r="F168" s="4" t="s">
        <v>25</v>
      </c>
      <c r="G168" s="4" t="s">
        <v>25</v>
      </c>
      <c r="H168" s="4" t="s">
        <v>25</v>
      </c>
      <c r="I168" s="5">
        <v>44531</v>
      </c>
      <c r="J168" s="6">
        <v>279</v>
      </c>
      <c r="K168" s="61">
        <v>279</v>
      </c>
      <c r="L168" s="6">
        <v>0</v>
      </c>
      <c r="M168" s="61">
        <v>0</v>
      </c>
      <c r="N168" s="6">
        <v>0</v>
      </c>
      <c r="O168" s="61">
        <v>0</v>
      </c>
      <c r="P168" s="6">
        <v>2</v>
      </c>
      <c r="Q168" s="4" t="s">
        <v>26</v>
      </c>
      <c r="R168" s="4">
        <v>0</v>
      </c>
      <c r="S168" s="6">
        <v>16</v>
      </c>
      <c r="T168" s="6">
        <v>0</v>
      </c>
      <c r="U168" s="6">
        <v>0</v>
      </c>
      <c r="V168" s="61">
        <f>IF(ISERROR(VLOOKUP($S$168,'TAR FIN'!$A$1:$O$85,15,0)),0,VLOOKUP($S$168,'TAR FIN'!$A$1:$O$85,15,0))*(1-0.04)</f>
        <v>24.633599999999998</v>
      </c>
      <c r="W168" s="61">
        <f>IF(ISERROR(VLOOKUP($T$168,'TAR FIN'!$A$1:$O$85,15,0)),0,VLOOKUP($T$168,'TAR FIN'!$A$1:$O$85,15,0))</f>
        <v>0</v>
      </c>
      <c r="X168" s="61">
        <f>IF(ISERROR(VLOOKUP($U$168,'TAR FIN'!$A$1:$O$85,15,0)),0,VLOOKUP($U$168,'TAR FIN'!$A$1:$O$85,15,0))</f>
        <v>0</v>
      </c>
      <c r="Y168" s="61">
        <f ca="1">('TUSD BE'!$AM$10+'TUSD BF'!$AM$10+'TUSD CVA'!$AM$10)*1*(1-0.02)</f>
        <v>24.68581629644903</v>
      </c>
      <c r="Z168" s="61"/>
      <c r="AA168" s="61"/>
      <c r="AB168" s="6">
        <f>$K$168*$V$168</f>
        <v>6872.7743999999993</v>
      </c>
      <c r="AC168" s="6">
        <f>$M$168*$W$168</f>
        <v>0</v>
      </c>
      <c r="AD168" s="6">
        <f>$O$168*$X$168</f>
        <v>0</v>
      </c>
      <c r="AE168" s="6">
        <f ca="1">$K$168*$Y$168</f>
        <v>6887.3427467092797</v>
      </c>
      <c r="AF168" s="6">
        <f>$M$168*$Z$168</f>
        <v>0</v>
      </c>
      <c r="AG168" s="6">
        <f>$O$168*$AA$168</f>
        <v>0</v>
      </c>
    </row>
    <row r="169" spans="1:33" ht="11.25" customHeight="1" x14ac:dyDescent="0.25">
      <c r="A169" s="4" t="s">
        <v>21</v>
      </c>
      <c r="B169" s="4" t="s">
        <v>35</v>
      </c>
      <c r="C169" s="4" t="s">
        <v>36</v>
      </c>
      <c r="D169" s="4" t="s">
        <v>41</v>
      </c>
      <c r="E169" s="4" t="s">
        <v>25</v>
      </c>
      <c r="F169" s="4" t="s">
        <v>25</v>
      </c>
      <c r="G169" s="4" t="s">
        <v>25</v>
      </c>
      <c r="H169" s="4" t="s">
        <v>25</v>
      </c>
      <c r="I169" s="5">
        <v>44562</v>
      </c>
      <c r="J169" s="6">
        <v>90</v>
      </c>
      <c r="K169" s="61">
        <v>90</v>
      </c>
      <c r="L169" s="6">
        <v>0</v>
      </c>
      <c r="M169" s="61">
        <v>0</v>
      </c>
      <c r="N169" s="6">
        <v>0</v>
      </c>
      <c r="O169" s="61">
        <v>0</v>
      </c>
      <c r="P169" s="6">
        <v>1</v>
      </c>
      <c r="Q169" s="4" t="s">
        <v>26</v>
      </c>
      <c r="R169" s="4">
        <v>0</v>
      </c>
      <c r="S169" s="6">
        <v>16</v>
      </c>
      <c r="T169" s="6">
        <v>0</v>
      </c>
      <c r="U169" s="6">
        <v>0</v>
      </c>
      <c r="V169" s="61">
        <f>IF(ISERROR(VLOOKUP($S$169,'TAR FIN'!$A$1:$O$85,15,0)),0,VLOOKUP($S$169,'TAR FIN'!$A$1:$O$85,15,0))*(1-0.04)</f>
        <v>24.633599999999998</v>
      </c>
      <c r="W169" s="61">
        <f>IF(ISERROR(VLOOKUP($T$169,'TAR FIN'!$A$1:$O$85,15,0)),0,VLOOKUP($T$169,'TAR FIN'!$A$1:$O$85,15,0))</f>
        <v>0</v>
      </c>
      <c r="X169" s="61">
        <f>IF(ISERROR(VLOOKUP($U$169,'TAR FIN'!$A$1:$O$85,15,0)),0,VLOOKUP($U$169,'TAR FIN'!$A$1:$O$85,15,0))</f>
        <v>0</v>
      </c>
      <c r="Y169" s="61">
        <f ca="1">('TUSD BE'!$AM$10+'TUSD BF'!$AM$10+'TUSD CVA'!$AM$10)*1*(1-0.02)</f>
        <v>24.68581629644903</v>
      </c>
      <c r="Z169" s="61"/>
      <c r="AA169" s="61"/>
      <c r="AB169" s="6">
        <f>$K$169*$V$169</f>
        <v>2217.0239999999999</v>
      </c>
      <c r="AC169" s="6">
        <f>$M$169*$W$169</f>
        <v>0</v>
      </c>
      <c r="AD169" s="6">
        <f>$O$169*$X$169</f>
        <v>0</v>
      </c>
      <c r="AE169" s="6">
        <f ca="1">$K$169*$Y$169</f>
        <v>2221.7234666804125</v>
      </c>
      <c r="AF169" s="6">
        <f>$M$169*$Z$169</f>
        <v>0</v>
      </c>
      <c r="AG169" s="6">
        <f>$O$169*$AA$169</f>
        <v>0</v>
      </c>
    </row>
    <row r="170" spans="1:33" ht="11.25" customHeight="1" x14ac:dyDescent="0.25">
      <c r="A170" s="4" t="s">
        <v>28</v>
      </c>
      <c r="B170" s="4" t="s">
        <v>35</v>
      </c>
      <c r="C170" s="4" t="s">
        <v>36</v>
      </c>
      <c r="D170" s="4" t="s">
        <v>41</v>
      </c>
      <c r="E170" s="4" t="s">
        <v>25</v>
      </c>
      <c r="F170" s="4" t="s">
        <v>25</v>
      </c>
      <c r="G170" s="4" t="s">
        <v>25</v>
      </c>
      <c r="H170" s="4" t="s">
        <v>25</v>
      </c>
      <c r="I170" s="5">
        <v>44562</v>
      </c>
      <c r="J170" s="6">
        <v>255</v>
      </c>
      <c r="K170" s="61">
        <v>255</v>
      </c>
      <c r="L170" s="6">
        <v>0</v>
      </c>
      <c r="M170" s="61">
        <v>0</v>
      </c>
      <c r="N170" s="6">
        <v>0</v>
      </c>
      <c r="O170" s="61">
        <v>0</v>
      </c>
      <c r="P170" s="6">
        <v>2</v>
      </c>
      <c r="Q170" s="4" t="s">
        <v>26</v>
      </c>
      <c r="R170" s="4">
        <v>0</v>
      </c>
      <c r="S170" s="6">
        <v>16</v>
      </c>
      <c r="T170" s="6">
        <v>0</v>
      </c>
      <c r="U170" s="6">
        <v>0</v>
      </c>
      <c r="V170" s="61">
        <f>IF(ISERROR(VLOOKUP($S$170,'TAR FIN'!$A$1:$O$85,15,0)),0,VLOOKUP($S$170,'TAR FIN'!$A$1:$O$85,15,0))*(1-0.04)</f>
        <v>24.633599999999998</v>
      </c>
      <c r="W170" s="61">
        <f>IF(ISERROR(VLOOKUP($T$170,'TAR FIN'!$A$1:$O$85,15,0)),0,VLOOKUP($T$170,'TAR FIN'!$A$1:$O$85,15,0))</f>
        <v>0</v>
      </c>
      <c r="X170" s="61">
        <f>IF(ISERROR(VLOOKUP($U$170,'TAR FIN'!$A$1:$O$85,15,0)),0,VLOOKUP($U$170,'TAR FIN'!$A$1:$O$85,15,0))</f>
        <v>0</v>
      </c>
      <c r="Y170" s="61">
        <f ca="1">('TUSD BE'!$AM$10+'TUSD BF'!$AM$10+'TUSD CVA'!$AM$10)*1*(1-0.02)</f>
        <v>24.68581629644903</v>
      </c>
      <c r="Z170" s="61"/>
      <c r="AA170" s="61"/>
      <c r="AB170" s="6">
        <f>$K$170*$V$170</f>
        <v>6281.5679999999993</v>
      </c>
      <c r="AC170" s="6">
        <f>$M$170*$W$170</f>
        <v>0</v>
      </c>
      <c r="AD170" s="6">
        <f>$O$170*$X$170</f>
        <v>0</v>
      </c>
      <c r="AE170" s="6">
        <f ca="1">$K$170*$Y$170</f>
        <v>6294.8831555945026</v>
      </c>
      <c r="AF170" s="6">
        <f>$M$170*$Z$170</f>
        <v>0</v>
      </c>
      <c r="AG170" s="6">
        <f>$O$170*$AA$170</f>
        <v>0</v>
      </c>
    </row>
    <row r="171" spans="1:33" ht="11.25" customHeight="1" x14ac:dyDescent="0.25">
      <c r="A171" s="4" t="s">
        <v>21</v>
      </c>
      <c r="B171" s="4" t="s">
        <v>35</v>
      </c>
      <c r="C171" s="4" t="s">
        <v>36</v>
      </c>
      <c r="D171" s="4" t="s">
        <v>41</v>
      </c>
      <c r="E171" s="4" t="s">
        <v>25</v>
      </c>
      <c r="F171" s="4" t="s">
        <v>25</v>
      </c>
      <c r="G171" s="4" t="s">
        <v>25</v>
      </c>
      <c r="H171" s="4" t="s">
        <v>25</v>
      </c>
      <c r="I171" s="5">
        <v>44593</v>
      </c>
      <c r="J171" s="6">
        <v>90</v>
      </c>
      <c r="K171" s="61">
        <v>90</v>
      </c>
      <c r="L171" s="6">
        <v>0</v>
      </c>
      <c r="M171" s="61">
        <v>0</v>
      </c>
      <c r="N171" s="6">
        <v>0</v>
      </c>
      <c r="O171" s="61">
        <v>0</v>
      </c>
      <c r="P171" s="6">
        <v>1</v>
      </c>
      <c r="Q171" s="4" t="s">
        <v>26</v>
      </c>
      <c r="R171" s="4">
        <v>0</v>
      </c>
      <c r="S171" s="6">
        <v>16</v>
      </c>
      <c r="T171" s="6">
        <v>0</v>
      </c>
      <c r="U171" s="6">
        <v>0</v>
      </c>
      <c r="V171" s="61">
        <f>IF(ISERROR(VLOOKUP($S$171,'TAR FIN'!$A$1:$O$85,15,0)),0,VLOOKUP($S$171,'TAR FIN'!$A$1:$O$85,15,0))*(1-0.04)</f>
        <v>24.633599999999998</v>
      </c>
      <c r="W171" s="61">
        <f>IF(ISERROR(VLOOKUP($T$171,'TAR FIN'!$A$1:$O$85,15,0)),0,VLOOKUP($T$171,'TAR FIN'!$A$1:$O$85,15,0))</f>
        <v>0</v>
      </c>
      <c r="X171" s="61">
        <f>IF(ISERROR(VLOOKUP($U$171,'TAR FIN'!$A$1:$O$85,15,0)),0,VLOOKUP($U$171,'TAR FIN'!$A$1:$O$85,15,0))</f>
        <v>0</v>
      </c>
      <c r="Y171" s="61">
        <f ca="1">('TUSD BE'!$AM$10+'TUSD BF'!$AM$10+'TUSD CVA'!$AM$10)*1*(1-0.02)</f>
        <v>24.68581629644903</v>
      </c>
      <c r="Z171" s="61"/>
      <c r="AA171" s="61"/>
      <c r="AB171" s="6">
        <f>$K$171*$V$171</f>
        <v>2217.0239999999999</v>
      </c>
      <c r="AC171" s="6">
        <f>$M$171*$W$171</f>
        <v>0</v>
      </c>
      <c r="AD171" s="6">
        <f>$O$171*$X$171</f>
        <v>0</v>
      </c>
      <c r="AE171" s="6">
        <f ca="1">$K$171*$Y$171</f>
        <v>2221.7234666804125</v>
      </c>
      <c r="AF171" s="6">
        <f>$M$171*$Z$171</f>
        <v>0</v>
      </c>
      <c r="AG171" s="6">
        <f>$O$171*$AA$171</f>
        <v>0</v>
      </c>
    </row>
    <row r="172" spans="1:33" ht="11.25" customHeight="1" x14ac:dyDescent="0.25">
      <c r="A172" s="4" t="s">
        <v>28</v>
      </c>
      <c r="B172" s="4" t="s">
        <v>35</v>
      </c>
      <c r="C172" s="4" t="s">
        <v>36</v>
      </c>
      <c r="D172" s="4" t="s">
        <v>41</v>
      </c>
      <c r="E172" s="4" t="s">
        <v>25</v>
      </c>
      <c r="F172" s="4" t="s">
        <v>25</v>
      </c>
      <c r="G172" s="4" t="s">
        <v>25</v>
      </c>
      <c r="H172" s="4" t="s">
        <v>25</v>
      </c>
      <c r="I172" s="5">
        <v>44593</v>
      </c>
      <c r="J172" s="6">
        <v>269</v>
      </c>
      <c r="K172" s="61">
        <v>269</v>
      </c>
      <c r="L172" s="6">
        <v>0</v>
      </c>
      <c r="M172" s="61">
        <v>0</v>
      </c>
      <c r="N172" s="6">
        <v>0</v>
      </c>
      <c r="O172" s="61">
        <v>0</v>
      </c>
      <c r="P172" s="6">
        <v>2</v>
      </c>
      <c r="Q172" s="4" t="s">
        <v>26</v>
      </c>
      <c r="R172" s="4">
        <v>0</v>
      </c>
      <c r="S172" s="6">
        <v>16</v>
      </c>
      <c r="T172" s="6">
        <v>0</v>
      </c>
      <c r="U172" s="6">
        <v>0</v>
      </c>
      <c r="V172" s="61">
        <f>IF(ISERROR(VLOOKUP($S$172,'TAR FIN'!$A$1:$O$85,15,0)),0,VLOOKUP($S$172,'TAR FIN'!$A$1:$O$85,15,0))*(1-0.04)</f>
        <v>24.633599999999998</v>
      </c>
      <c r="W172" s="61">
        <f>IF(ISERROR(VLOOKUP($T$172,'TAR FIN'!$A$1:$O$85,15,0)),0,VLOOKUP($T$172,'TAR FIN'!$A$1:$O$85,15,0))</f>
        <v>0</v>
      </c>
      <c r="X172" s="61">
        <f>IF(ISERROR(VLOOKUP($U$172,'TAR FIN'!$A$1:$O$85,15,0)),0,VLOOKUP($U$172,'TAR FIN'!$A$1:$O$85,15,0))</f>
        <v>0</v>
      </c>
      <c r="Y172" s="61">
        <f ca="1">('TUSD BE'!$AM$10+'TUSD BF'!$AM$10+'TUSD CVA'!$AM$10)*1*(1-0.02)</f>
        <v>24.68581629644903</v>
      </c>
      <c r="Z172" s="61"/>
      <c r="AA172" s="61"/>
      <c r="AB172" s="6">
        <f>$K$172*$V$172</f>
        <v>6626.4383999999991</v>
      </c>
      <c r="AC172" s="6">
        <f>$M$172*$W$172</f>
        <v>0</v>
      </c>
      <c r="AD172" s="6">
        <f>$O$172*$X$172</f>
        <v>0</v>
      </c>
      <c r="AE172" s="6">
        <f ca="1">$K$172*$Y$172</f>
        <v>6640.4845837447892</v>
      </c>
      <c r="AF172" s="6">
        <f>$M$172*$Z$172</f>
        <v>0</v>
      </c>
      <c r="AG172" s="6">
        <f>$O$172*$AA$172</f>
        <v>0</v>
      </c>
    </row>
    <row r="173" spans="1:33" ht="11.25" customHeight="1" x14ac:dyDescent="0.25">
      <c r="A173" s="4" t="s">
        <v>21</v>
      </c>
      <c r="B173" s="4" t="s">
        <v>35</v>
      </c>
      <c r="C173" s="4" t="s">
        <v>36</v>
      </c>
      <c r="D173" s="4" t="s">
        <v>41</v>
      </c>
      <c r="E173" s="4" t="s">
        <v>25</v>
      </c>
      <c r="F173" s="4" t="s">
        <v>25</v>
      </c>
      <c r="G173" s="4" t="s">
        <v>25</v>
      </c>
      <c r="H173" s="4" t="s">
        <v>25</v>
      </c>
      <c r="I173" s="5">
        <v>44621</v>
      </c>
      <c r="J173" s="6">
        <v>90</v>
      </c>
      <c r="K173" s="61">
        <v>90</v>
      </c>
      <c r="L173" s="6">
        <v>0</v>
      </c>
      <c r="M173" s="61">
        <v>0</v>
      </c>
      <c r="N173" s="6">
        <v>0</v>
      </c>
      <c r="O173" s="61">
        <v>0</v>
      </c>
      <c r="P173" s="6">
        <v>1</v>
      </c>
      <c r="Q173" s="4" t="s">
        <v>26</v>
      </c>
      <c r="R173" s="4">
        <v>0</v>
      </c>
      <c r="S173" s="6">
        <v>16</v>
      </c>
      <c r="T173" s="6">
        <v>0</v>
      </c>
      <c r="U173" s="6">
        <v>0</v>
      </c>
      <c r="V173" s="61">
        <f>IF(ISERROR(VLOOKUP($S$173,'TAR FIN'!$A$1:$O$85,15,0)),0,VLOOKUP($S$173,'TAR FIN'!$A$1:$O$85,15,0))*(1-0.04)</f>
        <v>24.633599999999998</v>
      </c>
      <c r="W173" s="61">
        <f>IF(ISERROR(VLOOKUP($T$173,'TAR FIN'!$A$1:$O$85,15,0)),0,VLOOKUP($T$173,'TAR FIN'!$A$1:$O$85,15,0))</f>
        <v>0</v>
      </c>
      <c r="X173" s="61">
        <f>IF(ISERROR(VLOOKUP($U$173,'TAR FIN'!$A$1:$O$85,15,0)),0,VLOOKUP($U$173,'TAR FIN'!$A$1:$O$85,15,0))</f>
        <v>0</v>
      </c>
      <c r="Y173" s="61">
        <f ca="1">('TUSD BE'!$AM$10+'TUSD BF'!$AM$10+'TUSD CVA'!$AM$10)*1*(1-0.02)</f>
        <v>24.68581629644903</v>
      </c>
      <c r="Z173" s="61"/>
      <c r="AA173" s="61"/>
      <c r="AB173" s="6">
        <f>$K$173*$V$173</f>
        <v>2217.0239999999999</v>
      </c>
      <c r="AC173" s="6">
        <f>$M$173*$W$173</f>
        <v>0</v>
      </c>
      <c r="AD173" s="6">
        <f>$O$173*$X$173</f>
        <v>0</v>
      </c>
      <c r="AE173" s="6">
        <f ca="1">$K$173*$Y$173</f>
        <v>2221.7234666804125</v>
      </c>
      <c r="AF173" s="6">
        <f>$M$173*$Z$173</f>
        <v>0</v>
      </c>
      <c r="AG173" s="6">
        <f>$O$173*$AA$173</f>
        <v>0</v>
      </c>
    </row>
    <row r="174" spans="1:33" ht="11.25" customHeight="1" x14ac:dyDescent="0.25">
      <c r="A174" s="4" t="s">
        <v>28</v>
      </c>
      <c r="B174" s="4" t="s">
        <v>35</v>
      </c>
      <c r="C174" s="4" t="s">
        <v>36</v>
      </c>
      <c r="D174" s="4" t="s">
        <v>41</v>
      </c>
      <c r="E174" s="4" t="s">
        <v>25</v>
      </c>
      <c r="F174" s="4" t="s">
        <v>25</v>
      </c>
      <c r="G174" s="4" t="s">
        <v>25</v>
      </c>
      <c r="H174" s="4" t="s">
        <v>25</v>
      </c>
      <c r="I174" s="5">
        <v>44621</v>
      </c>
      <c r="J174" s="6">
        <v>295</v>
      </c>
      <c r="K174" s="61">
        <v>295</v>
      </c>
      <c r="L174" s="6">
        <v>0</v>
      </c>
      <c r="M174" s="61">
        <v>0</v>
      </c>
      <c r="N174" s="6">
        <v>0</v>
      </c>
      <c r="O174" s="61">
        <v>0</v>
      </c>
      <c r="P174" s="6">
        <v>2</v>
      </c>
      <c r="Q174" s="4" t="s">
        <v>26</v>
      </c>
      <c r="R174" s="4">
        <v>0</v>
      </c>
      <c r="S174" s="6">
        <v>16</v>
      </c>
      <c r="T174" s="6">
        <v>0</v>
      </c>
      <c r="U174" s="6">
        <v>0</v>
      </c>
      <c r="V174" s="61">
        <f>IF(ISERROR(VLOOKUP($S$174,'TAR FIN'!$A$1:$O$85,15,0)),0,VLOOKUP($S$174,'TAR FIN'!$A$1:$O$85,15,0))*(1-0.04)</f>
        <v>24.633599999999998</v>
      </c>
      <c r="W174" s="61">
        <f>IF(ISERROR(VLOOKUP($T$174,'TAR FIN'!$A$1:$O$85,15,0)),0,VLOOKUP($T$174,'TAR FIN'!$A$1:$O$85,15,0))</f>
        <v>0</v>
      </c>
      <c r="X174" s="61">
        <f>IF(ISERROR(VLOOKUP($U$174,'TAR FIN'!$A$1:$O$85,15,0)),0,VLOOKUP($U$174,'TAR FIN'!$A$1:$O$85,15,0))</f>
        <v>0</v>
      </c>
      <c r="Y174" s="61">
        <f ca="1">('TUSD BE'!$AM$10+'TUSD BF'!$AM$10+'TUSD CVA'!$AM$10)*1*(1-0.02)</f>
        <v>24.68581629644903</v>
      </c>
      <c r="Z174" s="61"/>
      <c r="AA174" s="61"/>
      <c r="AB174" s="6">
        <f>$K$174*$V$174</f>
        <v>7266.9119999999994</v>
      </c>
      <c r="AC174" s="6">
        <f>$M$174*$W$174</f>
        <v>0</v>
      </c>
      <c r="AD174" s="6">
        <f>$O$174*$X$174</f>
        <v>0</v>
      </c>
      <c r="AE174" s="6">
        <f ca="1">$K$174*$Y$174</f>
        <v>7282.3158074524636</v>
      </c>
      <c r="AF174" s="6">
        <f>$M$174*$Z$174</f>
        <v>0</v>
      </c>
      <c r="AG174" s="6">
        <f>$O$174*$AA$174</f>
        <v>0</v>
      </c>
    </row>
    <row r="175" spans="1:33" ht="11.25" customHeight="1" x14ac:dyDescent="0.25">
      <c r="A175" s="4" t="s">
        <v>21</v>
      </c>
      <c r="B175" s="4" t="s">
        <v>35</v>
      </c>
      <c r="C175" s="4" t="s">
        <v>36</v>
      </c>
      <c r="D175" s="4" t="s">
        <v>41</v>
      </c>
      <c r="E175" s="4" t="s">
        <v>25</v>
      </c>
      <c r="F175" s="4" t="s">
        <v>25</v>
      </c>
      <c r="G175" s="4" t="s">
        <v>25</v>
      </c>
      <c r="H175" s="4" t="s">
        <v>25</v>
      </c>
      <c r="I175" s="5">
        <v>44652</v>
      </c>
      <c r="J175" s="6">
        <v>90</v>
      </c>
      <c r="K175" s="61">
        <v>90</v>
      </c>
      <c r="L175" s="6">
        <v>0</v>
      </c>
      <c r="M175" s="61">
        <v>0</v>
      </c>
      <c r="N175" s="6">
        <v>0</v>
      </c>
      <c r="O175" s="61">
        <v>0</v>
      </c>
      <c r="P175" s="6">
        <v>1</v>
      </c>
      <c r="Q175" s="4" t="s">
        <v>26</v>
      </c>
      <c r="R175" s="4">
        <v>0</v>
      </c>
      <c r="S175" s="6">
        <v>16</v>
      </c>
      <c r="T175" s="6">
        <v>0</v>
      </c>
      <c r="U175" s="6">
        <v>0</v>
      </c>
      <c r="V175" s="61">
        <f>IF(ISERROR(VLOOKUP($S$175,'TAR FIN'!$A$1:$O$85,15,0)),0,VLOOKUP($S$175,'TAR FIN'!$A$1:$O$85,15,0))*(1-0.04)</f>
        <v>24.633599999999998</v>
      </c>
      <c r="W175" s="61">
        <f>IF(ISERROR(VLOOKUP($T$175,'TAR FIN'!$A$1:$O$85,15,0)),0,VLOOKUP($T$175,'TAR FIN'!$A$1:$O$85,15,0))</f>
        <v>0</v>
      </c>
      <c r="X175" s="61">
        <f>IF(ISERROR(VLOOKUP($U$175,'TAR FIN'!$A$1:$O$85,15,0)),0,VLOOKUP($U$175,'TAR FIN'!$A$1:$O$85,15,0))</f>
        <v>0</v>
      </c>
      <c r="Y175" s="61">
        <f ca="1">('TUSD BE'!$AM$10+'TUSD BF'!$AM$10+'TUSD CVA'!$AM$10)*1*(1-0.02)</f>
        <v>24.68581629644903</v>
      </c>
      <c r="Z175" s="61"/>
      <c r="AA175" s="61"/>
      <c r="AB175" s="6">
        <f>$K$175*$V$175</f>
        <v>2217.0239999999999</v>
      </c>
      <c r="AC175" s="6">
        <f>$M$175*$W$175</f>
        <v>0</v>
      </c>
      <c r="AD175" s="6">
        <f>$O$175*$X$175</f>
        <v>0</v>
      </c>
      <c r="AE175" s="6">
        <f ca="1">$K$175*$Y$175</f>
        <v>2221.7234666804125</v>
      </c>
      <c r="AF175" s="6">
        <f>$M$175*$Z$175</f>
        <v>0</v>
      </c>
      <c r="AG175" s="6">
        <f>$O$175*$AA$175</f>
        <v>0</v>
      </c>
    </row>
    <row r="176" spans="1:33" ht="11.25" customHeight="1" x14ac:dyDescent="0.25">
      <c r="A176" s="4" t="s">
        <v>28</v>
      </c>
      <c r="B176" s="4" t="s">
        <v>35</v>
      </c>
      <c r="C176" s="4" t="s">
        <v>36</v>
      </c>
      <c r="D176" s="4" t="s">
        <v>41</v>
      </c>
      <c r="E176" s="4" t="s">
        <v>25</v>
      </c>
      <c r="F176" s="4" t="s">
        <v>25</v>
      </c>
      <c r="G176" s="4" t="s">
        <v>25</v>
      </c>
      <c r="H176" s="4" t="s">
        <v>25</v>
      </c>
      <c r="I176" s="5">
        <v>44652</v>
      </c>
      <c r="J176" s="6">
        <v>270</v>
      </c>
      <c r="K176" s="61">
        <v>270</v>
      </c>
      <c r="L176" s="6">
        <v>0</v>
      </c>
      <c r="M176" s="61">
        <v>0</v>
      </c>
      <c r="N176" s="6">
        <v>0</v>
      </c>
      <c r="O176" s="61">
        <v>0</v>
      </c>
      <c r="P176" s="6">
        <v>2</v>
      </c>
      <c r="Q176" s="4" t="s">
        <v>26</v>
      </c>
      <c r="R176" s="4">
        <v>0</v>
      </c>
      <c r="S176" s="6">
        <v>16</v>
      </c>
      <c r="T176" s="6">
        <v>0</v>
      </c>
      <c r="U176" s="6">
        <v>0</v>
      </c>
      <c r="V176" s="61">
        <f>IF(ISERROR(VLOOKUP($S$176,'TAR FIN'!$A$1:$O$85,15,0)),0,VLOOKUP($S$176,'TAR FIN'!$A$1:$O$85,15,0))*(1-0.04)</f>
        <v>24.633599999999998</v>
      </c>
      <c r="W176" s="61">
        <f>IF(ISERROR(VLOOKUP($T$176,'TAR FIN'!$A$1:$O$85,15,0)),0,VLOOKUP($T$176,'TAR FIN'!$A$1:$O$85,15,0))</f>
        <v>0</v>
      </c>
      <c r="X176" s="61">
        <f>IF(ISERROR(VLOOKUP($U$176,'TAR FIN'!$A$1:$O$85,15,0)),0,VLOOKUP($U$176,'TAR FIN'!$A$1:$O$85,15,0))</f>
        <v>0</v>
      </c>
      <c r="Y176" s="61">
        <f ca="1">('TUSD BE'!$AM$10+'TUSD BF'!$AM$10+'TUSD CVA'!$AM$10)*1*(1-0.02)</f>
        <v>24.68581629644903</v>
      </c>
      <c r="Z176" s="61"/>
      <c r="AA176" s="61"/>
      <c r="AB176" s="6">
        <f>$K$176*$V$176</f>
        <v>6651.0719999999992</v>
      </c>
      <c r="AC176" s="6">
        <f>$M$176*$W$176</f>
        <v>0</v>
      </c>
      <c r="AD176" s="6">
        <f>$O$176*$X$176</f>
        <v>0</v>
      </c>
      <c r="AE176" s="6">
        <f ca="1">$K$176*$Y$176</f>
        <v>6665.1704000412383</v>
      </c>
      <c r="AF176" s="6">
        <f>$M$176*$Z$176</f>
        <v>0</v>
      </c>
      <c r="AG176" s="6">
        <f>$O$176*$AA$176</f>
        <v>0</v>
      </c>
    </row>
    <row r="177" spans="1:33" ht="11.25" customHeight="1" x14ac:dyDescent="0.25">
      <c r="A177" s="4" t="s">
        <v>21</v>
      </c>
      <c r="B177" s="4" t="s">
        <v>35</v>
      </c>
      <c r="C177" s="4" t="s">
        <v>36</v>
      </c>
      <c r="D177" s="4" t="s">
        <v>41</v>
      </c>
      <c r="E177" s="4" t="s">
        <v>25</v>
      </c>
      <c r="F177" s="4" t="s">
        <v>25</v>
      </c>
      <c r="G177" s="4" t="s">
        <v>25</v>
      </c>
      <c r="H177" s="4" t="s">
        <v>25</v>
      </c>
      <c r="I177" s="5">
        <v>44682</v>
      </c>
      <c r="J177" s="6">
        <v>90</v>
      </c>
      <c r="K177" s="61">
        <v>90</v>
      </c>
      <c r="L177" s="6">
        <v>0</v>
      </c>
      <c r="M177" s="61">
        <v>0</v>
      </c>
      <c r="N177" s="6">
        <v>0</v>
      </c>
      <c r="O177" s="61">
        <v>0</v>
      </c>
      <c r="P177" s="6">
        <v>1</v>
      </c>
      <c r="Q177" s="4" t="s">
        <v>26</v>
      </c>
      <c r="R177" s="4">
        <v>0</v>
      </c>
      <c r="S177" s="6">
        <v>16</v>
      </c>
      <c r="T177" s="6">
        <v>0</v>
      </c>
      <c r="U177" s="6">
        <v>0</v>
      </c>
      <c r="V177" s="61">
        <f>IF(ISERROR(VLOOKUP($S$177,'TAR FIN'!$A$1:$O$85,15,0)),0,VLOOKUP($S$177,'TAR FIN'!$A$1:$O$85,15,0))*(1-0.04)</f>
        <v>24.633599999999998</v>
      </c>
      <c r="W177" s="61">
        <f>IF(ISERROR(VLOOKUP($T$177,'TAR FIN'!$A$1:$O$85,15,0)),0,VLOOKUP($T$177,'TAR FIN'!$A$1:$O$85,15,0))</f>
        <v>0</v>
      </c>
      <c r="X177" s="61">
        <f>IF(ISERROR(VLOOKUP($U$177,'TAR FIN'!$A$1:$O$85,15,0)),0,VLOOKUP($U$177,'TAR FIN'!$A$1:$O$85,15,0))</f>
        <v>0</v>
      </c>
      <c r="Y177" s="61">
        <f ca="1">('TUSD BE'!$AM$10+'TUSD BF'!$AM$10+'TUSD CVA'!$AM$10)*1*(1-0.02)</f>
        <v>24.68581629644903</v>
      </c>
      <c r="Z177" s="61"/>
      <c r="AA177" s="61"/>
      <c r="AB177" s="6">
        <f>$K$177*$V$177</f>
        <v>2217.0239999999999</v>
      </c>
      <c r="AC177" s="6">
        <f>$M$177*$W$177</f>
        <v>0</v>
      </c>
      <c r="AD177" s="6">
        <f>$O$177*$X$177</f>
        <v>0</v>
      </c>
      <c r="AE177" s="6">
        <f ca="1">$K$177*$Y$177</f>
        <v>2221.7234666804125</v>
      </c>
      <c r="AF177" s="6">
        <f>$M$177*$Z$177</f>
        <v>0</v>
      </c>
      <c r="AG177" s="6">
        <f>$O$177*$AA$177</f>
        <v>0</v>
      </c>
    </row>
    <row r="178" spans="1:33" ht="11.25" customHeight="1" x14ac:dyDescent="0.25">
      <c r="A178" s="4" t="s">
        <v>28</v>
      </c>
      <c r="B178" s="4" t="s">
        <v>35</v>
      </c>
      <c r="C178" s="4" t="s">
        <v>36</v>
      </c>
      <c r="D178" s="4" t="s">
        <v>41</v>
      </c>
      <c r="E178" s="4" t="s">
        <v>25</v>
      </c>
      <c r="F178" s="4" t="s">
        <v>25</v>
      </c>
      <c r="G178" s="4" t="s">
        <v>25</v>
      </c>
      <c r="H178" s="4" t="s">
        <v>25</v>
      </c>
      <c r="I178" s="5">
        <v>44682</v>
      </c>
      <c r="J178" s="6">
        <v>250</v>
      </c>
      <c r="K178" s="61">
        <v>250</v>
      </c>
      <c r="L178" s="6">
        <v>0</v>
      </c>
      <c r="M178" s="61">
        <v>0</v>
      </c>
      <c r="N178" s="6">
        <v>0</v>
      </c>
      <c r="O178" s="61">
        <v>0</v>
      </c>
      <c r="P178" s="6">
        <v>2</v>
      </c>
      <c r="Q178" s="4" t="s">
        <v>26</v>
      </c>
      <c r="R178" s="4">
        <v>0</v>
      </c>
      <c r="S178" s="6">
        <v>16</v>
      </c>
      <c r="T178" s="6">
        <v>0</v>
      </c>
      <c r="U178" s="6">
        <v>0</v>
      </c>
      <c r="V178" s="61">
        <f>IF(ISERROR(VLOOKUP($S$178,'TAR FIN'!$A$1:$O$85,15,0)),0,VLOOKUP($S$178,'TAR FIN'!$A$1:$O$85,15,0))*(1-0.04)</f>
        <v>24.633599999999998</v>
      </c>
      <c r="W178" s="61">
        <f>IF(ISERROR(VLOOKUP($T$178,'TAR FIN'!$A$1:$O$85,15,0)),0,VLOOKUP($T$178,'TAR FIN'!$A$1:$O$85,15,0))</f>
        <v>0</v>
      </c>
      <c r="X178" s="61">
        <f>IF(ISERROR(VLOOKUP($U$178,'TAR FIN'!$A$1:$O$85,15,0)),0,VLOOKUP($U$178,'TAR FIN'!$A$1:$O$85,15,0))</f>
        <v>0</v>
      </c>
      <c r="Y178" s="61">
        <f ca="1">('TUSD BE'!$AM$10+'TUSD BF'!$AM$10+'TUSD CVA'!$AM$10)*1*(1-0.02)</f>
        <v>24.68581629644903</v>
      </c>
      <c r="Z178" s="61"/>
      <c r="AA178" s="61"/>
      <c r="AB178" s="6">
        <f>$K$178*$V$178</f>
        <v>6158.4</v>
      </c>
      <c r="AC178" s="6">
        <f>$M$178*$W$178</f>
        <v>0</v>
      </c>
      <c r="AD178" s="6">
        <f>$O$178*$X$178</f>
        <v>0</v>
      </c>
      <c r="AE178" s="6">
        <f ca="1">$K$178*$Y$178</f>
        <v>6171.4540741122573</v>
      </c>
      <c r="AF178" s="6">
        <f>$M$178*$Z$178</f>
        <v>0</v>
      </c>
      <c r="AG178" s="6">
        <f>$O$178*$AA$178</f>
        <v>0</v>
      </c>
    </row>
    <row r="179" spans="1:33" ht="11.25" customHeight="1" x14ac:dyDescent="0.25">
      <c r="A179" s="4" t="s">
        <v>21</v>
      </c>
      <c r="B179" s="4" t="s">
        <v>35</v>
      </c>
      <c r="C179" s="4" t="s">
        <v>36</v>
      </c>
      <c r="D179" s="4" t="s">
        <v>41</v>
      </c>
      <c r="E179" s="4" t="s">
        <v>25</v>
      </c>
      <c r="F179" s="4" t="s">
        <v>25</v>
      </c>
      <c r="G179" s="4" t="s">
        <v>25</v>
      </c>
      <c r="H179" s="4" t="s">
        <v>25</v>
      </c>
      <c r="I179" s="5">
        <v>44713</v>
      </c>
      <c r="J179" s="6">
        <v>90</v>
      </c>
      <c r="K179" s="61">
        <v>90</v>
      </c>
      <c r="L179" s="6">
        <v>0</v>
      </c>
      <c r="M179" s="61">
        <v>0</v>
      </c>
      <c r="N179" s="6">
        <v>0</v>
      </c>
      <c r="O179" s="61">
        <v>0</v>
      </c>
      <c r="P179" s="6">
        <v>1</v>
      </c>
      <c r="Q179" s="4" t="s">
        <v>26</v>
      </c>
      <c r="R179" s="4">
        <v>0</v>
      </c>
      <c r="S179" s="6">
        <v>16</v>
      </c>
      <c r="T179" s="6">
        <v>0</v>
      </c>
      <c r="U179" s="6">
        <v>0</v>
      </c>
      <c r="V179" s="61">
        <f>IF(ISERROR(VLOOKUP($S$179,'TAR FIN'!$A$1:$O$85,15,0)),0,VLOOKUP($S$179,'TAR FIN'!$A$1:$O$85,15,0))*(1-0.04)</f>
        <v>24.633599999999998</v>
      </c>
      <c r="W179" s="61">
        <f>IF(ISERROR(VLOOKUP($T$179,'TAR FIN'!$A$1:$O$85,15,0)),0,VLOOKUP($T$179,'TAR FIN'!$A$1:$O$85,15,0))</f>
        <v>0</v>
      </c>
      <c r="X179" s="61">
        <f>IF(ISERROR(VLOOKUP($U$179,'TAR FIN'!$A$1:$O$85,15,0)),0,VLOOKUP($U$179,'TAR FIN'!$A$1:$O$85,15,0))</f>
        <v>0</v>
      </c>
      <c r="Y179" s="61">
        <f ca="1">('TUSD BE'!$AM$10+'TUSD BF'!$AM$10+'TUSD CVA'!$AM$10)*1*(1-0.02)</f>
        <v>24.68581629644903</v>
      </c>
      <c r="Z179" s="61"/>
      <c r="AA179" s="61"/>
      <c r="AB179" s="6">
        <f>$K$179*$V$179</f>
        <v>2217.0239999999999</v>
      </c>
      <c r="AC179" s="6">
        <f>$M$179*$W$179</f>
        <v>0</v>
      </c>
      <c r="AD179" s="6">
        <f>$O$179*$X$179</f>
        <v>0</v>
      </c>
      <c r="AE179" s="6">
        <f ca="1">$K$179*$Y$179</f>
        <v>2221.7234666804125</v>
      </c>
      <c r="AF179" s="6">
        <f>$M$179*$Z$179</f>
        <v>0</v>
      </c>
      <c r="AG179" s="6">
        <f>$O$179*$AA$179</f>
        <v>0</v>
      </c>
    </row>
    <row r="180" spans="1:33" ht="11.25" customHeight="1" x14ac:dyDescent="0.25">
      <c r="A180" s="4" t="s">
        <v>28</v>
      </c>
      <c r="B180" s="4" t="s">
        <v>35</v>
      </c>
      <c r="C180" s="4" t="s">
        <v>36</v>
      </c>
      <c r="D180" s="4" t="s">
        <v>41</v>
      </c>
      <c r="E180" s="4" t="s">
        <v>25</v>
      </c>
      <c r="F180" s="4" t="s">
        <v>25</v>
      </c>
      <c r="G180" s="4" t="s">
        <v>25</v>
      </c>
      <c r="H180" s="4" t="s">
        <v>25</v>
      </c>
      <c r="I180" s="5">
        <v>44713</v>
      </c>
      <c r="J180" s="6">
        <v>259</v>
      </c>
      <c r="K180" s="61">
        <v>259</v>
      </c>
      <c r="L180" s="6">
        <v>0</v>
      </c>
      <c r="M180" s="61">
        <v>0</v>
      </c>
      <c r="N180" s="6">
        <v>0</v>
      </c>
      <c r="O180" s="61">
        <v>0</v>
      </c>
      <c r="P180" s="6">
        <v>2</v>
      </c>
      <c r="Q180" s="4" t="s">
        <v>26</v>
      </c>
      <c r="R180" s="4">
        <v>0</v>
      </c>
      <c r="S180" s="6">
        <v>16</v>
      </c>
      <c r="T180" s="6">
        <v>0</v>
      </c>
      <c r="U180" s="6">
        <v>0</v>
      </c>
      <c r="V180" s="61">
        <f>IF(ISERROR(VLOOKUP($S$180,'TAR FIN'!$A$1:$O$85,15,0)),0,VLOOKUP($S$180,'TAR FIN'!$A$1:$O$85,15,0))*(1-0.04)</f>
        <v>24.633599999999998</v>
      </c>
      <c r="W180" s="61">
        <f>IF(ISERROR(VLOOKUP($T$180,'TAR FIN'!$A$1:$O$85,15,0)),0,VLOOKUP($T$180,'TAR FIN'!$A$1:$O$85,15,0))</f>
        <v>0</v>
      </c>
      <c r="X180" s="61">
        <f>IF(ISERROR(VLOOKUP($U$180,'TAR FIN'!$A$1:$O$85,15,0)),0,VLOOKUP($U$180,'TAR FIN'!$A$1:$O$85,15,0))</f>
        <v>0</v>
      </c>
      <c r="Y180" s="61">
        <f ca="1">('TUSD BE'!$AM$10+'TUSD BF'!$AM$10+'TUSD CVA'!$AM$10)*1*(1-0.02)</f>
        <v>24.68581629644903</v>
      </c>
      <c r="Z180" s="61"/>
      <c r="AA180" s="61"/>
      <c r="AB180" s="6">
        <f>$K$180*$V$180</f>
        <v>6380.1023999999998</v>
      </c>
      <c r="AC180" s="6">
        <f>$M$180*$W$180</f>
        <v>0</v>
      </c>
      <c r="AD180" s="6">
        <f>$O$180*$X$180</f>
        <v>0</v>
      </c>
      <c r="AE180" s="6">
        <f ca="1">$K$180*$Y$180</f>
        <v>6393.6264207802988</v>
      </c>
      <c r="AF180" s="6">
        <f>$M$180*$Z$180</f>
        <v>0</v>
      </c>
      <c r="AG180" s="6">
        <f>$O$180*$AA$180</f>
        <v>0</v>
      </c>
    </row>
    <row r="181" spans="1:33" ht="11.25" customHeight="1" x14ac:dyDescent="0.25">
      <c r="A181" s="4" t="s">
        <v>21</v>
      </c>
      <c r="B181" s="4" t="s">
        <v>35</v>
      </c>
      <c r="C181" s="4" t="s">
        <v>36</v>
      </c>
      <c r="D181" s="4" t="s">
        <v>41</v>
      </c>
      <c r="E181" s="4" t="s">
        <v>25</v>
      </c>
      <c r="F181" s="4" t="s">
        <v>25</v>
      </c>
      <c r="G181" s="4" t="s">
        <v>25</v>
      </c>
      <c r="H181" s="4" t="s">
        <v>25</v>
      </c>
      <c r="I181" s="5">
        <v>44743</v>
      </c>
      <c r="J181" s="6">
        <v>90</v>
      </c>
      <c r="K181" s="61">
        <v>90</v>
      </c>
      <c r="L181" s="6">
        <v>0</v>
      </c>
      <c r="M181" s="61">
        <v>0</v>
      </c>
      <c r="N181" s="6">
        <v>0</v>
      </c>
      <c r="O181" s="61">
        <v>0</v>
      </c>
      <c r="P181" s="6">
        <v>1</v>
      </c>
      <c r="Q181" s="4" t="s">
        <v>26</v>
      </c>
      <c r="R181" s="4">
        <v>0</v>
      </c>
      <c r="S181" s="6">
        <v>16</v>
      </c>
      <c r="T181" s="6">
        <v>0</v>
      </c>
      <c r="U181" s="6">
        <v>0</v>
      </c>
      <c r="V181" s="61">
        <f>IF(ISERROR(VLOOKUP($S$181,'TAR FIN'!$A$1:$O$85,15,0)),0,VLOOKUP($S$181,'TAR FIN'!$A$1:$O$85,15,0))*(1-0.04)</f>
        <v>24.633599999999998</v>
      </c>
      <c r="W181" s="61">
        <f>IF(ISERROR(VLOOKUP($T$181,'TAR FIN'!$A$1:$O$85,15,0)),0,VLOOKUP($T$181,'TAR FIN'!$A$1:$O$85,15,0))</f>
        <v>0</v>
      </c>
      <c r="X181" s="61">
        <f>IF(ISERROR(VLOOKUP($U$181,'TAR FIN'!$A$1:$O$85,15,0)),0,VLOOKUP($U$181,'TAR FIN'!$A$1:$O$85,15,0))</f>
        <v>0</v>
      </c>
      <c r="Y181" s="61">
        <f ca="1">('TUSD BE'!$AM$10+'TUSD BF'!$AM$10+'TUSD CVA'!$AM$10)*1*(1-0.02)</f>
        <v>24.68581629644903</v>
      </c>
      <c r="Z181" s="61"/>
      <c r="AA181" s="61"/>
      <c r="AB181" s="6">
        <f>$K$181*$V$181</f>
        <v>2217.0239999999999</v>
      </c>
      <c r="AC181" s="6">
        <f>$M$181*$W$181</f>
        <v>0</v>
      </c>
      <c r="AD181" s="6">
        <f>$O$181*$X$181</f>
        <v>0</v>
      </c>
      <c r="AE181" s="6">
        <f ca="1">$K$181*$Y$181</f>
        <v>2221.7234666804125</v>
      </c>
      <c r="AF181" s="6">
        <f>$M$181*$Z$181</f>
        <v>0</v>
      </c>
      <c r="AG181" s="6">
        <f>$O$181*$AA$181</f>
        <v>0</v>
      </c>
    </row>
    <row r="182" spans="1:33" ht="11.25" customHeight="1" x14ac:dyDescent="0.25">
      <c r="A182" s="4" t="s">
        <v>28</v>
      </c>
      <c r="B182" s="4" t="s">
        <v>35</v>
      </c>
      <c r="C182" s="4" t="s">
        <v>36</v>
      </c>
      <c r="D182" s="4" t="s">
        <v>41</v>
      </c>
      <c r="E182" s="4" t="s">
        <v>25</v>
      </c>
      <c r="F182" s="4" t="s">
        <v>25</v>
      </c>
      <c r="G182" s="4" t="s">
        <v>25</v>
      </c>
      <c r="H182" s="4" t="s">
        <v>25</v>
      </c>
      <c r="I182" s="5">
        <v>44743</v>
      </c>
      <c r="J182" s="6">
        <v>100</v>
      </c>
      <c r="K182" s="61">
        <v>100</v>
      </c>
      <c r="L182" s="6">
        <v>0</v>
      </c>
      <c r="M182" s="61">
        <v>0</v>
      </c>
      <c r="N182" s="6">
        <v>0</v>
      </c>
      <c r="O182" s="61">
        <v>0</v>
      </c>
      <c r="P182" s="6">
        <v>1</v>
      </c>
      <c r="Q182" s="4" t="s">
        <v>26</v>
      </c>
      <c r="R182" s="4">
        <v>0</v>
      </c>
      <c r="S182" s="6">
        <v>16</v>
      </c>
      <c r="T182" s="6">
        <v>0</v>
      </c>
      <c r="U182" s="6">
        <v>0</v>
      </c>
      <c r="V182" s="61">
        <f>IF(ISERROR(VLOOKUP($S$182,'TAR FIN'!$A$1:$O$85,15,0)),0,VLOOKUP($S$182,'TAR FIN'!$A$1:$O$85,15,0))*(1-0.04)</f>
        <v>24.633599999999998</v>
      </c>
      <c r="W182" s="61">
        <f>IF(ISERROR(VLOOKUP($T$182,'TAR FIN'!$A$1:$O$85,15,0)),0,VLOOKUP($T$182,'TAR FIN'!$A$1:$O$85,15,0))</f>
        <v>0</v>
      </c>
      <c r="X182" s="61">
        <f>IF(ISERROR(VLOOKUP($U$182,'TAR FIN'!$A$1:$O$85,15,0)),0,VLOOKUP($U$182,'TAR FIN'!$A$1:$O$85,15,0))</f>
        <v>0</v>
      </c>
      <c r="Y182" s="61">
        <f ca="1">('TUSD BE'!$AM$10+'TUSD BF'!$AM$10+'TUSD CVA'!$AM$10)*1*(1-0.02)</f>
        <v>24.68581629644903</v>
      </c>
      <c r="Z182" s="61"/>
      <c r="AA182" s="61"/>
      <c r="AB182" s="6">
        <f>$K$182*$V$182</f>
        <v>2463.3599999999997</v>
      </c>
      <c r="AC182" s="6">
        <f>$M$182*$W$182</f>
        <v>0</v>
      </c>
      <c r="AD182" s="6">
        <f>$O$182*$X$182</f>
        <v>0</v>
      </c>
      <c r="AE182" s="6">
        <f ca="1">$K$182*$Y$182</f>
        <v>2468.5816296449029</v>
      </c>
      <c r="AF182" s="6">
        <f>$M$182*$Z$182</f>
        <v>0</v>
      </c>
      <c r="AG182" s="6">
        <f>$O$182*$AA$182</f>
        <v>0</v>
      </c>
    </row>
    <row r="183" spans="1:33" ht="11.25" customHeight="1" x14ac:dyDescent="0.25">
      <c r="A183" s="4" t="s">
        <v>21</v>
      </c>
      <c r="B183" s="4" t="s">
        <v>35</v>
      </c>
      <c r="C183" s="4" t="s">
        <v>36</v>
      </c>
      <c r="D183" s="4" t="s">
        <v>41</v>
      </c>
      <c r="E183" s="4" t="s">
        <v>25</v>
      </c>
      <c r="F183" s="4" t="s">
        <v>25</v>
      </c>
      <c r="G183" s="4" t="s">
        <v>25</v>
      </c>
      <c r="H183" s="4" t="s">
        <v>25</v>
      </c>
      <c r="I183" s="5">
        <v>44774</v>
      </c>
      <c r="J183" s="6">
        <v>90</v>
      </c>
      <c r="K183" s="61">
        <v>90</v>
      </c>
      <c r="L183" s="6">
        <v>0</v>
      </c>
      <c r="M183" s="61">
        <v>0</v>
      </c>
      <c r="N183" s="6">
        <v>0</v>
      </c>
      <c r="O183" s="61">
        <v>0</v>
      </c>
      <c r="P183" s="6">
        <v>1</v>
      </c>
      <c r="Q183" s="4" t="s">
        <v>26</v>
      </c>
      <c r="R183" s="4">
        <v>0</v>
      </c>
      <c r="S183" s="6">
        <v>16</v>
      </c>
      <c r="T183" s="6">
        <v>0</v>
      </c>
      <c r="U183" s="6">
        <v>0</v>
      </c>
      <c r="V183" s="61">
        <f>IF(ISERROR(VLOOKUP($S$183,'TAR FIN'!$A$1:$O$85,15,0)),0,VLOOKUP($S$183,'TAR FIN'!$A$1:$O$85,15,0))*(1-0.04)</f>
        <v>24.633599999999998</v>
      </c>
      <c r="W183" s="61">
        <f>IF(ISERROR(VLOOKUP($T$183,'TAR FIN'!$A$1:$O$85,15,0)),0,VLOOKUP($T$183,'TAR FIN'!$A$1:$O$85,15,0))</f>
        <v>0</v>
      </c>
      <c r="X183" s="61">
        <f>IF(ISERROR(VLOOKUP($U$183,'TAR FIN'!$A$1:$O$85,15,0)),0,VLOOKUP($U$183,'TAR FIN'!$A$1:$O$85,15,0))</f>
        <v>0</v>
      </c>
      <c r="Y183" s="61">
        <f ca="1">('TUSD BE'!$AM$10+'TUSD BF'!$AM$10+'TUSD CVA'!$AM$10)*1*(1-0.02)</f>
        <v>24.68581629644903</v>
      </c>
      <c r="Z183" s="61"/>
      <c r="AA183" s="61"/>
      <c r="AB183" s="6">
        <f>$K$183*$V$183</f>
        <v>2217.0239999999999</v>
      </c>
      <c r="AC183" s="6">
        <f>$M$183*$W$183</f>
        <v>0</v>
      </c>
      <c r="AD183" s="6">
        <f>$O$183*$X$183</f>
        <v>0</v>
      </c>
      <c r="AE183" s="6">
        <f ca="1">$K$183*$Y$183</f>
        <v>2221.7234666804125</v>
      </c>
      <c r="AF183" s="6">
        <f>$M$183*$Z$183</f>
        <v>0</v>
      </c>
      <c r="AG183" s="6">
        <f>$O$183*$AA$183</f>
        <v>0</v>
      </c>
    </row>
    <row r="184" spans="1:33" ht="11.25" customHeight="1" x14ac:dyDescent="0.25">
      <c r="A184" s="4" t="s">
        <v>28</v>
      </c>
      <c r="B184" s="4" t="s">
        <v>35</v>
      </c>
      <c r="C184" s="4" t="s">
        <v>36</v>
      </c>
      <c r="D184" s="4" t="s">
        <v>41</v>
      </c>
      <c r="E184" s="4" t="s">
        <v>25</v>
      </c>
      <c r="F184" s="4" t="s">
        <v>25</v>
      </c>
      <c r="G184" s="4" t="s">
        <v>25</v>
      </c>
      <c r="H184" s="4" t="s">
        <v>25</v>
      </c>
      <c r="I184" s="5">
        <v>44774</v>
      </c>
      <c r="J184" s="6">
        <v>250</v>
      </c>
      <c r="K184" s="61">
        <v>250</v>
      </c>
      <c r="L184" s="6">
        <v>0</v>
      </c>
      <c r="M184" s="61">
        <v>0</v>
      </c>
      <c r="N184" s="6">
        <v>0</v>
      </c>
      <c r="O184" s="61">
        <v>0</v>
      </c>
      <c r="P184" s="6">
        <v>2</v>
      </c>
      <c r="Q184" s="4" t="s">
        <v>26</v>
      </c>
      <c r="R184" s="4">
        <v>0</v>
      </c>
      <c r="S184" s="6">
        <v>16</v>
      </c>
      <c r="T184" s="6">
        <v>0</v>
      </c>
      <c r="U184" s="6">
        <v>0</v>
      </c>
      <c r="V184" s="61">
        <f>IF(ISERROR(VLOOKUP($S$184,'TAR FIN'!$A$1:$O$85,15,0)),0,VLOOKUP($S$184,'TAR FIN'!$A$1:$O$85,15,0))*(1-0.04)</f>
        <v>24.633599999999998</v>
      </c>
      <c r="W184" s="61">
        <f>IF(ISERROR(VLOOKUP($T$184,'TAR FIN'!$A$1:$O$85,15,0)),0,VLOOKUP($T$184,'TAR FIN'!$A$1:$O$85,15,0))</f>
        <v>0</v>
      </c>
      <c r="X184" s="61">
        <f>IF(ISERROR(VLOOKUP($U$184,'TAR FIN'!$A$1:$O$85,15,0)),0,VLOOKUP($U$184,'TAR FIN'!$A$1:$O$85,15,0))</f>
        <v>0</v>
      </c>
      <c r="Y184" s="61">
        <f ca="1">('TUSD BE'!$AM$10+'TUSD BF'!$AM$10+'TUSD CVA'!$AM$10)*1*(1-0.02)</f>
        <v>24.68581629644903</v>
      </c>
      <c r="Z184" s="61"/>
      <c r="AA184" s="61"/>
      <c r="AB184" s="6">
        <f>$K$184*$V$184</f>
        <v>6158.4</v>
      </c>
      <c r="AC184" s="6">
        <f>$M$184*$W$184</f>
        <v>0</v>
      </c>
      <c r="AD184" s="6">
        <f>$O$184*$X$184</f>
        <v>0</v>
      </c>
      <c r="AE184" s="6">
        <f ca="1">$K$184*$Y$184</f>
        <v>6171.4540741122573</v>
      </c>
      <c r="AF184" s="6">
        <f>$M$184*$Z$184</f>
        <v>0</v>
      </c>
      <c r="AG184" s="6">
        <f>$O$184*$AA$184</f>
        <v>0</v>
      </c>
    </row>
    <row r="185" spans="1:33" ht="11.25" customHeight="1" x14ac:dyDescent="0.25">
      <c r="A185" s="4" t="s">
        <v>21</v>
      </c>
      <c r="B185" s="4" t="s">
        <v>35</v>
      </c>
      <c r="C185" s="4" t="s">
        <v>36</v>
      </c>
      <c r="D185" s="4" t="s">
        <v>41</v>
      </c>
      <c r="E185" s="4" t="s">
        <v>25</v>
      </c>
      <c r="F185" s="4" t="s">
        <v>25</v>
      </c>
      <c r="G185" s="4" t="s">
        <v>25</v>
      </c>
      <c r="H185" s="4" t="s">
        <v>37</v>
      </c>
      <c r="I185" s="5">
        <v>44440</v>
      </c>
      <c r="J185" s="6">
        <v>0</v>
      </c>
      <c r="K185" s="61">
        <v>0</v>
      </c>
      <c r="L185" s="6">
        <v>2.2890000000000001</v>
      </c>
      <c r="M185" s="61">
        <v>2.2890000000000001</v>
      </c>
      <c r="N185" s="6">
        <v>2.2890000000000001</v>
      </c>
      <c r="O185" s="61">
        <v>2.2890000000000001</v>
      </c>
      <c r="P185" s="6">
        <v>0</v>
      </c>
      <c r="Q185" s="4" t="s">
        <v>26</v>
      </c>
      <c r="R185" s="4">
        <v>0</v>
      </c>
      <c r="S185" s="6">
        <v>0</v>
      </c>
      <c r="T185" s="6">
        <v>25</v>
      </c>
      <c r="U185" s="6">
        <v>44</v>
      </c>
      <c r="V185" s="61">
        <f>IF(ISERROR(VLOOKUP($S$185,'TAR FIN'!$A$1:$O$85,15,0)),0,VLOOKUP($S$185,'TAR FIN'!$A$1:$O$85,15,0))</f>
        <v>0</v>
      </c>
      <c r="W185" s="61">
        <f>IF(ISERROR(VLOOKUP($T$185,'TAR FIN'!$A$1:$O$85,15,0)),0,VLOOKUP($T$185,'TAR FIN'!$A$1:$O$85,15,0))*(1-0.04)</f>
        <v>1845.6575999999998</v>
      </c>
      <c r="X185" s="61">
        <f>IF(ISERROR(VLOOKUP($U$185,'TAR FIN'!$A$1:$O$85,15,0)),0,VLOOKUP($U$185,'TAR FIN'!$A$1:$O$85,15,0))*(1-0.04)</f>
        <v>135.66719999999998</v>
      </c>
      <c r="Y185" s="61"/>
      <c r="Z185" s="61">
        <f ca="1">('TUSD BE'!$AM$11+'TUSD BF'!$AM$11+'TUSD CVA'!$AM$11)*1*(1-0.02)</f>
        <v>1893.0693128580479</v>
      </c>
      <c r="AA185" s="61">
        <f>('TE BE'!$AB$5+'TE BF'!$AB$5+'TE CVA'!$AB$5)*1*(1-0.02)</f>
        <v>133.0901362797062</v>
      </c>
      <c r="AB185" s="6">
        <f>$K$185*$V$185</f>
        <v>0</v>
      </c>
      <c r="AC185" s="6">
        <f>$M$185*$W$185</f>
        <v>4224.7102464</v>
      </c>
      <c r="AD185" s="6">
        <f>$O$185*$X$185</f>
        <v>310.5422208</v>
      </c>
      <c r="AE185" s="6">
        <f>$K$185*$Y$185</f>
        <v>0</v>
      </c>
      <c r="AF185" s="6">
        <f ca="1">$M$185*$Z$185</f>
        <v>4333.2356571320715</v>
      </c>
      <c r="AG185" s="6">
        <f>$O$185*$AA$185</f>
        <v>304.64332194424753</v>
      </c>
    </row>
    <row r="186" spans="1:33" ht="11.25" customHeight="1" x14ac:dyDescent="0.25">
      <c r="A186" s="4" t="s">
        <v>28</v>
      </c>
      <c r="B186" s="4" t="s">
        <v>35</v>
      </c>
      <c r="C186" s="4" t="s">
        <v>36</v>
      </c>
      <c r="D186" s="4" t="s">
        <v>41</v>
      </c>
      <c r="E186" s="4" t="s">
        <v>25</v>
      </c>
      <c r="F186" s="4" t="s">
        <v>25</v>
      </c>
      <c r="G186" s="4" t="s">
        <v>25</v>
      </c>
      <c r="H186" s="4" t="s">
        <v>37</v>
      </c>
      <c r="I186" s="5">
        <v>44440</v>
      </c>
      <c r="J186" s="6">
        <v>0</v>
      </c>
      <c r="K186" s="61">
        <v>0</v>
      </c>
      <c r="L186" s="6">
        <v>2.2869999999999999</v>
      </c>
      <c r="M186" s="61">
        <v>2.2869999999999999</v>
      </c>
      <c r="N186" s="6">
        <v>2.2869999999999999</v>
      </c>
      <c r="O186" s="61">
        <v>2.2869999999999999</v>
      </c>
      <c r="P186" s="6">
        <v>0</v>
      </c>
      <c r="Q186" s="4" t="s">
        <v>26</v>
      </c>
      <c r="R186" s="4">
        <v>0</v>
      </c>
      <c r="S186" s="6">
        <v>0</v>
      </c>
      <c r="T186" s="6">
        <v>25</v>
      </c>
      <c r="U186" s="6">
        <v>44</v>
      </c>
      <c r="V186" s="61">
        <f>IF(ISERROR(VLOOKUP($S$186,'TAR FIN'!$A$1:$O$85,15,0)),0,VLOOKUP($S$186,'TAR FIN'!$A$1:$O$85,15,0))</f>
        <v>0</v>
      </c>
      <c r="W186" s="61">
        <f>IF(ISERROR(VLOOKUP($T$186,'TAR FIN'!$A$1:$O$85,15,0)),0,VLOOKUP($T$186,'TAR FIN'!$A$1:$O$85,15,0))*(1-0.04)</f>
        <v>1845.6575999999998</v>
      </c>
      <c r="X186" s="61">
        <f>IF(ISERROR(VLOOKUP($U$186,'TAR FIN'!$A$1:$O$85,15,0)),0,VLOOKUP($U$186,'TAR FIN'!$A$1:$O$85,15,0))*(1-0.04)</f>
        <v>135.66719999999998</v>
      </c>
      <c r="Y186" s="61"/>
      <c r="Z186" s="61">
        <f ca="1">('TUSD BE'!$AM$11+'TUSD BF'!$AM$11+'TUSD CVA'!$AM$11)*1*(1-0.02)</f>
        <v>1893.0693128580479</v>
      </c>
      <c r="AA186" s="61">
        <f>('TE BE'!$AB$5+'TE BF'!$AB$5+'TE CVA'!$AB$5)*1*(1-0.02)</f>
        <v>133.0901362797062</v>
      </c>
      <c r="AB186" s="6">
        <f>$K$186*$V$186</f>
        <v>0</v>
      </c>
      <c r="AC186" s="6">
        <f>$M$186*$W$186</f>
        <v>4221.0189311999993</v>
      </c>
      <c r="AD186" s="6">
        <f>$O$186*$X$186</f>
        <v>310.27088639999994</v>
      </c>
      <c r="AE186" s="6">
        <f>$K$186*$Y$186</f>
        <v>0</v>
      </c>
      <c r="AF186" s="6">
        <f ca="1">$M$186*$Z$186</f>
        <v>4329.4495185063552</v>
      </c>
      <c r="AG186" s="6">
        <f>$O$186*$AA$186</f>
        <v>304.37714167168809</v>
      </c>
    </row>
    <row r="187" spans="1:33" ht="11.25" customHeight="1" x14ac:dyDescent="0.25">
      <c r="A187" s="4" t="s">
        <v>21</v>
      </c>
      <c r="B187" s="4" t="s">
        <v>35</v>
      </c>
      <c r="C187" s="4" t="s">
        <v>36</v>
      </c>
      <c r="D187" s="4" t="s">
        <v>41</v>
      </c>
      <c r="E187" s="4" t="s">
        <v>25</v>
      </c>
      <c r="F187" s="4" t="s">
        <v>25</v>
      </c>
      <c r="G187" s="4" t="s">
        <v>25</v>
      </c>
      <c r="H187" s="4" t="s">
        <v>37</v>
      </c>
      <c r="I187" s="5">
        <v>44470</v>
      </c>
      <c r="J187" s="6">
        <v>0</v>
      </c>
      <c r="K187" s="61">
        <v>0</v>
      </c>
      <c r="L187" s="6">
        <v>0.97499999999999998</v>
      </c>
      <c r="M187" s="61">
        <v>0.97499999999999998</v>
      </c>
      <c r="N187" s="6">
        <v>0.97499999999999998</v>
      </c>
      <c r="O187" s="61">
        <v>0.97499999999999998</v>
      </c>
      <c r="P187" s="6">
        <v>0</v>
      </c>
      <c r="Q187" s="4" t="s">
        <v>26</v>
      </c>
      <c r="R187" s="4">
        <v>0</v>
      </c>
      <c r="S187" s="6">
        <v>0</v>
      </c>
      <c r="T187" s="6">
        <v>25</v>
      </c>
      <c r="U187" s="6">
        <v>44</v>
      </c>
      <c r="V187" s="61">
        <f>IF(ISERROR(VLOOKUP($S$187,'TAR FIN'!$A$1:$O$85,15,0)),0,VLOOKUP($S$187,'TAR FIN'!$A$1:$O$85,15,0))</f>
        <v>0</v>
      </c>
      <c r="W187" s="61">
        <f>IF(ISERROR(VLOOKUP($T$187,'TAR FIN'!$A$1:$O$85,15,0)),0,VLOOKUP($T$187,'TAR FIN'!$A$1:$O$85,15,0))*(1-0.04)</f>
        <v>1845.6575999999998</v>
      </c>
      <c r="X187" s="61">
        <f>IF(ISERROR(VLOOKUP($U$187,'TAR FIN'!$A$1:$O$85,15,0)),0,VLOOKUP($U$187,'TAR FIN'!$A$1:$O$85,15,0))*(1-0.04)</f>
        <v>135.66719999999998</v>
      </c>
      <c r="Y187" s="61"/>
      <c r="Z187" s="61">
        <f ca="1">('TUSD BE'!$AM$11+'TUSD BF'!$AM$11+'TUSD CVA'!$AM$11)*1*(1-0.02)</f>
        <v>1893.0693128580479</v>
      </c>
      <c r="AA187" s="61">
        <f>('TE BE'!$AB$5+'TE BF'!$AB$5+'TE CVA'!$AB$5)*1*(1-0.02)</f>
        <v>133.0901362797062</v>
      </c>
      <c r="AB187" s="6">
        <f>$K$187*$V$187</f>
        <v>0</v>
      </c>
      <c r="AC187" s="6">
        <f>$M$187*$W$187</f>
        <v>1799.5161599999997</v>
      </c>
      <c r="AD187" s="6">
        <f>$O$187*$X$187</f>
        <v>132.27551999999997</v>
      </c>
      <c r="AE187" s="6">
        <f>$K$187*$Y$187</f>
        <v>0</v>
      </c>
      <c r="AF187" s="6">
        <f ca="1">$M$187*$Z$187</f>
        <v>1845.7425800365966</v>
      </c>
      <c r="AG187" s="6">
        <f>$O$187*$AA$187</f>
        <v>129.76288287271353</v>
      </c>
    </row>
    <row r="188" spans="1:33" ht="11.25" customHeight="1" x14ac:dyDescent="0.25">
      <c r="A188" s="4" t="s">
        <v>28</v>
      </c>
      <c r="B188" s="4" t="s">
        <v>35</v>
      </c>
      <c r="C188" s="4" t="s">
        <v>36</v>
      </c>
      <c r="D188" s="4" t="s">
        <v>41</v>
      </c>
      <c r="E188" s="4" t="s">
        <v>25</v>
      </c>
      <c r="F188" s="4" t="s">
        <v>25</v>
      </c>
      <c r="G188" s="4" t="s">
        <v>25</v>
      </c>
      <c r="H188" s="4" t="s">
        <v>37</v>
      </c>
      <c r="I188" s="5">
        <v>44470</v>
      </c>
      <c r="J188" s="6">
        <v>0</v>
      </c>
      <c r="K188" s="61">
        <v>0</v>
      </c>
      <c r="L188" s="6">
        <v>2.0619999999999998</v>
      </c>
      <c r="M188" s="61">
        <v>2.0619999999999998</v>
      </c>
      <c r="N188" s="6">
        <v>2.0619999999999998</v>
      </c>
      <c r="O188" s="61">
        <v>2.0619999999999998</v>
      </c>
      <c r="P188" s="6">
        <v>0</v>
      </c>
      <c r="Q188" s="4" t="s">
        <v>26</v>
      </c>
      <c r="R188" s="4">
        <v>0</v>
      </c>
      <c r="S188" s="6">
        <v>0</v>
      </c>
      <c r="T188" s="6">
        <v>25</v>
      </c>
      <c r="U188" s="6">
        <v>44</v>
      </c>
      <c r="V188" s="61">
        <f>IF(ISERROR(VLOOKUP($S$188,'TAR FIN'!$A$1:$O$85,15,0)),0,VLOOKUP($S$188,'TAR FIN'!$A$1:$O$85,15,0))</f>
        <v>0</v>
      </c>
      <c r="W188" s="61">
        <f>IF(ISERROR(VLOOKUP($T$188,'TAR FIN'!$A$1:$O$85,15,0)),0,VLOOKUP($T$188,'TAR FIN'!$A$1:$O$85,15,0))*(1-0.04)</f>
        <v>1845.6575999999998</v>
      </c>
      <c r="X188" s="61">
        <f>IF(ISERROR(VLOOKUP($U$188,'TAR FIN'!$A$1:$O$85,15,0)),0,VLOOKUP($U$188,'TAR FIN'!$A$1:$O$85,15,0))*(1-0.04)</f>
        <v>135.66719999999998</v>
      </c>
      <c r="Y188" s="61"/>
      <c r="Z188" s="61">
        <f ca="1">('TUSD BE'!$AM$11+'TUSD BF'!$AM$11+'TUSD CVA'!$AM$11)*1*(1-0.02)</f>
        <v>1893.0693128580479</v>
      </c>
      <c r="AA188" s="61">
        <f>('TE BE'!$AB$5+'TE BF'!$AB$5+'TE CVA'!$AB$5)*1*(1-0.02)</f>
        <v>133.0901362797062</v>
      </c>
      <c r="AB188" s="6">
        <f>$K$188*$V$188</f>
        <v>0</v>
      </c>
      <c r="AC188" s="6">
        <f>$M$188*$W$188</f>
        <v>3805.7459711999991</v>
      </c>
      <c r="AD188" s="6">
        <f>$O$188*$X$188</f>
        <v>279.74576639999992</v>
      </c>
      <c r="AE188" s="6">
        <f>$K$188*$Y$188</f>
        <v>0</v>
      </c>
      <c r="AF188" s="6">
        <f ca="1">$M$188*$Z$188</f>
        <v>3903.5089231132943</v>
      </c>
      <c r="AG188" s="6">
        <f>$O$188*$AA$188</f>
        <v>274.43186100875414</v>
      </c>
    </row>
    <row r="189" spans="1:33" ht="11.25" customHeight="1" x14ac:dyDescent="0.25">
      <c r="A189" s="4" t="s">
        <v>21</v>
      </c>
      <c r="B189" s="4" t="s">
        <v>35</v>
      </c>
      <c r="C189" s="4" t="s">
        <v>36</v>
      </c>
      <c r="D189" s="4" t="s">
        <v>41</v>
      </c>
      <c r="E189" s="4" t="s">
        <v>25</v>
      </c>
      <c r="F189" s="4" t="s">
        <v>25</v>
      </c>
      <c r="G189" s="4" t="s">
        <v>25</v>
      </c>
      <c r="H189" s="4" t="s">
        <v>37</v>
      </c>
      <c r="I189" s="5">
        <v>44501</v>
      </c>
      <c r="J189" s="6">
        <v>0</v>
      </c>
      <c r="K189" s="61">
        <v>0</v>
      </c>
      <c r="L189" s="6">
        <v>2.1949999999999998</v>
      </c>
      <c r="M189" s="61">
        <v>2.1949999999999998</v>
      </c>
      <c r="N189" s="6">
        <v>2.1949999999999998</v>
      </c>
      <c r="O189" s="61">
        <v>2.1949999999999998</v>
      </c>
      <c r="P189" s="6">
        <v>0</v>
      </c>
      <c r="Q189" s="4" t="s">
        <v>26</v>
      </c>
      <c r="R189" s="4">
        <v>0</v>
      </c>
      <c r="S189" s="6">
        <v>0</v>
      </c>
      <c r="T189" s="6">
        <v>25</v>
      </c>
      <c r="U189" s="6">
        <v>44</v>
      </c>
      <c r="V189" s="61">
        <f>IF(ISERROR(VLOOKUP($S$189,'TAR FIN'!$A$1:$O$85,15,0)),0,VLOOKUP($S$189,'TAR FIN'!$A$1:$O$85,15,0))</f>
        <v>0</v>
      </c>
      <c r="W189" s="61">
        <f>IF(ISERROR(VLOOKUP($T$189,'TAR FIN'!$A$1:$O$85,15,0)),0,VLOOKUP($T$189,'TAR FIN'!$A$1:$O$85,15,0))*(1-0.04)</f>
        <v>1845.6575999999998</v>
      </c>
      <c r="X189" s="61">
        <f>IF(ISERROR(VLOOKUP($U$189,'TAR FIN'!$A$1:$O$85,15,0)),0,VLOOKUP($U$189,'TAR FIN'!$A$1:$O$85,15,0))*(1-0.04)</f>
        <v>135.66719999999998</v>
      </c>
      <c r="Y189" s="61"/>
      <c r="Z189" s="61">
        <f ca="1">('TUSD BE'!$AM$11+'TUSD BF'!$AM$11+'TUSD CVA'!$AM$11)*1*(1-0.02)</f>
        <v>1893.0693128580479</v>
      </c>
      <c r="AA189" s="61">
        <f>('TE BE'!$AB$5+'TE BF'!$AB$5+'TE CVA'!$AB$5)*1*(1-0.02)</f>
        <v>133.0901362797062</v>
      </c>
      <c r="AB189" s="6">
        <f>$K$189*$V$189</f>
        <v>0</v>
      </c>
      <c r="AC189" s="6">
        <f>$M$189*$W$189</f>
        <v>4051.2184319999992</v>
      </c>
      <c r="AD189" s="6">
        <f>$O$189*$X$189</f>
        <v>297.78950399999991</v>
      </c>
      <c r="AE189" s="6">
        <f>$K$189*$Y$189</f>
        <v>0</v>
      </c>
      <c r="AF189" s="6">
        <f ca="1">$M$189*$Z$189</f>
        <v>4155.2871417234146</v>
      </c>
      <c r="AG189" s="6">
        <f>$O$189*$AA$189</f>
        <v>292.13284913395506</v>
      </c>
    </row>
    <row r="190" spans="1:33" ht="11.25" customHeight="1" x14ac:dyDescent="0.25">
      <c r="A190" s="4" t="s">
        <v>28</v>
      </c>
      <c r="B190" s="4" t="s">
        <v>35</v>
      </c>
      <c r="C190" s="4" t="s">
        <v>36</v>
      </c>
      <c r="D190" s="4" t="s">
        <v>41</v>
      </c>
      <c r="E190" s="4" t="s">
        <v>25</v>
      </c>
      <c r="F190" s="4" t="s">
        <v>25</v>
      </c>
      <c r="G190" s="4" t="s">
        <v>25</v>
      </c>
      <c r="H190" s="4" t="s">
        <v>37</v>
      </c>
      <c r="I190" s="5">
        <v>44501</v>
      </c>
      <c r="J190" s="6">
        <v>0</v>
      </c>
      <c r="K190" s="61">
        <v>0</v>
      </c>
      <c r="L190" s="6">
        <v>2.226</v>
      </c>
      <c r="M190" s="61">
        <v>2.226</v>
      </c>
      <c r="N190" s="6">
        <v>2.226</v>
      </c>
      <c r="O190" s="61">
        <v>2.226</v>
      </c>
      <c r="P190" s="6">
        <v>0</v>
      </c>
      <c r="Q190" s="4" t="s">
        <v>26</v>
      </c>
      <c r="R190" s="4">
        <v>0</v>
      </c>
      <c r="S190" s="6">
        <v>0</v>
      </c>
      <c r="T190" s="6">
        <v>25</v>
      </c>
      <c r="U190" s="6">
        <v>44</v>
      </c>
      <c r="V190" s="61">
        <f>IF(ISERROR(VLOOKUP($S$190,'TAR FIN'!$A$1:$O$85,15,0)),0,VLOOKUP($S$190,'TAR FIN'!$A$1:$O$85,15,0))</f>
        <v>0</v>
      </c>
      <c r="W190" s="61">
        <f>IF(ISERROR(VLOOKUP($T$190,'TAR FIN'!$A$1:$O$85,15,0)),0,VLOOKUP($T$190,'TAR FIN'!$A$1:$O$85,15,0))*(1-0.04)</f>
        <v>1845.6575999999998</v>
      </c>
      <c r="X190" s="61">
        <f>IF(ISERROR(VLOOKUP($U$190,'TAR FIN'!$A$1:$O$85,15,0)),0,VLOOKUP($U$190,'TAR FIN'!$A$1:$O$85,15,0))*(1-0.04)</f>
        <v>135.66719999999998</v>
      </c>
      <c r="Y190" s="61"/>
      <c r="Z190" s="61">
        <f ca="1">('TUSD BE'!$AM$11+'TUSD BF'!$AM$11+'TUSD CVA'!$AM$11)*1*(1-0.02)</f>
        <v>1893.0693128580479</v>
      </c>
      <c r="AA190" s="61">
        <f>('TE BE'!$AB$5+'TE BF'!$AB$5+'TE CVA'!$AB$5)*1*(1-0.02)</f>
        <v>133.0901362797062</v>
      </c>
      <c r="AB190" s="6">
        <f>$K$190*$V$190</f>
        <v>0</v>
      </c>
      <c r="AC190" s="6">
        <f>$M$190*$W$190</f>
        <v>4108.4338175999992</v>
      </c>
      <c r="AD190" s="6">
        <f>$O$190*$X$190</f>
        <v>301.99518719999998</v>
      </c>
      <c r="AE190" s="6">
        <f>$K$190*$Y$190</f>
        <v>0</v>
      </c>
      <c r="AF190" s="6">
        <f ca="1">$M$190*$Z$190</f>
        <v>4213.9722904220143</v>
      </c>
      <c r="AG190" s="6">
        <f>$O$190*$AA$190</f>
        <v>296.25864335862599</v>
      </c>
    </row>
    <row r="191" spans="1:33" ht="11.25" customHeight="1" x14ac:dyDescent="0.25">
      <c r="A191" s="4" t="s">
        <v>21</v>
      </c>
      <c r="B191" s="4" t="s">
        <v>35</v>
      </c>
      <c r="C191" s="4" t="s">
        <v>36</v>
      </c>
      <c r="D191" s="4" t="s">
        <v>41</v>
      </c>
      <c r="E191" s="4" t="s">
        <v>25</v>
      </c>
      <c r="F191" s="4" t="s">
        <v>25</v>
      </c>
      <c r="G191" s="4" t="s">
        <v>25</v>
      </c>
      <c r="H191" s="4" t="s">
        <v>37</v>
      </c>
      <c r="I191" s="5">
        <v>44531</v>
      </c>
      <c r="J191" s="6">
        <v>0</v>
      </c>
      <c r="K191" s="61">
        <v>0</v>
      </c>
      <c r="L191" s="6">
        <v>0.248</v>
      </c>
      <c r="M191" s="61">
        <v>0.248</v>
      </c>
      <c r="N191" s="6">
        <v>0.248</v>
      </c>
      <c r="O191" s="61">
        <v>0.248</v>
      </c>
      <c r="P191" s="6">
        <v>0</v>
      </c>
      <c r="Q191" s="4" t="s">
        <v>26</v>
      </c>
      <c r="R191" s="4">
        <v>0</v>
      </c>
      <c r="S191" s="6">
        <v>0</v>
      </c>
      <c r="T191" s="6">
        <v>25</v>
      </c>
      <c r="U191" s="6">
        <v>44</v>
      </c>
      <c r="V191" s="61">
        <f>IF(ISERROR(VLOOKUP($S$191,'TAR FIN'!$A$1:$O$85,15,0)),0,VLOOKUP($S$191,'TAR FIN'!$A$1:$O$85,15,0))</f>
        <v>0</v>
      </c>
      <c r="W191" s="61">
        <f>IF(ISERROR(VLOOKUP($T$191,'TAR FIN'!$A$1:$O$85,15,0)),0,VLOOKUP($T$191,'TAR FIN'!$A$1:$O$85,15,0))*(1-0.04)</f>
        <v>1845.6575999999998</v>
      </c>
      <c r="X191" s="61">
        <f>IF(ISERROR(VLOOKUP($U$191,'TAR FIN'!$A$1:$O$85,15,0)),0,VLOOKUP($U$191,'TAR FIN'!$A$1:$O$85,15,0))*(1-0.04)</f>
        <v>135.66719999999998</v>
      </c>
      <c r="Y191" s="61"/>
      <c r="Z191" s="61">
        <f ca="1">('TUSD BE'!$AM$11+'TUSD BF'!$AM$11+'TUSD CVA'!$AM$11)*1*(1-0.02)</f>
        <v>1893.0693128580479</v>
      </c>
      <c r="AA191" s="61">
        <f>('TE BE'!$AB$5+'TE BF'!$AB$5+'TE CVA'!$AB$5)*1*(1-0.02)</f>
        <v>133.0901362797062</v>
      </c>
      <c r="AB191" s="6">
        <f>$K$191*$V$191</f>
        <v>0</v>
      </c>
      <c r="AC191" s="6">
        <f>$M$191*$W$191</f>
        <v>457.72308479999992</v>
      </c>
      <c r="AD191" s="6">
        <f>$O$191*$X$191</f>
        <v>33.645465599999994</v>
      </c>
      <c r="AE191" s="6">
        <f>$K$191*$Y$191</f>
        <v>0</v>
      </c>
      <c r="AF191" s="6">
        <f ca="1">$M$191*$Z$191</f>
        <v>469.48118958879587</v>
      </c>
      <c r="AG191" s="6">
        <f>$O$191*$AA$191</f>
        <v>33.00635379736714</v>
      </c>
    </row>
    <row r="192" spans="1:33" ht="11.25" customHeight="1" x14ac:dyDescent="0.25">
      <c r="A192" s="4" t="s">
        <v>28</v>
      </c>
      <c r="B192" s="4" t="s">
        <v>35</v>
      </c>
      <c r="C192" s="4" t="s">
        <v>36</v>
      </c>
      <c r="D192" s="4" t="s">
        <v>41</v>
      </c>
      <c r="E192" s="4" t="s">
        <v>25</v>
      </c>
      <c r="F192" s="4" t="s">
        <v>25</v>
      </c>
      <c r="G192" s="4" t="s">
        <v>25</v>
      </c>
      <c r="H192" s="4" t="s">
        <v>37</v>
      </c>
      <c r="I192" s="5">
        <v>44531</v>
      </c>
      <c r="J192" s="6">
        <v>0</v>
      </c>
      <c r="K192" s="61">
        <v>0</v>
      </c>
      <c r="L192" s="6">
        <v>2.8319999999999999</v>
      </c>
      <c r="M192" s="61">
        <v>2.8319999999999999</v>
      </c>
      <c r="N192" s="6">
        <v>2.8319999999999999</v>
      </c>
      <c r="O192" s="61">
        <v>2.8319999999999999</v>
      </c>
      <c r="P192" s="6">
        <v>0</v>
      </c>
      <c r="Q192" s="4" t="s">
        <v>26</v>
      </c>
      <c r="R192" s="4">
        <v>0</v>
      </c>
      <c r="S192" s="6">
        <v>0</v>
      </c>
      <c r="T192" s="6">
        <v>25</v>
      </c>
      <c r="U192" s="6">
        <v>44</v>
      </c>
      <c r="V192" s="61">
        <f>IF(ISERROR(VLOOKUP($S$192,'TAR FIN'!$A$1:$O$85,15,0)),0,VLOOKUP($S$192,'TAR FIN'!$A$1:$O$85,15,0))</f>
        <v>0</v>
      </c>
      <c r="W192" s="61">
        <f>IF(ISERROR(VLOOKUP($T$192,'TAR FIN'!$A$1:$O$85,15,0)),0,VLOOKUP($T$192,'TAR FIN'!$A$1:$O$85,15,0))*(1-0.04)</f>
        <v>1845.6575999999998</v>
      </c>
      <c r="X192" s="61">
        <f>IF(ISERROR(VLOOKUP($U$192,'TAR FIN'!$A$1:$O$85,15,0)),0,VLOOKUP($U$192,'TAR FIN'!$A$1:$O$85,15,0))*(1-0.04)</f>
        <v>135.66719999999998</v>
      </c>
      <c r="Y192" s="61"/>
      <c r="Z192" s="61">
        <f ca="1">('TUSD BE'!$AM$11+'TUSD BF'!$AM$11+'TUSD CVA'!$AM$11)*1*(1-0.02)</f>
        <v>1893.0693128580479</v>
      </c>
      <c r="AA192" s="61">
        <f>('TE BE'!$AB$5+'TE BF'!$AB$5+'TE CVA'!$AB$5)*1*(1-0.02)</f>
        <v>133.0901362797062</v>
      </c>
      <c r="AB192" s="6">
        <f>$K$192*$V$192</f>
        <v>0</v>
      </c>
      <c r="AC192" s="6">
        <f>$M$192*$W$192</f>
        <v>5226.902323199999</v>
      </c>
      <c r="AD192" s="6">
        <f>$O$192*$X$192</f>
        <v>384.20951039999994</v>
      </c>
      <c r="AE192" s="6">
        <f>$K$192*$Y$192</f>
        <v>0</v>
      </c>
      <c r="AF192" s="6">
        <f ca="1">$M$192*$Z$192</f>
        <v>5361.1722940139916</v>
      </c>
      <c r="AG192" s="6">
        <f>$O$192*$AA$192</f>
        <v>376.91126594412793</v>
      </c>
    </row>
    <row r="193" spans="1:33" ht="11.25" customHeight="1" x14ac:dyDescent="0.25">
      <c r="A193" s="4" t="s">
        <v>21</v>
      </c>
      <c r="B193" s="4" t="s">
        <v>35</v>
      </c>
      <c r="C193" s="4" t="s">
        <v>36</v>
      </c>
      <c r="D193" s="4" t="s">
        <v>41</v>
      </c>
      <c r="E193" s="4" t="s">
        <v>25</v>
      </c>
      <c r="F193" s="4" t="s">
        <v>25</v>
      </c>
      <c r="G193" s="4" t="s">
        <v>25</v>
      </c>
      <c r="H193" s="4" t="s">
        <v>37</v>
      </c>
      <c r="I193" s="5">
        <v>44562</v>
      </c>
      <c r="J193" s="6">
        <v>0</v>
      </c>
      <c r="K193" s="61">
        <v>0</v>
      </c>
      <c r="L193" s="6">
        <v>2.1789999999999998</v>
      </c>
      <c r="M193" s="61">
        <v>2.1789999999999998</v>
      </c>
      <c r="N193" s="6">
        <v>2.1789999999999998</v>
      </c>
      <c r="O193" s="61">
        <v>2.1789999999999998</v>
      </c>
      <c r="P193" s="6">
        <v>0</v>
      </c>
      <c r="Q193" s="4" t="s">
        <v>26</v>
      </c>
      <c r="R193" s="4">
        <v>0</v>
      </c>
      <c r="S193" s="6">
        <v>0</v>
      </c>
      <c r="T193" s="6">
        <v>25</v>
      </c>
      <c r="U193" s="6">
        <v>44</v>
      </c>
      <c r="V193" s="61">
        <f>IF(ISERROR(VLOOKUP($S$193,'TAR FIN'!$A$1:$O$85,15,0)),0,VLOOKUP($S$193,'TAR FIN'!$A$1:$O$85,15,0))</f>
        <v>0</v>
      </c>
      <c r="W193" s="61">
        <f>IF(ISERROR(VLOOKUP($T$193,'TAR FIN'!$A$1:$O$85,15,0)),0,VLOOKUP($T$193,'TAR FIN'!$A$1:$O$85,15,0))*(1-0.04)</f>
        <v>1845.6575999999998</v>
      </c>
      <c r="X193" s="61">
        <f>IF(ISERROR(VLOOKUP($U$193,'TAR FIN'!$A$1:$O$85,15,0)),0,VLOOKUP($U$193,'TAR FIN'!$A$1:$O$85,15,0))*(1-0.04)</f>
        <v>135.66719999999998</v>
      </c>
      <c r="Y193" s="61"/>
      <c r="Z193" s="61">
        <f ca="1">('TUSD BE'!$AM$11+'TUSD BF'!$AM$11+'TUSD CVA'!$AM$11)*1*(1-0.02)</f>
        <v>1893.0693128580479</v>
      </c>
      <c r="AA193" s="61">
        <f>('TE BE'!$AB$5+'TE BF'!$AB$5+'TE CVA'!$AB$5)*1*(1-0.02)</f>
        <v>133.0901362797062</v>
      </c>
      <c r="AB193" s="6">
        <f>$K$193*$V$193</f>
        <v>0</v>
      </c>
      <c r="AC193" s="6">
        <f>$M$193*$W$193</f>
        <v>4021.6879103999991</v>
      </c>
      <c r="AD193" s="6">
        <f>$O$193*$X$193</f>
        <v>295.61882879999996</v>
      </c>
      <c r="AE193" s="6">
        <f>$K$193*$Y$193</f>
        <v>0</v>
      </c>
      <c r="AF193" s="6">
        <f ca="1">$M$193*$Z$193</f>
        <v>4124.9980327176863</v>
      </c>
      <c r="AG193" s="6">
        <f>$O$193*$AA$193</f>
        <v>290.00340695347978</v>
      </c>
    </row>
    <row r="194" spans="1:33" ht="11.25" customHeight="1" x14ac:dyDescent="0.25">
      <c r="A194" s="4" t="s">
        <v>28</v>
      </c>
      <c r="B194" s="4" t="s">
        <v>35</v>
      </c>
      <c r="C194" s="4" t="s">
        <v>36</v>
      </c>
      <c r="D194" s="4" t="s">
        <v>41</v>
      </c>
      <c r="E194" s="4" t="s">
        <v>25</v>
      </c>
      <c r="F194" s="4" t="s">
        <v>25</v>
      </c>
      <c r="G194" s="4" t="s">
        <v>25</v>
      </c>
      <c r="H194" s="4" t="s">
        <v>37</v>
      </c>
      <c r="I194" s="5">
        <v>44562</v>
      </c>
      <c r="J194" s="6">
        <v>0</v>
      </c>
      <c r="K194" s="61">
        <v>0</v>
      </c>
      <c r="L194" s="6">
        <v>2.5579999999999998</v>
      </c>
      <c r="M194" s="61">
        <v>2.5579999999999998</v>
      </c>
      <c r="N194" s="6">
        <v>2.5579999999999998</v>
      </c>
      <c r="O194" s="61">
        <v>2.5579999999999998</v>
      </c>
      <c r="P194" s="6">
        <v>0</v>
      </c>
      <c r="Q194" s="4" t="s">
        <v>26</v>
      </c>
      <c r="R194" s="4">
        <v>0</v>
      </c>
      <c r="S194" s="6">
        <v>0</v>
      </c>
      <c r="T194" s="6">
        <v>25</v>
      </c>
      <c r="U194" s="6">
        <v>44</v>
      </c>
      <c r="V194" s="61">
        <f>IF(ISERROR(VLOOKUP($S$194,'TAR FIN'!$A$1:$O$85,15,0)),0,VLOOKUP($S$194,'TAR FIN'!$A$1:$O$85,15,0))</f>
        <v>0</v>
      </c>
      <c r="W194" s="61">
        <f>IF(ISERROR(VLOOKUP($T$194,'TAR FIN'!$A$1:$O$85,15,0)),0,VLOOKUP($T$194,'TAR FIN'!$A$1:$O$85,15,0))*(1-0.04)</f>
        <v>1845.6575999999998</v>
      </c>
      <c r="X194" s="61">
        <f>IF(ISERROR(VLOOKUP($U$194,'TAR FIN'!$A$1:$O$85,15,0)),0,VLOOKUP($U$194,'TAR FIN'!$A$1:$O$85,15,0))*(1-0.04)</f>
        <v>135.66719999999998</v>
      </c>
      <c r="Y194" s="61"/>
      <c r="Z194" s="61">
        <f ca="1">('TUSD BE'!$AM$11+'TUSD BF'!$AM$11+'TUSD CVA'!$AM$11)*1*(1-0.02)</f>
        <v>1893.0693128580479</v>
      </c>
      <c r="AA194" s="61">
        <f>('TE BE'!$AB$5+'TE BF'!$AB$5+'TE CVA'!$AB$5)*1*(1-0.02)</f>
        <v>133.0901362797062</v>
      </c>
      <c r="AB194" s="6">
        <f>$K$194*$V$194</f>
        <v>0</v>
      </c>
      <c r="AC194" s="6">
        <f>$M$194*$W$194</f>
        <v>4721.1921407999989</v>
      </c>
      <c r="AD194" s="6">
        <f>$O$194*$X$194</f>
        <v>347.03669759999991</v>
      </c>
      <c r="AE194" s="6">
        <f>$K$194*$Y$194</f>
        <v>0</v>
      </c>
      <c r="AF194" s="6">
        <f ca="1">$M$194*$Z$194</f>
        <v>4842.4713022908863</v>
      </c>
      <c r="AG194" s="6">
        <f>$O$194*$AA$194</f>
        <v>340.44456860348845</v>
      </c>
    </row>
    <row r="195" spans="1:33" ht="11.25" customHeight="1" x14ac:dyDescent="0.25">
      <c r="A195" s="4" t="s">
        <v>21</v>
      </c>
      <c r="B195" s="4" t="s">
        <v>35</v>
      </c>
      <c r="C195" s="4" t="s">
        <v>36</v>
      </c>
      <c r="D195" s="4" t="s">
        <v>41</v>
      </c>
      <c r="E195" s="4" t="s">
        <v>25</v>
      </c>
      <c r="F195" s="4" t="s">
        <v>25</v>
      </c>
      <c r="G195" s="4" t="s">
        <v>25</v>
      </c>
      <c r="H195" s="4" t="s">
        <v>37</v>
      </c>
      <c r="I195" s="5">
        <v>44593</v>
      </c>
      <c r="J195" s="6">
        <v>0</v>
      </c>
      <c r="K195" s="61">
        <v>0</v>
      </c>
      <c r="L195" s="6">
        <v>2.2130000000000001</v>
      </c>
      <c r="M195" s="61">
        <v>2.2130000000000001</v>
      </c>
      <c r="N195" s="6">
        <v>2.2130000000000001</v>
      </c>
      <c r="O195" s="61">
        <v>2.2130000000000001</v>
      </c>
      <c r="P195" s="6">
        <v>0</v>
      </c>
      <c r="Q195" s="4" t="s">
        <v>26</v>
      </c>
      <c r="R195" s="4">
        <v>0</v>
      </c>
      <c r="S195" s="6">
        <v>0</v>
      </c>
      <c r="T195" s="6">
        <v>25</v>
      </c>
      <c r="U195" s="6">
        <v>44</v>
      </c>
      <c r="V195" s="61">
        <f>IF(ISERROR(VLOOKUP($S$195,'TAR FIN'!$A$1:$O$85,15,0)),0,VLOOKUP($S$195,'TAR FIN'!$A$1:$O$85,15,0))</f>
        <v>0</v>
      </c>
      <c r="W195" s="61">
        <f>IF(ISERROR(VLOOKUP($T$195,'TAR FIN'!$A$1:$O$85,15,0)),0,VLOOKUP($T$195,'TAR FIN'!$A$1:$O$85,15,0))*(1-0.04)</f>
        <v>1845.6575999999998</v>
      </c>
      <c r="X195" s="61">
        <f>IF(ISERROR(VLOOKUP($U$195,'TAR FIN'!$A$1:$O$85,15,0)),0,VLOOKUP($U$195,'TAR FIN'!$A$1:$O$85,15,0))*(1-0.04)</f>
        <v>135.66719999999998</v>
      </c>
      <c r="Y195" s="61"/>
      <c r="Z195" s="61">
        <f ca="1">('TUSD BE'!$AM$11+'TUSD BF'!$AM$11+'TUSD CVA'!$AM$11)*1*(1-0.02)</f>
        <v>1893.0693128580479</v>
      </c>
      <c r="AA195" s="61">
        <f>('TE BE'!$AB$5+'TE BF'!$AB$5+'TE CVA'!$AB$5)*1*(1-0.02)</f>
        <v>133.0901362797062</v>
      </c>
      <c r="AB195" s="6">
        <f>$K$195*$V$195</f>
        <v>0</v>
      </c>
      <c r="AC195" s="6">
        <f>$M$195*$W$195</f>
        <v>4084.4402687999996</v>
      </c>
      <c r="AD195" s="6">
        <f>$O$195*$X$195</f>
        <v>300.23151359999997</v>
      </c>
      <c r="AE195" s="6">
        <f>$K$195*$Y$195</f>
        <v>0</v>
      </c>
      <c r="AF195" s="6">
        <f ca="1">$M$195*$Z$195</f>
        <v>4189.3623893548602</v>
      </c>
      <c r="AG195" s="6">
        <f>$O$195*$AA$195</f>
        <v>294.52847158698984</v>
      </c>
    </row>
    <row r="196" spans="1:33" ht="11.25" customHeight="1" x14ac:dyDescent="0.25">
      <c r="A196" s="4" t="s">
        <v>28</v>
      </c>
      <c r="B196" s="4" t="s">
        <v>35</v>
      </c>
      <c r="C196" s="4" t="s">
        <v>36</v>
      </c>
      <c r="D196" s="4" t="s">
        <v>41</v>
      </c>
      <c r="E196" s="4" t="s">
        <v>25</v>
      </c>
      <c r="F196" s="4" t="s">
        <v>25</v>
      </c>
      <c r="G196" s="4" t="s">
        <v>25</v>
      </c>
      <c r="H196" s="4" t="s">
        <v>37</v>
      </c>
      <c r="I196" s="5">
        <v>44593</v>
      </c>
      <c r="J196" s="6">
        <v>0</v>
      </c>
      <c r="K196" s="61">
        <v>0</v>
      </c>
      <c r="L196" s="6">
        <v>2.504</v>
      </c>
      <c r="M196" s="61">
        <v>2.504</v>
      </c>
      <c r="N196" s="6">
        <v>2.504</v>
      </c>
      <c r="O196" s="61">
        <v>2.504</v>
      </c>
      <c r="P196" s="6">
        <v>0</v>
      </c>
      <c r="Q196" s="4" t="s">
        <v>26</v>
      </c>
      <c r="R196" s="4">
        <v>0</v>
      </c>
      <c r="S196" s="6">
        <v>0</v>
      </c>
      <c r="T196" s="6">
        <v>25</v>
      </c>
      <c r="U196" s="6">
        <v>44</v>
      </c>
      <c r="V196" s="61">
        <f>IF(ISERROR(VLOOKUP($S$196,'TAR FIN'!$A$1:$O$85,15,0)),0,VLOOKUP($S$196,'TAR FIN'!$A$1:$O$85,15,0))</f>
        <v>0</v>
      </c>
      <c r="W196" s="61">
        <f>IF(ISERROR(VLOOKUP($T$196,'TAR FIN'!$A$1:$O$85,15,0)),0,VLOOKUP($T$196,'TAR FIN'!$A$1:$O$85,15,0))*(1-0.04)</f>
        <v>1845.6575999999998</v>
      </c>
      <c r="X196" s="61">
        <f>IF(ISERROR(VLOOKUP($U$196,'TAR FIN'!$A$1:$O$85,15,0)),0,VLOOKUP($U$196,'TAR FIN'!$A$1:$O$85,15,0))*(1-0.04)</f>
        <v>135.66719999999998</v>
      </c>
      <c r="Y196" s="61"/>
      <c r="Z196" s="61">
        <f ca="1">('TUSD BE'!$AM$11+'TUSD BF'!$AM$11+'TUSD CVA'!$AM$11)*1*(1-0.02)</f>
        <v>1893.0693128580479</v>
      </c>
      <c r="AA196" s="61">
        <f>('TE BE'!$AB$5+'TE BF'!$AB$5+'TE CVA'!$AB$5)*1*(1-0.02)</f>
        <v>133.0901362797062</v>
      </c>
      <c r="AB196" s="6">
        <f>$K$196*$V$196</f>
        <v>0</v>
      </c>
      <c r="AC196" s="6">
        <f>$M$196*$W$196</f>
        <v>4621.5266303999997</v>
      </c>
      <c r="AD196" s="6">
        <f>$O$196*$X$196</f>
        <v>339.71066879999995</v>
      </c>
      <c r="AE196" s="6">
        <f>$K$196*$Y$196</f>
        <v>0</v>
      </c>
      <c r="AF196" s="6">
        <f ca="1">$M$196*$Z$196</f>
        <v>4740.2455593965515</v>
      </c>
      <c r="AG196" s="6">
        <f>$O$196*$AA$196</f>
        <v>333.25770124438435</v>
      </c>
    </row>
    <row r="197" spans="1:33" ht="11.25" customHeight="1" x14ac:dyDescent="0.25">
      <c r="A197" s="4" t="s">
        <v>21</v>
      </c>
      <c r="B197" s="4" t="s">
        <v>35</v>
      </c>
      <c r="C197" s="4" t="s">
        <v>36</v>
      </c>
      <c r="D197" s="4" t="s">
        <v>41</v>
      </c>
      <c r="E197" s="4" t="s">
        <v>25</v>
      </c>
      <c r="F197" s="4" t="s">
        <v>25</v>
      </c>
      <c r="G197" s="4" t="s">
        <v>25</v>
      </c>
      <c r="H197" s="4" t="s">
        <v>37</v>
      </c>
      <c r="I197" s="5">
        <v>44621</v>
      </c>
      <c r="J197" s="6">
        <v>0</v>
      </c>
      <c r="K197" s="61">
        <v>0</v>
      </c>
      <c r="L197" s="6">
        <v>1.9279999999999999</v>
      </c>
      <c r="M197" s="61">
        <v>1.9279999999999999</v>
      </c>
      <c r="N197" s="6">
        <v>1.9279999999999999</v>
      </c>
      <c r="O197" s="61">
        <v>1.9279999999999999</v>
      </c>
      <c r="P197" s="6">
        <v>0</v>
      </c>
      <c r="Q197" s="4" t="s">
        <v>26</v>
      </c>
      <c r="R197" s="4">
        <v>0</v>
      </c>
      <c r="S197" s="6">
        <v>0</v>
      </c>
      <c r="T197" s="6">
        <v>25</v>
      </c>
      <c r="U197" s="6">
        <v>44</v>
      </c>
      <c r="V197" s="61">
        <f>IF(ISERROR(VLOOKUP($S$197,'TAR FIN'!$A$1:$O$85,15,0)),0,VLOOKUP($S$197,'TAR FIN'!$A$1:$O$85,15,0))</f>
        <v>0</v>
      </c>
      <c r="W197" s="61">
        <f>IF(ISERROR(VLOOKUP($T$197,'TAR FIN'!$A$1:$O$85,15,0)),0,VLOOKUP($T$197,'TAR FIN'!$A$1:$O$85,15,0))*(1-0.04)</f>
        <v>1845.6575999999998</v>
      </c>
      <c r="X197" s="61">
        <f>IF(ISERROR(VLOOKUP($U$197,'TAR FIN'!$A$1:$O$85,15,0)),0,VLOOKUP($U$197,'TAR FIN'!$A$1:$O$85,15,0))*(1-0.04)</f>
        <v>135.66719999999998</v>
      </c>
      <c r="Y197" s="61"/>
      <c r="Z197" s="61">
        <f ca="1">('TUSD BE'!$AM$11+'TUSD BF'!$AM$11+'TUSD CVA'!$AM$11)*1*(1-0.02)</f>
        <v>1893.0693128580479</v>
      </c>
      <c r="AA197" s="61">
        <f>('TE BE'!$AB$5+'TE BF'!$AB$5+'TE CVA'!$AB$5)*1*(1-0.02)</f>
        <v>133.0901362797062</v>
      </c>
      <c r="AB197" s="6">
        <f>$K$197*$V$197</f>
        <v>0</v>
      </c>
      <c r="AC197" s="6">
        <f>$M$197*$W$197</f>
        <v>3558.4278527999995</v>
      </c>
      <c r="AD197" s="6">
        <f>$O$197*$X$197</f>
        <v>261.56636159999994</v>
      </c>
      <c r="AE197" s="6">
        <f>$K$197*$Y$197</f>
        <v>0</v>
      </c>
      <c r="AF197" s="6">
        <f ca="1">$M$197*$Z$197</f>
        <v>3649.8376351903162</v>
      </c>
      <c r="AG197" s="6">
        <f>$O$197*$AA$197</f>
        <v>256.59778274727353</v>
      </c>
    </row>
    <row r="198" spans="1:33" ht="11.25" customHeight="1" x14ac:dyDescent="0.25">
      <c r="A198" s="4" t="s">
        <v>28</v>
      </c>
      <c r="B198" s="4" t="s">
        <v>35</v>
      </c>
      <c r="C198" s="4" t="s">
        <v>36</v>
      </c>
      <c r="D198" s="4" t="s">
        <v>41</v>
      </c>
      <c r="E198" s="4" t="s">
        <v>25</v>
      </c>
      <c r="F198" s="4" t="s">
        <v>25</v>
      </c>
      <c r="G198" s="4" t="s">
        <v>25</v>
      </c>
      <c r="H198" s="4" t="s">
        <v>37</v>
      </c>
      <c r="I198" s="5">
        <v>44621</v>
      </c>
      <c r="J198" s="6">
        <v>0</v>
      </c>
      <c r="K198" s="61">
        <v>0</v>
      </c>
      <c r="L198" s="6">
        <v>3.9529999999999998</v>
      </c>
      <c r="M198" s="61">
        <v>3.9529999999999998</v>
      </c>
      <c r="N198" s="6">
        <v>3.9529999999999998</v>
      </c>
      <c r="O198" s="61">
        <v>3.9529999999999998</v>
      </c>
      <c r="P198" s="6">
        <v>0</v>
      </c>
      <c r="Q198" s="4" t="s">
        <v>26</v>
      </c>
      <c r="R198" s="4">
        <v>0</v>
      </c>
      <c r="S198" s="6">
        <v>0</v>
      </c>
      <c r="T198" s="6">
        <v>25</v>
      </c>
      <c r="U198" s="6">
        <v>44</v>
      </c>
      <c r="V198" s="61">
        <f>IF(ISERROR(VLOOKUP($S$198,'TAR FIN'!$A$1:$O$85,15,0)),0,VLOOKUP($S$198,'TAR FIN'!$A$1:$O$85,15,0))</f>
        <v>0</v>
      </c>
      <c r="W198" s="61">
        <f>IF(ISERROR(VLOOKUP($T$198,'TAR FIN'!$A$1:$O$85,15,0)),0,VLOOKUP($T$198,'TAR FIN'!$A$1:$O$85,15,0))*(1-0.04)</f>
        <v>1845.6575999999998</v>
      </c>
      <c r="X198" s="61">
        <f>IF(ISERROR(VLOOKUP($U$198,'TAR FIN'!$A$1:$O$85,15,0)),0,VLOOKUP($U$198,'TAR FIN'!$A$1:$O$85,15,0))*(1-0.04)</f>
        <v>135.66719999999998</v>
      </c>
      <c r="Y198" s="61"/>
      <c r="Z198" s="61">
        <f ca="1">('TUSD BE'!$AM$11+'TUSD BF'!$AM$11+'TUSD CVA'!$AM$11)*1*(1-0.02)</f>
        <v>1893.0693128580479</v>
      </c>
      <c r="AA198" s="61">
        <f>('TE BE'!$AB$5+'TE BF'!$AB$5+'TE CVA'!$AB$5)*1*(1-0.02)</f>
        <v>133.0901362797062</v>
      </c>
      <c r="AB198" s="6">
        <f>$K$198*$V$198</f>
        <v>0</v>
      </c>
      <c r="AC198" s="6">
        <f>$M$198*$W$198</f>
        <v>7295.884492799999</v>
      </c>
      <c r="AD198" s="6">
        <f>$O$198*$X$198</f>
        <v>536.29244159999985</v>
      </c>
      <c r="AE198" s="6">
        <f>$K$198*$Y$198</f>
        <v>0</v>
      </c>
      <c r="AF198" s="6">
        <f ca="1">$M$198*$Z$198</f>
        <v>7483.3029937278625</v>
      </c>
      <c r="AG198" s="6">
        <f>$O$198*$AA$198</f>
        <v>526.1053087136786</v>
      </c>
    </row>
    <row r="199" spans="1:33" ht="11.25" customHeight="1" x14ac:dyDescent="0.25">
      <c r="A199" s="4" t="s">
        <v>21</v>
      </c>
      <c r="B199" s="4" t="s">
        <v>35</v>
      </c>
      <c r="C199" s="4" t="s">
        <v>36</v>
      </c>
      <c r="D199" s="4" t="s">
        <v>41</v>
      </c>
      <c r="E199" s="4" t="s">
        <v>25</v>
      </c>
      <c r="F199" s="4" t="s">
        <v>25</v>
      </c>
      <c r="G199" s="4" t="s">
        <v>25</v>
      </c>
      <c r="H199" s="4" t="s">
        <v>37</v>
      </c>
      <c r="I199" s="5">
        <v>44652</v>
      </c>
      <c r="J199" s="6">
        <v>0</v>
      </c>
      <c r="K199" s="61">
        <v>0</v>
      </c>
      <c r="L199" s="6">
        <v>1.222</v>
      </c>
      <c r="M199" s="61">
        <v>1.222</v>
      </c>
      <c r="N199" s="6">
        <v>1.222</v>
      </c>
      <c r="O199" s="61">
        <v>1.222</v>
      </c>
      <c r="P199" s="6">
        <v>0</v>
      </c>
      <c r="Q199" s="4" t="s">
        <v>26</v>
      </c>
      <c r="R199" s="4">
        <v>0</v>
      </c>
      <c r="S199" s="6">
        <v>0</v>
      </c>
      <c r="T199" s="6">
        <v>25</v>
      </c>
      <c r="U199" s="6">
        <v>44</v>
      </c>
      <c r="V199" s="61">
        <f>IF(ISERROR(VLOOKUP($S$199,'TAR FIN'!$A$1:$O$85,15,0)),0,VLOOKUP($S$199,'TAR FIN'!$A$1:$O$85,15,0))</f>
        <v>0</v>
      </c>
      <c r="W199" s="61">
        <f>IF(ISERROR(VLOOKUP($T$199,'TAR FIN'!$A$1:$O$85,15,0)),0,VLOOKUP($T$199,'TAR FIN'!$A$1:$O$85,15,0))*(1-0.04)</f>
        <v>1845.6575999999998</v>
      </c>
      <c r="X199" s="61">
        <f>IF(ISERROR(VLOOKUP($U$199,'TAR FIN'!$A$1:$O$85,15,0)),0,VLOOKUP($U$199,'TAR FIN'!$A$1:$O$85,15,0))*(1-0.04)</f>
        <v>135.66719999999998</v>
      </c>
      <c r="Y199" s="61"/>
      <c r="Z199" s="61">
        <f ca="1">('TUSD BE'!$AM$11+'TUSD BF'!$AM$11+'TUSD CVA'!$AM$11)*1*(1-0.02)</f>
        <v>1893.0693128580479</v>
      </c>
      <c r="AA199" s="61">
        <f>('TE BE'!$AB$5+'TE BF'!$AB$5+'TE CVA'!$AB$5)*1*(1-0.02)</f>
        <v>133.0901362797062</v>
      </c>
      <c r="AB199" s="6">
        <f>$K$199*$V$199</f>
        <v>0</v>
      </c>
      <c r="AC199" s="6">
        <f>$M$199*$W$199</f>
        <v>2255.3935871999997</v>
      </c>
      <c r="AD199" s="6">
        <f>$O$199*$X$199</f>
        <v>165.78531839999997</v>
      </c>
      <c r="AE199" s="6">
        <f>$K$199*$Y$199</f>
        <v>0</v>
      </c>
      <c r="AF199" s="6">
        <f ca="1">$M$199*$Z$199</f>
        <v>2313.3307003125346</v>
      </c>
      <c r="AG199" s="6">
        <f>$O$199*$AA$199</f>
        <v>162.63614653380097</v>
      </c>
    </row>
    <row r="200" spans="1:33" ht="11.25" customHeight="1" x14ac:dyDescent="0.25">
      <c r="A200" s="4" t="s">
        <v>28</v>
      </c>
      <c r="B200" s="4" t="s">
        <v>35</v>
      </c>
      <c r="C200" s="4" t="s">
        <v>36</v>
      </c>
      <c r="D200" s="4" t="s">
        <v>41</v>
      </c>
      <c r="E200" s="4" t="s">
        <v>25</v>
      </c>
      <c r="F200" s="4" t="s">
        <v>25</v>
      </c>
      <c r="G200" s="4" t="s">
        <v>25</v>
      </c>
      <c r="H200" s="4" t="s">
        <v>37</v>
      </c>
      <c r="I200" s="5">
        <v>44652</v>
      </c>
      <c r="J200" s="6">
        <v>0</v>
      </c>
      <c r="K200" s="61">
        <v>0</v>
      </c>
      <c r="L200" s="6">
        <v>3.1920000000000002</v>
      </c>
      <c r="M200" s="61">
        <v>3.1920000000000002</v>
      </c>
      <c r="N200" s="6">
        <v>3.1920000000000002</v>
      </c>
      <c r="O200" s="61">
        <v>3.1920000000000002</v>
      </c>
      <c r="P200" s="6">
        <v>0</v>
      </c>
      <c r="Q200" s="4" t="s">
        <v>26</v>
      </c>
      <c r="R200" s="4">
        <v>0</v>
      </c>
      <c r="S200" s="6">
        <v>0</v>
      </c>
      <c r="T200" s="6">
        <v>25</v>
      </c>
      <c r="U200" s="6">
        <v>44</v>
      </c>
      <c r="V200" s="61">
        <f>IF(ISERROR(VLOOKUP($S$200,'TAR FIN'!$A$1:$O$85,15,0)),0,VLOOKUP($S$200,'TAR FIN'!$A$1:$O$85,15,0))</f>
        <v>0</v>
      </c>
      <c r="W200" s="61">
        <f>IF(ISERROR(VLOOKUP($T$200,'TAR FIN'!$A$1:$O$85,15,0)),0,VLOOKUP($T$200,'TAR FIN'!$A$1:$O$85,15,0))*(1-0.04)</f>
        <v>1845.6575999999998</v>
      </c>
      <c r="X200" s="61">
        <f>IF(ISERROR(VLOOKUP($U$200,'TAR FIN'!$A$1:$O$85,15,0)),0,VLOOKUP($U$200,'TAR FIN'!$A$1:$O$85,15,0))*(1-0.04)</f>
        <v>135.66719999999998</v>
      </c>
      <c r="Y200" s="61"/>
      <c r="Z200" s="61">
        <f ca="1">('TUSD BE'!$AM$11+'TUSD BF'!$AM$11+'TUSD CVA'!$AM$11)*1*(1-0.02)</f>
        <v>1893.0693128580479</v>
      </c>
      <c r="AA200" s="61">
        <f>('TE BE'!$AB$5+'TE BF'!$AB$5+'TE CVA'!$AB$5)*1*(1-0.02)</f>
        <v>133.0901362797062</v>
      </c>
      <c r="AB200" s="6">
        <f>$K$200*$V$200</f>
        <v>0</v>
      </c>
      <c r="AC200" s="6">
        <f>$M$200*$W$200</f>
        <v>5891.3390591999996</v>
      </c>
      <c r="AD200" s="6">
        <f>$O$200*$X$200</f>
        <v>433.04970239999994</v>
      </c>
      <c r="AE200" s="6">
        <f>$K$200*$Y$200</f>
        <v>0</v>
      </c>
      <c r="AF200" s="6">
        <f ca="1">$M$200*$Z$200</f>
        <v>6042.6772466428893</v>
      </c>
      <c r="AG200" s="6">
        <f>$O$200*$AA$200</f>
        <v>424.82371500482219</v>
      </c>
    </row>
    <row r="201" spans="1:33" ht="11.25" customHeight="1" x14ac:dyDescent="0.25">
      <c r="A201" s="4" t="s">
        <v>21</v>
      </c>
      <c r="B201" s="4" t="s">
        <v>35</v>
      </c>
      <c r="C201" s="4" t="s">
        <v>36</v>
      </c>
      <c r="D201" s="4" t="s">
        <v>41</v>
      </c>
      <c r="E201" s="4" t="s">
        <v>25</v>
      </c>
      <c r="F201" s="4" t="s">
        <v>25</v>
      </c>
      <c r="G201" s="4" t="s">
        <v>25</v>
      </c>
      <c r="H201" s="4" t="s">
        <v>37</v>
      </c>
      <c r="I201" s="5">
        <v>44682</v>
      </c>
      <c r="J201" s="6">
        <v>0</v>
      </c>
      <c r="K201" s="61">
        <v>0</v>
      </c>
      <c r="L201" s="6">
        <v>2.1120000000000001</v>
      </c>
      <c r="M201" s="61">
        <v>2.1120000000000001</v>
      </c>
      <c r="N201" s="6">
        <v>2.1120000000000001</v>
      </c>
      <c r="O201" s="61">
        <v>2.1120000000000001</v>
      </c>
      <c r="P201" s="6">
        <v>0</v>
      </c>
      <c r="Q201" s="4" t="s">
        <v>26</v>
      </c>
      <c r="R201" s="4">
        <v>0</v>
      </c>
      <c r="S201" s="6">
        <v>0</v>
      </c>
      <c r="T201" s="6">
        <v>25</v>
      </c>
      <c r="U201" s="6">
        <v>44</v>
      </c>
      <c r="V201" s="61">
        <f>IF(ISERROR(VLOOKUP($S$201,'TAR FIN'!$A$1:$O$85,15,0)),0,VLOOKUP($S$201,'TAR FIN'!$A$1:$O$85,15,0))</f>
        <v>0</v>
      </c>
      <c r="W201" s="61">
        <f>IF(ISERROR(VLOOKUP($T$201,'TAR FIN'!$A$1:$O$85,15,0)),0,VLOOKUP($T$201,'TAR FIN'!$A$1:$O$85,15,0))*(1-0.04)</f>
        <v>1845.6575999999998</v>
      </c>
      <c r="X201" s="61">
        <f>IF(ISERROR(VLOOKUP($U$201,'TAR FIN'!$A$1:$O$85,15,0)),0,VLOOKUP($U$201,'TAR FIN'!$A$1:$O$85,15,0))*(1-0.04)</f>
        <v>135.66719999999998</v>
      </c>
      <c r="Y201" s="61"/>
      <c r="Z201" s="61">
        <f ca="1">('TUSD BE'!$AM$11+'TUSD BF'!$AM$11+'TUSD CVA'!$AM$11)*1*(1-0.02)</f>
        <v>1893.0693128580479</v>
      </c>
      <c r="AA201" s="61">
        <f>('TE BE'!$AB$5+'TE BF'!$AB$5+'TE CVA'!$AB$5)*1*(1-0.02)</f>
        <v>133.0901362797062</v>
      </c>
      <c r="AB201" s="6">
        <f>$K$201*$V$201</f>
        <v>0</v>
      </c>
      <c r="AC201" s="6">
        <f>$M$201*$W$201</f>
        <v>3898.0288511999997</v>
      </c>
      <c r="AD201" s="6">
        <f>$O$201*$X$201</f>
        <v>286.5291264</v>
      </c>
      <c r="AE201" s="6">
        <f>$K$201*$Y$201</f>
        <v>0</v>
      </c>
      <c r="AF201" s="6">
        <f ca="1">$M$201*$Z$201</f>
        <v>3998.1623887561973</v>
      </c>
      <c r="AG201" s="6">
        <f>$O$201*$AA$201</f>
        <v>281.08636782273953</v>
      </c>
    </row>
    <row r="202" spans="1:33" ht="11.25" customHeight="1" x14ac:dyDescent="0.25">
      <c r="A202" s="4" t="s">
        <v>28</v>
      </c>
      <c r="B202" s="4" t="s">
        <v>35</v>
      </c>
      <c r="C202" s="4" t="s">
        <v>36</v>
      </c>
      <c r="D202" s="4" t="s">
        <v>41</v>
      </c>
      <c r="E202" s="4" t="s">
        <v>25</v>
      </c>
      <c r="F202" s="4" t="s">
        <v>25</v>
      </c>
      <c r="G202" s="4" t="s">
        <v>25</v>
      </c>
      <c r="H202" s="4" t="s">
        <v>37</v>
      </c>
      <c r="I202" s="5">
        <v>44682</v>
      </c>
      <c r="J202" s="6">
        <v>0</v>
      </c>
      <c r="K202" s="61">
        <v>0</v>
      </c>
      <c r="L202" s="6">
        <v>1.974</v>
      </c>
      <c r="M202" s="61">
        <v>1.974</v>
      </c>
      <c r="N202" s="6">
        <v>1.974</v>
      </c>
      <c r="O202" s="61">
        <v>1.974</v>
      </c>
      <c r="P202" s="6">
        <v>0</v>
      </c>
      <c r="Q202" s="4" t="s">
        <v>26</v>
      </c>
      <c r="R202" s="4">
        <v>0</v>
      </c>
      <c r="S202" s="6">
        <v>0</v>
      </c>
      <c r="T202" s="6">
        <v>25</v>
      </c>
      <c r="U202" s="6">
        <v>44</v>
      </c>
      <c r="V202" s="61">
        <f>IF(ISERROR(VLOOKUP($S$202,'TAR FIN'!$A$1:$O$85,15,0)),0,VLOOKUP($S$202,'TAR FIN'!$A$1:$O$85,15,0))</f>
        <v>0</v>
      </c>
      <c r="W202" s="61">
        <f>IF(ISERROR(VLOOKUP($T$202,'TAR FIN'!$A$1:$O$85,15,0)),0,VLOOKUP($T$202,'TAR FIN'!$A$1:$O$85,15,0))*(1-0.04)</f>
        <v>1845.6575999999998</v>
      </c>
      <c r="X202" s="61">
        <f>IF(ISERROR(VLOOKUP($U$202,'TAR FIN'!$A$1:$O$85,15,0)),0,VLOOKUP($U$202,'TAR FIN'!$A$1:$O$85,15,0))*(1-0.04)</f>
        <v>135.66719999999998</v>
      </c>
      <c r="Y202" s="61"/>
      <c r="Z202" s="61">
        <f ca="1">('TUSD BE'!$AM$11+'TUSD BF'!$AM$11+'TUSD CVA'!$AM$11)*1*(1-0.02)</f>
        <v>1893.0693128580479</v>
      </c>
      <c r="AA202" s="61">
        <f>('TE BE'!$AB$5+'TE BF'!$AB$5+'TE CVA'!$AB$5)*1*(1-0.02)</f>
        <v>133.0901362797062</v>
      </c>
      <c r="AB202" s="6">
        <f>$K$202*$V$202</f>
        <v>0</v>
      </c>
      <c r="AC202" s="6">
        <f>$M$202*$W$202</f>
        <v>3643.3281023999994</v>
      </c>
      <c r="AD202" s="6">
        <f>$O$202*$X$202</f>
        <v>267.80705279999995</v>
      </c>
      <c r="AE202" s="6">
        <f>$K$202*$Y$202</f>
        <v>0</v>
      </c>
      <c r="AF202" s="6">
        <f ca="1">$M$202*$Z$202</f>
        <v>3736.9188235817865</v>
      </c>
      <c r="AG202" s="6">
        <f>$O$202*$AA$202</f>
        <v>262.71992901614004</v>
      </c>
    </row>
    <row r="203" spans="1:33" ht="11.25" customHeight="1" x14ac:dyDescent="0.25">
      <c r="A203" s="4" t="s">
        <v>21</v>
      </c>
      <c r="B203" s="4" t="s">
        <v>35</v>
      </c>
      <c r="C203" s="4" t="s">
        <v>36</v>
      </c>
      <c r="D203" s="4" t="s">
        <v>41</v>
      </c>
      <c r="E203" s="4" t="s">
        <v>25</v>
      </c>
      <c r="F203" s="4" t="s">
        <v>25</v>
      </c>
      <c r="G203" s="4" t="s">
        <v>25</v>
      </c>
      <c r="H203" s="4" t="s">
        <v>37</v>
      </c>
      <c r="I203" s="5">
        <v>44713</v>
      </c>
      <c r="J203" s="6">
        <v>0</v>
      </c>
      <c r="K203" s="61">
        <v>0</v>
      </c>
      <c r="L203" s="6">
        <v>0.19900000000000001</v>
      </c>
      <c r="M203" s="61">
        <v>0.19900000000000001</v>
      </c>
      <c r="N203" s="6">
        <v>0.19900000000000001</v>
      </c>
      <c r="O203" s="61">
        <v>0.19900000000000001</v>
      </c>
      <c r="P203" s="6">
        <v>0</v>
      </c>
      <c r="Q203" s="4" t="s">
        <v>26</v>
      </c>
      <c r="R203" s="4">
        <v>0</v>
      </c>
      <c r="S203" s="6">
        <v>0</v>
      </c>
      <c r="T203" s="6">
        <v>25</v>
      </c>
      <c r="U203" s="6">
        <v>44</v>
      </c>
      <c r="V203" s="61">
        <f>IF(ISERROR(VLOOKUP($S$203,'TAR FIN'!$A$1:$O$85,15,0)),0,VLOOKUP($S$203,'TAR FIN'!$A$1:$O$85,15,0))</f>
        <v>0</v>
      </c>
      <c r="W203" s="61">
        <f>IF(ISERROR(VLOOKUP($T$203,'TAR FIN'!$A$1:$O$85,15,0)),0,VLOOKUP($T$203,'TAR FIN'!$A$1:$O$85,15,0))*(1-0.04)</f>
        <v>1845.6575999999998</v>
      </c>
      <c r="X203" s="61">
        <f>IF(ISERROR(VLOOKUP($U$203,'TAR FIN'!$A$1:$O$85,15,0)),0,VLOOKUP($U$203,'TAR FIN'!$A$1:$O$85,15,0))*(1-0.04)</f>
        <v>135.66719999999998</v>
      </c>
      <c r="Y203" s="61"/>
      <c r="Z203" s="61">
        <f ca="1">('TUSD BE'!$AM$11+'TUSD BF'!$AM$11+'TUSD CVA'!$AM$11)*1*(1-0.02)</f>
        <v>1893.0693128580479</v>
      </c>
      <c r="AA203" s="61">
        <f>('TE BE'!$AB$5+'TE BF'!$AB$5+'TE CVA'!$AB$5)*1*(1-0.02)</f>
        <v>133.0901362797062</v>
      </c>
      <c r="AB203" s="6">
        <f>$K$203*$V$203</f>
        <v>0</v>
      </c>
      <c r="AC203" s="6">
        <f>$M$203*$W$203</f>
        <v>367.28586239999998</v>
      </c>
      <c r="AD203" s="6">
        <f>$O$203*$X$203</f>
        <v>26.997772799999996</v>
      </c>
      <c r="AE203" s="6">
        <f>$K$203*$Y$203</f>
        <v>0</v>
      </c>
      <c r="AF203" s="6">
        <f ca="1">$M$203*$Z$203</f>
        <v>376.72079325875154</v>
      </c>
      <c r="AG203" s="6">
        <f>$O$203*$AA$203</f>
        <v>26.484937119661534</v>
      </c>
    </row>
    <row r="204" spans="1:33" ht="11.25" customHeight="1" x14ac:dyDescent="0.25">
      <c r="A204" s="4" t="s">
        <v>28</v>
      </c>
      <c r="B204" s="4" t="s">
        <v>35</v>
      </c>
      <c r="C204" s="4" t="s">
        <v>36</v>
      </c>
      <c r="D204" s="4" t="s">
        <v>41</v>
      </c>
      <c r="E204" s="4" t="s">
        <v>25</v>
      </c>
      <c r="F204" s="4" t="s">
        <v>25</v>
      </c>
      <c r="G204" s="4" t="s">
        <v>25</v>
      </c>
      <c r="H204" s="4" t="s">
        <v>37</v>
      </c>
      <c r="I204" s="5">
        <v>44713</v>
      </c>
      <c r="J204" s="6">
        <v>0</v>
      </c>
      <c r="K204" s="61">
        <v>0</v>
      </c>
      <c r="L204" s="6">
        <v>2.44</v>
      </c>
      <c r="M204" s="61">
        <v>2.44</v>
      </c>
      <c r="N204" s="6">
        <v>2.44</v>
      </c>
      <c r="O204" s="61">
        <v>2.44</v>
      </c>
      <c r="P204" s="6">
        <v>0</v>
      </c>
      <c r="Q204" s="4" t="s">
        <v>26</v>
      </c>
      <c r="R204" s="4">
        <v>0</v>
      </c>
      <c r="S204" s="6">
        <v>0</v>
      </c>
      <c r="T204" s="6">
        <v>25</v>
      </c>
      <c r="U204" s="6">
        <v>44</v>
      </c>
      <c r="V204" s="61">
        <f>IF(ISERROR(VLOOKUP($S$204,'TAR FIN'!$A$1:$O$85,15,0)),0,VLOOKUP($S$204,'TAR FIN'!$A$1:$O$85,15,0))</f>
        <v>0</v>
      </c>
      <c r="W204" s="61">
        <f>IF(ISERROR(VLOOKUP($T$204,'TAR FIN'!$A$1:$O$85,15,0)),0,VLOOKUP($T$204,'TAR FIN'!$A$1:$O$85,15,0))*(1-0.04)</f>
        <v>1845.6575999999998</v>
      </c>
      <c r="X204" s="61">
        <f>IF(ISERROR(VLOOKUP($U$204,'TAR FIN'!$A$1:$O$85,15,0)),0,VLOOKUP($U$204,'TAR FIN'!$A$1:$O$85,15,0))*(1-0.04)</f>
        <v>135.66719999999998</v>
      </c>
      <c r="Y204" s="61"/>
      <c r="Z204" s="61">
        <f ca="1">('TUSD BE'!$AM$11+'TUSD BF'!$AM$11+'TUSD CVA'!$AM$11)*1*(1-0.02)</f>
        <v>1893.0693128580479</v>
      </c>
      <c r="AA204" s="61">
        <f>('TE BE'!$AB$5+'TE BF'!$AB$5+'TE CVA'!$AB$5)*1*(1-0.02)</f>
        <v>133.0901362797062</v>
      </c>
      <c r="AB204" s="6">
        <f>$K$204*$V$204</f>
        <v>0</v>
      </c>
      <c r="AC204" s="6">
        <f>$M$204*$W$204</f>
        <v>4503.4045439999991</v>
      </c>
      <c r="AD204" s="6">
        <f>$O$204*$X$204</f>
        <v>331.02796799999993</v>
      </c>
      <c r="AE204" s="6">
        <f>$K$204*$Y$204</f>
        <v>0</v>
      </c>
      <c r="AF204" s="6">
        <f ca="1">$M$204*$Z$204</f>
        <v>4619.0891233736365</v>
      </c>
      <c r="AG204" s="6">
        <f>$O$204*$AA$204</f>
        <v>324.73993252248312</v>
      </c>
    </row>
    <row r="205" spans="1:33" ht="11.25" customHeight="1" x14ac:dyDescent="0.25">
      <c r="A205" s="4" t="s">
        <v>21</v>
      </c>
      <c r="B205" s="4" t="s">
        <v>35</v>
      </c>
      <c r="C205" s="4" t="s">
        <v>36</v>
      </c>
      <c r="D205" s="4" t="s">
        <v>41</v>
      </c>
      <c r="E205" s="4" t="s">
        <v>25</v>
      </c>
      <c r="F205" s="4" t="s">
        <v>25</v>
      </c>
      <c r="G205" s="4" t="s">
        <v>25</v>
      </c>
      <c r="H205" s="4" t="s">
        <v>37</v>
      </c>
      <c r="I205" s="5">
        <v>44743</v>
      </c>
      <c r="J205" s="6">
        <v>0</v>
      </c>
      <c r="K205" s="61">
        <v>0</v>
      </c>
      <c r="L205" s="6">
        <v>0.11899999999999999</v>
      </c>
      <c r="M205" s="61">
        <v>0.11899999999999999</v>
      </c>
      <c r="N205" s="6">
        <v>0.11899999999999999</v>
      </c>
      <c r="O205" s="61">
        <v>0.11899999999999999</v>
      </c>
      <c r="P205" s="6">
        <v>0</v>
      </c>
      <c r="Q205" s="4" t="s">
        <v>26</v>
      </c>
      <c r="R205" s="4">
        <v>0</v>
      </c>
      <c r="S205" s="6">
        <v>0</v>
      </c>
      <c r="T205" s="6">
        <v>25</v>
      </c>
      <c r="U205" s="6">
        <v>44</v>
      </c>
      <c r="V205" s="61">
        <f>IF(ISERROR(VLOOKUP($S$205,'TAR FIN'!$A$1:$O$85,15,0)),0,VLOOKUP($S$205,'TAR FIN'!$A$1:$O$85,15,0))</f>
        <v>0</v>
      </c>
      <c r="W205" s="61">
        <f>IF(ISERROR(VLOOKUP($T$205,'TAR FIN'!$A$1:$O$85,15,0)),0,VLOOKUP($T$205,'TAR FIN'!$A$1:$O$85,15,0))*(1-0.04)</f>
        <v>1845.6575999999998</v>
      </c>
      <c r="X205" s="61">
        <f>IF(ISERROR(VLOOKUP($U$205,'TAR FIN'!$A$1:$O$85,15,0)),0,VLOOKUP($U$205,'TAR FIN'!$A$1:$O$85,15,0))*(1-0.04)</f>
        <v>135.66719999999998</v>
      </c>
      <c r="Y205" s="61"/>
      <c r="Z205" s="61">
        <f ca="1">('TUSD BE'!$AM$11+'TUSD BF'!$AM$11+'TUSD CVA'!$AM$11)*1*(1-0.02)</f>
        <v>1893.0693128580479</v>
      </c>
      <c r="AA205" s="61">
        <f>('TE BE'!$AB$5+'TE BF'!$AB$5+'TE CVA'!$AB$5)*1*(1-0.02)</f>
        <v>133.0901362797062</v>
      </c>
      <c r="AB205" s="6">
        <f>$K$205*$V$205</f>
        <v>0</v>
      </c>
      <c r="AC205" s="6">
        <f>$M$205*$W$205</f>
        <v>219.63325439999997</v>
      </c>
      <c r="AD205" s="6">
        <f>$O$205*$X$205</f>
        <v>16.144396799999996</v>
      </c>
      <c r="AE205" s="6">
        <f>$K$205*$Y$205</f>
        <v>0</v>
      </c>
      <c r="AF205" s="6">
        <f ca="1">$M$205*$Z$205</f>
        <v>225.27524823010768</v>
      </c>
      <c r="AG205" s="6">
        <f>$O$205*$AA$205</f>
        <v>15.837726217285038</v>
      </c>
    </row>
    <row r="206" spans="1:33" ht="11.25" customHeight="1" x14ac:dyDescent="0.25">
      <c r="A206" s="4" t="s">
        <v>21</v>
      </c>
      <c r="B206" s="4" t="s">
        <v>35</v>
      </c>
      <c r="C206" s="4" t="s">
        <v>36</v>
      </c>
      <c r="D206" s="4" t="s">
        <v>41</v>
      </c>
      <c r="E206" s="4" t="s">
        <v>25</v>
      </c>
      <c r="F206" s="4" t="s">
        <v>25</v>
      </c>
      <c r="G206" s="4" t="s">
        <v>25</v>
      </c>
      <c r="H206" s="4" t="s">
        <v>37</v>
      </c>
      <c r="I206" s="5">
        <v>44774</v>
      </c>
      <c r="J206" s="6">
        <v>0</v>
      </c>
      <c r="K206" s="61">
        <v>0</v>
      </c>
      <c r="L206" s="6">
        <v>1.5349999999999999</v>
      </c>
      <c r="M206" s="61">
        <v>1.5349999999999999</v>
      </c>
      <c r="N206" s="6">
        <v>1.5349999999999999</v>
      </c>
      <c r="O206" s="61">
        <v>1.5349999999999999</v>
      </c>
      <c r="P206" s="6">
        <v>0</v>
      </c>
      <c r="Q206" s="4" t="s">
        <v>26</v>
      </c>
      <c r="R206" s="4">
        <v>0</v>
      </c>
      <c r="S206" s="6">
        <v>0</v>
      </c>
      <c r="T206" s="6">
        <v>25</v>
      </c>
      <c r="U206" s="6">
        <v>44</v>
      </c>
      <c r="V206" s="61">
        <f>IF(ISERROR(VLOOKUP($S$206,'TAR FIN'!$A$1:$O$85,15,0)),0,VLOOKUP($S$206,'TAR FIN'!$A$1:$O$85,15,0))</f>
        <v>0</v>
      </c>
      <c r="W206" s="61">
        <f>IF(ISERROR(VLOOKUP($T$206,'TAR FIN'!$A$1:$O$85,15,0)),0,VLOOKUP($T$206,'TAR FIN'!$A$1:$O$85,15,0))*(1-0.04)</f>
        <v>1845.6575999999998</v>
      </c>
      <c r="X206" s="61">
        <f>IF(ISERROR(VLOOKUP($U$206,'TAR FIN'!$A$1:$O$85,15,0)),0,VLOOKUP($U$206,'TAR FIN'!$A$1:$O$85,15,0))*(1-0.04)</f>
        <v>135.66719999999998</v>
      </c>
      <c r="Y206" s="61"/>
      <c r="Z206" s="61">
        <f ca="1">('TUSD BE'!$AM$11+'TUSD BF'!$AM$11+'TUSD CVA'!$AM$11)*1*(1-0.02)</f>
        <v>1893.0693128580479</v>
      </c>
      <c r="AA206" s="61">
        <f>('TE BE'!$AB$5+'TE BF'!$AB$5+'TE CVA'!$AB$5)*1*(1-0.02)</f>
        <v>133.0901362797062</v>
      </c>
      <c r="AB206" s="6">
        <f>$K$206*$V$206</f>
        <v>0</v>
      </c>
      <c r="AC206" s="6">
        <f>$M$206*$W$206</f>
        <v>2833.0844159999997</v>
      </c>
      <c r="AD206" s="6">
        <f>$O$206*$X$206</f>
        <v>208.24915199999995</v>
      </c>
      <c r="AE206" s="6">
        <f>$K$206*$Y$206</f>
        <v>0</v>
      </c>
      <c r="AF206" s="6">
        <f ca="1">$M$206*$Z$206</f>
        <v>2905.8613952371034</v>
      </c>
      <c r="AG206" s="6">
        <f>$O$206*$AA$206</f>
        <v>204.29335918934902</v>
      </c>
    </row>
    <row r="207" spans="1:33" ht="11.25" customHeight="1" x14ac:dyDescent="0.25">
      <c r="A207" s="4" t="s">
        <v>21</v>
      </c>
      <c r="B207" s="4" t="s">
        <v>35</v>
      </c>
      <c r="C207" s="4" t="s">
        <v>36</v>
      </c>
      <c r="D207" s="4" t="s">
        <v>46</v>
      </c>
      <c r="E207" s="4" t="s">
        <v>47</v>
      </c>
      <c r="F207" s="4" t="s">
        <v>25</v>
      </c>
      <c r="G207" s="4" t="s">
        <v>25</v>
      </c>
      <c r="H207" s="4" t="s">
        <v>38</v>
      </c>
      <c r="I207" s="5">
        <v>44440</v>
      </c>
      <c r="J207" s="6">
        <v>0</v>
      </c>
      <c r="K207" s="61">
        <v>0</v>
      </c>
      <c r="L207" s="6">
        <v>8.99</v>
      </c>
      <c r="M207" s="61">
        <v>8.99</v>
      </c>
      <c r="N207" s="6">
        <v>8.99</v>
      </c>
      <c r="O207" s="61">
        <v>8.99</v>
      </c>
      <c r="P207" s="6">
        <v>0</v>
      </c>
      <c r="Q207" s="4" t="s">
        <v>26</v>
      </c>
      <c r="R207" s="4">
        <v>0</v>
      </c>
      <c r="S207" s="6">
        <v>0</v>
      </c>
      <c r="T207" s="6">
        <v>23</v>
      </c>
      <c r="U207" s="6">
        <v>51</v>
      </c>
      <c r="V207" s="61">
        <f>IF(ISERROR(VLOOKUP($S$207,'TAR FIN'!$A$1:$O$85,15,0)),0,VLOOKUP($S$207,'TAR FIN'!$A$1:$O$85,15,0))</f>
        <v>0</v>
      </c>
      <c r="W207" s="61">
        <f>IF(ISERROR(VLOOKUP($T$207,'TAR FIN'!$A$1:$O$85,15,0)),0,VLOOKUP($T$207,'TAR FIN'!$A$1:$O$85,15,0))*(1-0.06)</f>
        <v>62.246799999999993</v>
      </c>
      <c r="X207" s="61">
        <f>IF(ISERROR(VLOOKUP($U$207,'TAR FIN'!$A$1:$O$85,15,0)),0,VLOOKUP($U$207,'TAR FIN'!$A$1:$O$85,15,0))*(1-0.06)</f>
        <v>132.84079999999997</v>
      </c>
      <c r="Y207" s="61"/>
      <c r="Z207" s="61">
        <f ca="1">('TUSD BE'!$AM$12+'TUSD BF'!$AM$12+'TUSD CVA'!$AM$12)*1*(1-0.03)</f>
        <v>96.85231722220351</v>
      </c>
      <c r="AA207" s="61">
        <f>('TE BE'!$AB$6+'TE BF'!$AB$6+'TE CVA'!$AB$6)*1*(1-0.03)</f>
        <v>131.73207366460716</v>
      </c>
      <c r="AB207" s="6">
        <f>$K$207*$V$207</f>
        <v>0</v>
      </c>
      <c r="AC207" s="6">
        <f>$M$207*$W$207</f>
        <v>559.59873199999993</v>
      </c>
      <c r="AD207" s="6">
        <f>$O$207*$X$207</f>
        <v>1194.2387919999999</v>
      </c>
      <c r="AE207" s="6">
        <f>$K$207*$Y$207</f>
        <v>0</v>
      </c>
      <c r="AF207" s="6">
        <f ca="1">$M$207*$Z$207</f>
        <v>870.70233182760956</v>
      </c>
      <c r="AG207" s="6">
        <f>$O$207*$AA$207</f>
        <v>1184.2713422448185</v>
      </c>
    </row>
    <row r="208" spans="1:33" ht="11.25" customHeight="1" x14ac:dyDescent="0.25">
      <c r="A208" s="4" t="s">
        <v>21</v>
      </c>
      <c r="B208" s="4" t="s">
        <v>35</v>
      </c>
      <c r="C208" s="4" t="s">
        <v>36</v>
      </c>
      <c r="D208" s="4" t="s">
        <v>46</v>
      </c>
      <c r="E208" s="4" t="s">
        <v>47</v>
      </c>
      <c r="F208" s="4" t="s">
        <v>25</v>
      </c>
      <c r="G208" s="4" t="s">
        <v>25</v>
      </c>
      <c r="H208" s="4" t="s">
        <v>38</v>
      </c>
      <c r="I208" s="5">
        <v>44470</v>
      </c>
      <c r="J208" s="6">
        <v>0</v>
      </c>
      <c r="K208" s="61">
        <v>0</v>
      </c>
      <c r="L208" s="6">
        <v>20.884</v>
      </c>
      <c r="M208" s="61">
        <v>20.884</v>
      </c>
      <c r="N208" s="6">
        <v>20.884</v>
      </c>
      <c r="O208" s="61">
        <v>20.884</v>
      </c>
      <c r="P208" s="6">
        <v>0</v>
      </c>
      <c r="Q208" s="4" t="s">
        <v>26</v>
      </c>
      <c r="R208" s="4">
        <v>0</v>
      </c>
      <c r="S208" s="6">
        <v>0</v>
      </c>
      <c r="T208" s="6">
        <v>23</v>
      </c>
      <c r="U208" s="6">
        <v>51</v>
      </c>
      <c r="V208" s="61">
        <f>IF(ISERROR(VLOOKUP($S$208,'TAR FIN'!$A$1:$O$85,15,0)),0,VLOOKUP($S$208,'TAR FIN'!$A$1:$O$85,15,0))</f>
        <v>0</v>
      </c>
      <c r="W208" s="61">
        <f>IF(ISERROR(VLOOKUP($T$208,'TAR FIN'!$A$1:$O$85,15,0)),0,VLOOKUP($T$208,'TAR FIN'!$A$1:$O$85,15,0))*(1-0.06)</f>
        <v>62.246799999999993</v>
      </c>
      <c r="X208" s="61">
        <f>IF(ISERROR(VLOOKUP($U$208,'TAR FIN'!$A$1:$O$85,15,0)),0,VLOOKUP($U$208,'TAR FIN'!$A$1:$O$85,15,0))*(1-0.06)</f>
        <v>132.84079999999997</v>
      </c>
      <c r="Y208" s="61"/>
      <c r="Z208" s="61">
        <f ca="1">('TUSD BE'!$AM$12+'TUSD BF'!$AM$12+'TUSD CVA'!$AM$12)*1*(1-0.03)</f>
        <v>96.85231722220351</v>
      </c>
      <c r="AA208" s="61">
        <f>('TE BE'!$AB$6+'TE BF'!$AB$6+'TE CVA'!$AB$6)*1*(1-0.03)</f>
        <v>131.73207366460716</v>
      </c>
      <c r="AB208" s="6">
        <f>$K$208*$V$208</f>
        <v>0</v>
      </c>
      <c r="AC208" s="6">
        <f>$M$208*$W$208</f>
        <v>1299.9621711999998</v>
      </c>
      <c r="AD208" s="6">
        <f>$O$208*$X$208</f>
        <v>2774.2472671999994</v>
      </c>
      <c r="AE208" s="6">
        <f>$K$208*$Y$208</f>
        <v>0</v>
      </c>
      <c r="AF208" s="6">
        <f ca="1">$M$208*$Z$208</f>
        <v>2022.6637928684981</v>
      </c>
      <c r="AG208" s="6">
        <f>$O$208*$AA$208</f>
        <v>2751.0926264116561</v>
      </c>
    </row>
    <row r="209" spans="1:33" ht="11.25" customHeight="1" x14ac:dyDescent="0.25">
      <c r="A209" s="4" t="s">
        <v>21</v>
      </c>
      <c r="B209" s="4" t="s">
        <v>35</v>
      </c>
      <c r="C209" s="4" t="s">
        <v>36</v>
      </c>
      <c r="D209" s="4" t="s">
        <v>46</v>
      </c>
      <c r="E209" s="4" t="s">
        <v>47</v>
      </c>
      <c r="F209" s="4" t="s">
        <v>25</v>
      </c>
      <c r="G209" s="4" t="s">
        <v>25</v>
      </c>
      <c r="H209" s="4" t="s">
        <v>38</v>
      </c>
      <c r="I209" s="5">
        <v>44501</v>
      </c>
      <c r="J209" s="6">
        <v>0</v>
      </c>
      <c r="K209" s="61">
        <v>0</v>
      </c>
      <c r="L209" s="6">
        <v>42.347999999999999</v>
      </c>
      <c r="M209" s="61">
        <v>42.347999999999999</v>
      </c>
      <c r="N209" s="6">
        <v>42.347999999999999</v>
      </c>
      <c r="O209" s="61">
        <v>42.347999999999999</v>
      </c>
      <c r="P209" s="6">
        <v>0</v>
      </c>
      <c r="Q209" s="4" t="s">
        <v>26</v>
      </c>
      <c r="R209" s="4">
        <v>0</v>
      </c>
      <c r="S209" s="6">
        <v>0</v>
      </c>
      <c r="T209" s="6">
        <v>23</v>
      </c>
      <c r="U209" s="6">
        <v>51</v>
      </c>
      <c r="V209" s="61">
        <f>IF(ISERROR(VLOOKUP($S$209,'TAR FIN'!$A$1:$O$85,15,0)),0,VLOOKUP($S$209,'TAR FIN'!$A$1:$O$85,15,0))</f>
        <v>0</v>
      </c>
      <c r="W209" s="61">
        <f>IF(ISERROR(VLOOKUP($T$209,'TAR FIN'!$A$1:$O$85,15,0)),0,VLOOKUP($T$209,'TAR FIN'!$A$1:$O$85,15,0))*(1-0.06)</f>
        <v>62.246799999999993</v>
      </c>
      <c r="X209" s="61">
        <f>IF(ISERROR(VLOOKUP($U$209,'TAR FIN'!$A$1:$O$85,15,0)),0,VLOOKUP($U$209,'TAR FIN'!$A$1:$O$85,15,0))*(1-0.06)</f>
        <v>132.84079999999997</v>
      </c>
      <c r="Y209" s="61"/>
      <c r="Z209" s="61">
        <f ca="1">('TUSD BE'!$AM$12+'TUSD BF'!$AM$12+'TUSD CVA'!$AM$12)*1*(1-0.03)</f>
        <v>96.85231722220351</v>
      </c>
      <c r="AA209" s="61">
        <f>('TE BE'!$AB$6+'TE BF'!$AB$6+'TE CVA'!$AB$6)*1*(1-0.03)</f>
        <v>131.73207366460716</v>
      </c>
      <c r="AB209" s="6">
        <f>$K$209*$V$209</f>
        <v>0</v>
      </c>
      <c r="AC209" s="6">
        <f>$M$209*$W$209</f>
        <v>2636.0274863999998</v>
      </c>
      <c r="AD209" s="6">
        <f>$O$209*$X$209</f>
        <v>5625.5421983999986</v>
      </c>
      <c r="AE209" s="6">
        <f>$K$209*$Y$209</f>
        <v>0</v>
      </c>
      <c r="AF209" s="6">
        <f ca="1">$M$209*$Z$209</f>
        <v>4101.5019297258741</v>
      </c>
      <c r="AG209" s="6">
        <f>$O$209*$AA$209</f>
        <v>5578.5898555487838</v>
      </c>
    </row>
    <row r="210" spans="1:33" ht="11.25" customHeight="1" x14ac:dyDescent="0.25">
      <c r="A210" s="4" t="s">
        <v>21</v>
      </c>
      <c r="B210" s="4" t="s">
        <v>35</v>
      </c>
      <c r="C210" s="4" t="s">
        <v>36</v>
      </c>
      <c r="D210" s="4" t="s">
        <v>46</v>
      </c>
      <c r="E210" s="4" t="s">
        <v>47</v>
      </c>
      <c r="F210" s="4" t="s">
        <v>25</v>
      </c>
      <c r="G210" s="4" t="s">
        <v>25</v>
      </c>
      <c r="H210" s="4" t="s">
        <v>38</v>
      </c>
      <c r="I210" s="5">
        <v>44531</v>
      </c>
      <c r="J210" s="6">
        <v>0</v>
      </c>
      <c r="K210" s="61">
        <v>0</v>
      </c>
      <c r="L210" s="6">
        <v>44.311999999999998</v>
      </c>
      <c r="M210" s="61">
        <v>44.311999999999998</v>
      </c>
      <c r="N210" s="6">
        <v>44.311999999999998</v>
      </c>
      <c r="O210" s="61">
        <v>44.311999999999998</v>
      </c>
      <c r="P210" s="6">
        <v>0</v>
      </c>
      <c r="Q210" s="4" t="s">
        <v>26</v>
      </c>
      <c r="R210" s="4">
        <v>0</v>
      </c>
      <c r="S210" s="6">
        <v>0</v>
      </c>
      <c r="T210" s="6">
        <v>23</v>
      </c>
      <c r="U210" s="6">
        <v>51</v>
      </c>
      <c r="V210" s="61">
        <f>IF(ISERROR(VLOOKUP($S$210,'TAR FIN'!$A$1:$O$85,15,0)),0,VLOOKUP($S$210,'TAR FIN'!$A$1:$O$85,15,0))</f>
        <v>0</v>
      </c>
      <c r="W210" s="61">
        <f>IF(ISERROR(VLOOKUP($T$210,'TAR FIN'!$A$1:$O$85,15,0)),0,VLOOKUP($T$210,'TAR FIN'!$A$1:$O$85,15,0))*(1-0.06)</f>
        <v>62.246799999999993</v>
      </c>
      <c r="X210" s="61">
        <f>IF(ISERROR(VLOOKUP($U$210,'TAR FIN'!$A$1:$O$85,15,0)),0,VLOOKUP($U$210,'TAR FIN'!$A$1:$O$85,15,0))*(1-0.06)</f>
        <v>132.84079999999997</v>
      </c>
      <c r="Y210" s="61"/>
      <c r="Z210" s="61">
        <f ca="1">('TUSD BE'!$AM$12+'TUSD BF'!$AM$12+'TUSD CVA'!$AM$12)*1*(1-0.03)</f>
        <v>96.85231722220351</v>
      </c>
      <c r="AA210" s="61">
        <f>('TE BE'!$AB$6+'TE BF'!$AB$6+'TE CVA'!$AB$6)*1*(1-0.03)</f>
        <v>131.73207366460716</v>
      </c>
      <c r="AB210" s="6">
        <f>$K$210*$V$210</f>
        <v>0</v>
      </c>
      <c r="AC210" s="6">
        <f>$M$210*$W$210</f>
        <v>2758.2802015999996</v>
      </c>
      <c r="AD210" s="6">
        <f>$O$210*$X$210</f>
        <v>5886.4415295999988</v>
      </c>
      <c r="AE210" s="6">
        <f>$K$210*$Y$210</f>
        <v>0</v>
      </c>
      <c r="AF210" s="6">
        <f ca="1">$M$210*$Z$210</f>
        <v>4291.7198807502818</v>
      </c>
      <c r="AG210" s="6">
        <f>$O$210*$AA$210</f>
        <v>5837.3116482260721</v>
      </c>
    </row>
    <row r="211" spans="1:33" ht="11.25" customHeight="1" x14ac:dyDescent="0.25">
      <c r="A211" s="4" t="s">
        <v>21</v>
      </c>
      <c r="B211" s="4" t="s">
        <v>35</v>
      </c>
      <c r="C211" s="4" t="s">
        <v>36</v>
      </c>
      <c r="D211" s="4" t="s">
        <v>46</v>
      </c>
      <c r="E211" s="4" t="s">
        <v>47</v>
      </c>
      <c r="F211" s="4" t="s">
        <v>25</v>
      </c>
      <c r="G211" s="4" t="s">
        <v>25</v>
      </c>
      <c r="H211" s="4" t="s">
        <v>38</v>
      </c>
      <c r="I211" s="5">
        <v>44562</v>
      </c>
      <c r="J211" s="6">
        <v>0</v>
      </c>
      <c r="K211" s="61">
        <v>0</v>
      </c>
      <c r="L211" s="6">
        <v>46.517000000000003</v>
      </c>
      <c r="M211" s="61">
        <v>46.517000000000003</v>
      </c>
      <c r="N211" s="6">
        <v>46.517000000000003</v>
      </c>
      <c r="O211" s="61">
        <v>46.517000000000003</v>
      </c>
      <c r="P211" s="6">
        <v>0</v>
      </c>
      <c r="Q211" s="4" t="s">
        <v>26</v>
      </c>
      <c r="R211" s="4">
        <v>0</v>
      </c>
      <c r="S211" s="6">
        <v>0</v>
      </c>
      <c r="T211" s="6">
        <v>23</v>
      </c>
      <c r="U211" s="6">
        <v>51</v>
      </c>
      <c r="V211" s="61">
        <f>IF(ISERROR(VLOOKUP($S$211,'TAR FIN'!$A$1:$O$85,15,0)),0,VLOOKUP($S$211,'TAR FIN'!$A$1:$O$85,15,0))</f>
        <v>0</v>
      </c>
      <c r="W211" s="61">
        <f>IF(ISERROR(VLOOKUP($T$211,'TAR FIN'!$A$1:$O$85,15,0)),0,VLOOKUP($T$211,'TAR FIN'!$A$1:$O$85,15,0))*(1-0.06)</f>
        <v>62.246799999999993</v>
      </c>
      <c r="X211" s="61">
        <f>IF(ISERROR(VLOOKUP($U$211,'TAR FIN'!$A$1:$O$85,15,0)),0,VLOOKUP($U$211,'TAR FIN'!$A$1:$O$85,15,0))*(1-0.06)</f>
        <v>132.84079999999997</v>
      </c>
      <c r="Y211" s="61"/>
      <c r="Z211" s="61">
        <f ca="1">('TUSD BE'!$AM$12+'TUSD BF'!$AM$12+'TUSD CVA'!$AM$12)*1*(1-0.03)</f>
        <v>96.85231722220351</v>
      </c>
      <c r="AA211" s="61">
        <f>('TE BE'!$AB$6+'TE BF'!$AB$6+'TE CVA'!$AB$6)*1*(1-0.03)</f>
        <v>131.73207366460716</v>
      </c>
      <c r="AB211" s="6">
        <f>$K$211*$V$211</f>
        <v>0</v>
      </c>
      <c r="AC211" s="6">
        <f>$M$211*$W$211</f>
        <v>2895.5343955999997</v>
      </c>
      <c r="AD211" s="6">
        <f>$O$211*$X$211</f>
        <v>6179.3554935999991</v>
      </c>
      <c r="AE211" s="6">
        <f>$K$211*$Y$211</f>
        <v>0</v>
      </c>
      <c r="AF211" s="6">
        <f ca="1">$M$211*$Z$211</f>
        <v>4505.2792402252408</v>
      </c>
      <c r="AG211" s="6">
        <f>$O$211*$AA$211</f>
        <v>6127.7808706565311</v>
      </c>
    </row>
    <row r="212" spans="1:33" ht="11.25" customHeight="1" x14ac:dyDescent="0.25">
      <c r="A212" s="4" t="s">
        <v>21</v>
      </c>
      <c r="B212" s="4" t="s">
        <v>35</v>
      </c>
      <c r="C212" s="4" t="s">
        <v>36</v>
      </c>
      <c r="D212" s="4" t="s">
        <v>46</v>
      </c>
      <c r="E212" s="4" t="s">
        <v>47</v>
      </c>
      <c r="F212" s="4" t="s">
        <v>25</v>
      </c>
      <c r="G212" s="4" t="s">
        <v>25</v>
      </c>
      <c r="H212" s="4" t="s">
        <v>38</v>
      </c>
      <c r="I212" s="5">
        <v>44593</v>
      </c>
      <c r="J212" s="6">
        <v>0</v>
      </c>
      <c r="K212" s="61">
        <v>0</v>
      </c>
      <c r="L212" s="6">
        <v>38.237000000000002</v>
      </c>
      <c r="M212" s="61">
        <v>38.237000000000002</v>
      </c>
      <c r="N212" s="6">
        <v>38.237000000000002</v>
      </c>
      <c r="O212" s="61">
        <v>38.237000000000002</v>
      </c>
      <c r="P212" s="6">
        <v>0</v>
      </c>
      <c r="Q212" s="4" t="s">
        <v>26</v>
      </c>
      <c r="R212" s="4">
        <v>0</v>
      </c>
      <c r="S212" s="6">
        <v>0</v>
      </c>
      <c r="T212" s="6">
        <v>23</v>
      </c>
      <c r="U212" s="6">
        <v>51</v>
      </c>
      <c r="V212" s="61">
        <f>IF(ISERROR(VLOOKUP($S$212,'TAR FIN'!$A$1:$O$85,15,0)),0,VLOOKUP($S$212,'TAR FIN'!$A$1:$O$85,15,0))</f>
        <v>0</v>
      </c>
      <c r="W212" s="61">
        <f>IF(ISERROR(VLOOKUP($T$212,'TAR FIN'!$A$1:$O$85,15,0)),0,VLOOKUP($T$212,'TAR FIN'!$A$1:$O$85,15,0))*(1-0.06)</f>
        <v>62.246799999999993</v>
      </c>
      <c r="X212" s="61">
        <f>IF(ISERROR(VLOOKUP($U$212,'TAR FIN'!$A$1:$O$85,15,0)),0,VLOOKUP($U$212,'TAR FIN'!$A$1:$O$85,15,0))*(1-0.06)</f>
        <v>132.84079999999997</v>
      </c>
      <c r="Y212" s="61"/>
      <c r="Z212" s="61">
        <f ca="1">('TUSD BE'!$AM$12+'TUSD BF'!$AM$12+'TUSD CVA'!$AM$12)*1*(1-0.03)</f>
        <v>96.85231722220351</v>
      </c>
      <c r="AA212" s="61">
        <f>('TE BE'!$AB$6+'TE BF'!$AB$6+'TE CVA'!$AB$6)*1*(1-0.03)</f>
        <v>131.73207366460716</v>
      </c>
      <c r="AB212" s="6">
        <f>$K$212*$V$212</f>
        <v>0</v>
      </c>
      <c r="AC212" s="6">
        <f>$M$212*$W$212</f>
        <v>2380.1308915999998</v>
      </c>
      <c r="AD212" s="6">
        <f>$O$212*$X$212</f>
        <v>5079.4336695999991</v>
      </c>
      <c r="AE212" s="6">
        <f>$K$212*$Y$212</f>
        <v>0</v>
      </c>
      <c r="AF212" s="6">
        <f ca="1">$M$212*$Z$212</f>
        <v>3703.3420536253957</v>
      </c>
      <c r="AG212" s="6">
        <f>$O$212*$AA$212</f>
        <v>5037.0393007135845</v>
      </c>
    </row>
    <row r="213" spans="1:33" ht="11.25" customHeight="1" x14ac:dyDescent="0.25">
      <c r="A213" s="4" t="s">
        <v>21</v>
      </c>
      <c r="B213" s="4" t="s">
        <v>35</v>
      </c>
      <c r="C213" s="4" t="s">
        <v>36</v>
      </c>
      <c r="D213" s="4" t="s">
        <v>46</v>
      </c>
      <c r="E213" s="4" t="s">
        <v>47</v>
      </c>
      <c r="F213" s="4" t="s">
        <v>25</v>
      </c>
      <c r="G213" s="4" t="s">
        <v>25</v>
      </c>
      <c r="H213" s="4" t="s">
        <v>38</v>
      </c>
      <c r="I213" s="5">
        <v>44621</v>
      </c>
      <c r="J213" s="6">
        <v>0</v>
      </c>
      <c r="K213" s="61">
        <v>0</v>
      </c>
      <c r="L213" s="6">
        <v>41.484000000000002</v>
      </c>
      <c r="M213" s="61">
        <v>41.484000000000002</v>
      </c>
      <c r="N213" s="6">
        <v>41.484000000000002</v>
      </c>
      <c r="O213" s="61">
        <v>41.484000000000002</v>
      </c>
      <c r="P213" s="6">
        <v>0</v>
      </c>
      <c r="Q213" s="4" t="s">
        <v>26</v>
      </c>
      <c r="R213" s="4">
        <v>0</v>
      </c>
      <c r="S213" s="6">
        <v>0</v>
      </c>
      <c r="T213" s="6">
        <v>23</v>
      </c>
      <c r="U213" s="6">
        <v>51</v>
      </c>
      <c r="V213" s="61">
        <f>IF(ISERROR(VLOOKUP($S$213,'TAR FIN'!$A$1:$O$85,15,0)),0,VLOOKUP($S$213,'TAR FIN'!$A$1:$O$85,15,0))</f>
        <v>0</v>
      </c>
      <c r="W213" s="61">
        <f>IF(ISERROR(VLOOKUP($T$213,'TAR FIN'!$A$1:$O$85,15,0)),0,VLOOKUP($T$213,'TAR FIN'!$A$1:$O$85,15,0))*(1-0.06)</f>
        <v>62.246799999999993</v>
      </c>
      <c r="X213" s="61">
        <f>IF(ISERROR(VLOOKUP($U$213,'TAR FIN'!$A$1:$O$85,15,0)),0,VLOOKUP($U$213,'TAR FIN'!$A$1:$O$85,15,0))*(1-0.06)</f>
        <v>132.84079999999997</v>
      </c>
      <c r="Y213" s="61"/>
      <c r="Z213" s="61">
        <f ca="1">('TUSD BE'!$AM$12+'TUSD BF'!$AM$12+'TUSD CVA'!$AM$12)*1*(1-0.03)</f>
        <v>96.85231722220351</v>
      </c>
      <c r="AA213" s="61">
        <f>('TE BE'!$AB$6+'TE BF'!$AB$6+'TE CVA'!$AB$6)*1*(1-0.03)</f>
        <v>131.73207366460716</v>
      </c>
      <c r="AB213" s="6">
        <f>$K$213*$V$213</f>
        <v>0</v>
      </c>
      <c r="AC213" s="6">
        <f>$M$213*$W$213</f>
        <v>2582.2462511999997</v>
      </c>
      <c r="AD213" s="6">
        <f>$O$213*$X$213</f>
        <v>5510.7677471999987</v>
      </c>
      <c r="AE213" s="6">
        <f>$K$213*$Y$213</f>
        <v>0</v>
      </c>
      <c r="AF213" s="6">
        <f ca="1">$M$213*$Z$213</f>
        <v>4017.8215276458905</v>
      </c>
      <c r="AG213" s="6">
        <f>$O$213*$AA$213</f>
        <v>5464.7733439025633</v>
      </c>
    </row>
    <row r="214" spans="1:33" ht="11.25" customHeight="1" x14ac:dyDescent="0.25">
      <c r="A214" s="4" t="s">
        <v>21</v>
      </c>
      <c r="B214" s="4" t="s">
        <v>35</v>
      </c>
      <c r="C214" s="4" t="s">
        <v>36</v>
      </c>
      <c r="D214" s="4" t="s">
        <v>46</v>
      </c>
      <c r="E214" s="4" t="s">
        <v>47</v>
      </c>
      <c r="F214" s="4" t="s">
        <v>25</v>
      </c>
      <c r="G214" s="4" t="s">
        <v>25</v>
      </c>
      <c r="H214" s="4" t="s">
        <v>38</v>
      </c>
      <c r="I214" s="5">
        <v>44652</v>
      </c>
      <c r="J214" s="6">
        <v>0</v>
      </c>
      <c r="K214" s="61">
        <v>0</v>
      </c>
      <c r="L214" s="6">
        <v>34.99</v>
      </c>
      <c r="M214" s="61">
        <v>34.99</v>
      </c>
      <c r="N214" s="6">
        <v>34.99</v>
      </c>
      <c r="O214" s="61">
        <v>34.99</v>
      </c>
      <c r="P214" s="6">
        <v>0</v>
      </c>
      <c r="Q214" s="4" t="s">
        <v>26</v>
      </c>
      <c r="R214" s="4">
        <v>0</v>
      </c>
      <c r="S214" s="6">
        <v>0</v>
      </c>
      <c r="T214" s="6">
        <v>23</v>
      </c>
      <c r="U214" s="6">
        <v>51</v>
      </c>
      <c r="V214" s="61">
        <f>IF(ISERROR(VLOOKUP($S$214,'TAR FIN'!$A$1:$O$85,15,0)),0,VLOOKUP($S$214,'TAR FIN'!$A$1:$O$85,15,0))</f>
        <v>0</v>
      </c>
      <c r="W214" s="61">
        <f>IF(ISERROR(VLOOKUP($T$214,'TAR FIN'!$A$1:$O$85,15,0)),0,VLOOKUP($T$214,'TAR FIN'!$A$1:$O$85,15,0))*(1-0.06)</f>
        <v>62.246799999999993</v>
      </c>
      <c r="X214" s="61">
        <f>IF(ISERROR(VLOOKUP($U$214,'TAR FIN'!$A$1:$O$85,15,0)),0,VLOOKUP($U$214,'TAR FIN'!$A$1:$O$85,15,0))*(1-0.06)</f>
        <v>132.84079999999997</v>
      </c>
      <c r="Y214" s="61"/>
      <c r="Z214" s="61">
        <f ca="1">('TUSD BE'!$AM$12+'TUSD BF'!$AM$12+'TUSD CVA'!$AM$12)*1*(1-0.03)</f>
        <v>96.85231722220351</v>
      </c>
      <c r="AA214" s="61">
        <f>('TE BE'!$AB$6+'TE BF'!$AB$6+'TE CVA'!$AB$6)*1*(1-0.03)</f>
        <v>131.73207366460716</v>
      </c>
      <c r="AB214" s="6">
        <f>$K$214*$V$214</f>
        <v>0</v>
      </c>
      <c r="AC214" s="6">
        <f>$M$214*$W$214</f>
        <v>2178.0155319999999</v>
      </c>
      <c r="AD214" s="6">
        <f>$O$214*$X$214</f>
        <v>4648.0995919999996</v>
      </c>
      <c r="AE214" s="6">
        <f>$K$214*$Y$214</f>
        <v>0</v>
      </c>
      <c r="AF214" s="6">
        <f ca="1">$M$214*$Z$214</f>
        <v>3388.8625796049009</v>
      </c>
      <c r="AG214" s="6">
        <f>$O$214*$AA$214</f>
        <v>4609.3052575246047</v>
      </c>
    </row>
    <row r="215" spans="1:33" ht="11.25" customHeight="1" x14ac:dyDescent="0.25">
      <c r="A215" s="4" t="s">
        <v>21</v>
      </c>
      <c r="B215" s="4" t="s">
        <v>35</v>
      </c>
      <c r="C215" s="4" t="s">
        <v>36</v>
      </c>
      <c r="D215" s="4" t="s">
        <v>46</v>
      </c>
      <c r="E215" s="4" t="s">
        <v>47</v>
      </c>
      <c r="F215" s="4" t="s">
        <v>25</v>
      </c>
      <c r="G215" s="4" t="s">
        <v>25</v>
      </c>
      <c r="H215" s="4" t="s">
        <v>38</v>
      </c>
      <c r="I215" s="5">
        <v>44682</v>
      </c>
      <c r="J215" s="6">
        <v>0</v>
      </c>
      <c r="K215" s="61">
        <v>0</v>
      </c>
      <c r="L215" s="6">
        <v>6.7729999999999997</v>
      </c>
      <c r="M215" s="61">
        <v>6.7729999999999997</v>
      </c>
      <c r="N215" s="6">
        <v>6.7729999999999997</v>
      </c>
      <c r="O215" s="61">
        <v>6.7729999999999997</v>
      </c>
      <c r="P215" s="6">
        <v>0</v>
      </c>
      <c r="Q215" s="4" t="s">
        <v>26</v>
      </c>
      <c r="R215" s="4">
        <v>0</v>
      </c>
      <c r="S215" s="6">
        <v>0</v>
      </c>
      <c r="T215" s="6">
        <v>23</v>
      </c>
      <c r="U215" s="6">
        <v>51</v>
      </c>
      <c r="V215" s="61">
        <f>IF(ISERROR(VLOOKUP($S$215,'TAR FIN'!$A$1:$O$85,15,0)),0,VLOOKUP($S$215,'TAR FIN'!$A$1:$O$85,15,0))</f>
        <v>0</v>
      </c>
      <c r="W215" s="61">
        <f>IF(ISERROR(VLOOKUP($T$215,'TAR FIN'!$A$1:$O$85,15,0)),0,VLOOKUP($T$215,'TAR FIN'!$A$1:$O$85,15,0))*(1-0.06)</f>
        <v>62.246799999999993</v>
      </c>
      <c r="X215" s="61">
        <f>IF(ISERROR(VLOOKUP($U$215,'TAR FIN'!$A$1:$O$85,15,0)),0,VLOOKUP($U$215,'TAR FIN'!$A$1:$O$85,15,0))*(1-0.06)</f>
        <v>132.84079999999997</v>
      </c>
      <c r="Y215" s="61"/>
      <c r="Z215" s="61">
        <f ca="1">('TUSD BE'!$AM$12+'TUSD BF'!$AM$12+'TUSD CVA'!$AM$12)*1*(1-0.03)</f>
        <v>96.85231722220351</v>
      </c>
      <c r="AA215" s="61">
        <f>('TE BE'!$AB$6+'TE BF'!$AB$6+'TE CVA'!$AB$6)*1*(1-0.03)</f>
        <v>131.73207366460716</v>
      </c>
      <c r="AB215" s="6">
        <f>$K$215*$V$215</f>
        <v>0</v>
      </c>
      <c r="AC215" s="6">
        <f>$M$215*$W$215</f>
        <v>421.59757639999992</v>
      </c>
      <c r="AD215" s="6">
        <f>$O$215*$X$215</f>
        <v>899.73073839999972</v>
      </c>
      <c r="AE215" s="6">
        <f>$K$215*$Y$215</f>
        <v>0</v>
      </c>
      <c r="AF215" s="6">
        <f ca="1">$M$215*$Z$215</f>
        <v>655.98074454598429</v>
      </c>
      <c r="AG215" s="6">
        <f>$O$215*$AA$215</f>
        <v>892.22133493038427</v>
      </c>
    </row>
    <row r="216" spans="1:33" ht="11.25" customHeight="1" x14ac:dyDescent="0.25">
      <c r="A216" s="4" t="s">
        <v>21</v>
      </c>
      <c r="B216" s="4" t="s">
        <v>35</v>
      </c>
      <c r="C216" s="4" t="s">
        <v>36</v>
      </c>
      <c r="D216" s="4" t="s">
        <v>46</v>
      </c>
      <c r="E216" s="4" t="s">
        <v>47</v>
      </c>
      <c r="F216" s="4" t="s">
        <v>25</v>
      </c>
      <c r="G216" s="4" t="s">
        <v>25</v>
      </c>
      <c r="H216" s="4" t="s">
        <v>38</v>
      </c>
      <c r="I216" s="5">
        <v>44743</v>
      </c>
      <c r="J216" s="6">
        <v>0</v>
      </c>
      <c r="K216" s="61">
        <v>0</v>
      </c>
      <c r="L216" s="6">
        <v>7.66</v>
      </c>
      <c r="M216" s="61">
        <v>7.66</v>
      </c>
      <c r="N216" s="6">
        <v>7.66</v>
      </c>
      <c r="O216" s="61">
        <v>7.66</v>
      </c>
      <c r="P216" s="6">
        <v>0</v>
      </c>
      <c r="Q216" s="4" t="s">
        <v>26</v>
      </c>
      <c r="R216" s="4">
        <v>0</v>
      </c>
      <c r="S216" s="6">
        <v>0</v>
      </c>
      <c r="T216" s="6">
        <v>23</v>
      </c>
      <c r="U216" s="6">
        <v>51</v>
      </c>
      <c r="V216" s="61">
        <f>IF(ISERROR(VLOOKUP($S$216,'TAR FIN'!$A$1:$O$85,15,0)),0,VLOOKUP($S$216,'TAR FIN'!$A$1:$O$85,15,0))</f>
        <v>0</v>
      </c>
      <c r="W216" s="61">
        <f>IF(ISERROR(VLOOKUP($T$216,'TAR FIN'!$A$1:$O$85,15,0)),0,VLOOKUP($T$216,'TAR FIN'!$A$1:$O$85,15,0))*(1-0.06)</f>
        <v>62.246799999999993</v>
      </c>
      <c r="X216" s="61">
        <f>IF(ISERROR(VLOOKUP($U$216,'TAR FIN'!$A$1:$O$85,15,0)),0,VLOOKUP($U$216,'TAR FIN'!$A$1:$O$85,15,0))*(1-0.06)</f>
        <v>132.84079999999997</v>
      </c>
      <c r="Y216" s="61"/>
      <c r="Z216" s="61">
        <f ca="1">('TUSD BE'!$AM$12+'TUSD BF'!$AM$12+'TUSD CVA'!$AM$12)*1*(1-0.03)</f>
        <v>96.85231722220351</v>
      </c>
      <c r="AA216" s="61">
        <f>('TE BE'!$AB$6+'TE BF'!$AB$6+'TE CVA'!$AB$6)*1*(1-0.03)</f>
        <v>131.73207366460716</v>
      </c>
      <c r="AB216" s="6">
        <f>$K$216*$V$216</f>
        <v>0</v>
      </c>
      <c r="AC216" s="6">
        <f>$M$216*$W$216</f>
        <v>476.81048799999996</v>
      </c>
      <c r="AD216" s="6">
        <f>$O$216*$X$216</f>
        <v>1017.5605279999999</v>
      </c>
      <c r="AE216" s="6">
        <f>$K$216*$Y$216</f>
        <v>0</v>
      </c>
      <c r="AF216" s="6">
        <f ca="1">$M$216*$Z$216</f>
        <v>741.88874992207889</v>
      </c>
      <c r="AG216" s="6">
        <f>$O$216*$AA$216</f>
        <v>1009.0676842708908</v>
      </c>
    </row>
    <row r="217" spans="1:33" ht="11.25" customHeight="1" x14ac:dyDescent="0.25">
      <c r="A217" s="4" t="s">
        <v>21</v>
      </c>
      <c r="B217" s="4" t="s">
        <v>35</v>
      </c>
      <c r="C217" s="4" t="s">
        <v>36</v>
      </c>
      <c r="D217" s="4" t="s">
        <v>46</v>
      </c>
      <c r="E217" s="4" t="s">
        <v>47</v>
      </c>
      <c r="F217" s="4" t="s">
        <v>25</v>
      </c>
      <c r="G217" s="4" t="s">
        <v>25</v>
      </c>
      <c r="H217" s="4" t="s">
        <v>38</v>
      </c>
      <c r="I217" s="5">
        <v>44774</v>
      </c>
      <c r="J217" s="6">
        <v>0</v>
      </c>
      <c r="K217" s="61">
        <v>0</v>
      </c>
      <c r="L217" s="6">
        <v>26.152999999999999</v>
      </c>
      <c r="M217" s="61">
        <v>26.152999999999999</v>
      </c>
      <c r="N217" s="6">
        <v>26.152999999999999</v>
      </c>
      <c r="O217" s="61">
        <v>26.152999999999999</v>
      </c>
      <c r="P217" s="6">
        <v>0</v>
      </c>
      <c r="Q217" s="4" t="s">
        <v>26</v>
      </c>
      <c r="R217" s="4">
        <v>0</v>
      </c>
      <c r="S217" s="6">
        <v>0</v>
      </c>
      <c r="T217" s="6">
        <v>23</v>
      </c>
      <c r="U217" s="6">
        <v>51</v>
      </c>
      <c r="V217" s="61">
        <f>IF(ISERROR(VLOOKUP($S$217,'TAR FIN'!$A$1:$O$85,15,0)),0,VLOOKUP($S$217,'TAR FIN'!$A$1:$O$85,15,0))</f>
        <v>0</v>
      </c>
      <c r="W217" s="61">
        <f>IF(ISERROR(VLOOKUP($T$217,'TAR FIN'!$A$1:$O$85,15,0)),0,VLOOKUP($T$217,'TAR FIN'!$A$1:$O$85,15,0))*(1-0.06)</f>
        <v>62.246799999999993</v>
      </c>
      <c r="X217" s="61">
        <f>IF(ISERROR(VLOOKUP($U$217,'TAR FIN'!$A$1:$O$85,15,0)),0,VLOOKUP($U$217,'TAR FIN'!$A$1:$O$85,15,0))*(1-0.06)</f>
        <v>132.84079999999997</v>
      </c>
      <c r="Y217" s="61"/>
      <c r="Z217" s="61">
        <f ca="1">('TUSD BE'!$AM$12+'TUSD BF'!$AM$12+'TUSD CVA'!$AM$12)*1*(1-0.03)</f>
        <v>96.85231722220351</v>
      </c>
      <c r="AA217" s="61">
        <f>('TE BE'!$AB$6+'TE BF'!$AB$6+'TE CVA'!$AB$6)*1*(1-0.03)</f>
        <v>131.73207366460716</v>
      </c>
      <c r="AB217" s="6">
        <f>$K$217*$V$217</f>
        <v>0</v>
      </c>
      <c r="AC217" s="6">
        <f>$M$217*$W$217</f>
        <v>1627.9405603999996</v>
      </c>
      <c r="AD217" s="6">
        <f>$O$217*$X$217</f>
        <v>3474.1854423999989</v>
      </c>
      <c r="AE217" s="6">
        <f>$K$217*$Y$217</f>
        <v>0</v>
      </c>
      <c r="AF217" s="6">
        <f ca="1">$M$217*$Z$217</f>
        <v>2532.9786523122884</v>
      </c>
      <c r="AG217" s="6">
        <f>$O$217*$AA$217</f>
        <v>3445.1889225504706</v>
      </c>
    </row>
    <row r="218" spans="1:33" ht="11.25" customHeight="1" x14ac:dyDescent="0.25">
      <c r="A218" s="4" t="s">
        <v>21</v>
      </c>
      <c r="B218" s="4" t="s">
        <v>35</v>
      </c>
      <c r="C218" s="4" t="s">
        <v>36</v>
      </c>
      <c r="D218" s="4" t="s">
        <v>46</v>
      </c>
      <c r="E218" s="4" t="s">
        <v>47</v>
      </c>
      <c r="F218" s="4" t="s">
        <v>25</v>
      </c>
      <c r="G218" s="4" t="s">
        <v>25</v>
      </c>
      <c r="H218" s="4" t="s">
        <v>25</v>
      </c>
      <c r="I218" s="5">
        <v>44440</v>
      </c>
      <c r="J218" s="6">
        <v>80</v>
      </c>
      <c r="K218" s="62">
        <v>80</v>
      </c>
      <c r="L218" s="6">
        <v>0</v>
      </c>
      <c r="M218" s="61">
        <v>0</v>
      </c>
      <c r="N218" s="6">
        <v>0</v>
      </c>
      <c r="O218" s="61">
        <v>0</v>
      </c>
      <c r="P218" s="6">
        <v>1</v>
      </c>
      <c r="Q218" s="4" t="s">
        <v>26</v>
      </c>
      <c r="R218" s="4">
        <v>0</v>
      </c>
      <c r="S218" s="6">
        <v>16</v>
      </c>
      <c r="T218" s="6">
        <v>0</v>
      </c>
      <c r="U218" s="6">
        <v>0</v>
      </c>
      <c r="V218" s="61">
        <f>IF(ISERROR(VLOOKUP($S$218,'TAR FIN'!$A$1:$O$85,15,0)),0,VLOOKUP($S$218,'TAR FIN'!$A$1:$O$85,15,0))*(1-0.06)</f>
        <v>24.1204</v>
      </c>
      <c r="W218" s="61">
        <f>IF(ISERROR(VLOOKUP($T$218,'TAR FIN'!$A$1:$O$85,15,0)),0,VLOOKUP($T$218,'TAR FIN'!$A$1:$O$85,15,0))</f>
        <v>0</v>
      </c>
      <c r="X218" s="61">
        <f>IF(ISERROR(VLOOKUP($U$218,'TAR FIN'!$A$1:$O$85,15,0)),0,VLOOKUP($U$218,'TAR FIN'!$A$1:$O$85,15,0))</f>
        <v>0</v>
      </c>
      <c r="Y218" s="61">
        <f ca="1">('TUSD BE'!$AM$10+'TUSD BF'!$AM$10+'TUSD CVA'!$AM$10)*1*(1-0.03)</f>
        <v>24.433920211791385</v>
      </c>
      <c r="Z218" s="61"/>
      <c r="AA218" s="61"/>
      <c r="AB218" s="6">
        <f>$K$218*$V$218</f>
        <v>1929.6320000000001</v>
      </c>
      <c r="AC218" s="6">
        <f>$M$218*$W$218</f>
        <v>0</v>
      </c>
      <c r="AD218" s="6">
        <f>$O$218*$X$218</f>
        <v>0</v>
      </c>
      <c r="AE218" s="6">
        <f ca="1">$K$218*$Y$218</f>
        <v>1954.7136169433109</v>
      </c>
      <c r="AF218" s="6">
        <f>$M$218*$Z$218</f>
        <v>0</v>
      </c>
      <c r="AG218" s="6">
        <f>$O$218*$AA$218</f>
        <v>0</v>
      </c>
    </row>
    <row r="219" spans="1:33" ht="11.25" customHeight="1" x14ac:dyDescent="0.25">
      <c r="A219" s="4" t="s">
        <v>21</v>
      </c>
      <c r="B219" s="4" t="s">
        <v>35</v>
      </c>
      <c r="C219" s="4" t="s">
        <v>36</v>
      </c>
      <c r="D219" s="4" t="s">
        <v>46</v>
      </c>
      <c r="E219" s="4" t="s">
        <v>47</v>
      </c>
      <c r="F219" s="4" t="s">
        <v>25</v>
      </c>
      <c r="G219" s="4" t="s">
        <v>25</v>
      </c>
      <c r="H219" s="4" t="s">
        <v>25</v>
      </c>
      <c r="I219" s="5">
        <v>44470</v>
      </c>
      <c r="J219" s="6">
        <v>87</v>
      </c>
      <c r="K219" s="62">
        <v>87</v>
      </c>
      <c r="L219" s="6">
        <v>0</v>
      </c>
      <c r="M219" s="61">
        <v>0</v>
      </c>
      <c r="N219" s="6">
        <v>0</v>
      </c>
      <c r="O219" s="61">
        <v>0</v>
      </c>
      <c r="P219" s="6">
        <v>1</v>
      </c>
      <c r="Q219" s="4" t="s">
        <v>26</v>
      </c>
      <c r="R219" s="4">
        <v>0</v>
      </c>
      <c r="S219" s="6">
        <v>16</v>
      </c>
      <c r="T219" s="6">
        <v>0</v>
      </c>
      <c r="U219" s="6">
        <v>0</v>
      </c>
      <c r="V219" s="61">
        <f>IF(ISERROR(VLOOKUP($S$219,'TAR FIN'!$A$1:$O$85,15,0)),0,VLOOKUP($S$219,'TAR FIN'!$A$1:$O$85,15,0))*(1-0.06)</f>
        <v>24.1204</v>
      </c>
      <c r="W219" s="61">
        <f>IF(ISERROR(VLOOKUP($T$219,'TAR FIN'!$A$1:$O$85,15,0)),0,VLOOKUP($T$219,'TAR FIN'!$A$1:$O$85,15,0))</f>
        <v>0</v>
      </c>
      <c r="X219" s="61">
        <f>IF(ISERROR(VLOOKUP($U$219,'TAR FIN'!$A$1:$O$85,15,0)),0,VLOOKUP($U$219,'TAR FIN'!$A$1:$O$85,15,0))</f>
        <v>0</v>
      </c>
      <c r="Y219" s="61">
        <f ca="1">('TUSD BE'!$AM$10+'TUSD BF'!$AM$10+'TUSD CVA'!$AM$10)*1*(1-0.03)</f>
        <v>24.433920211791385</v>
      </c>
      <c r="Z219" s="61"/>
      <c r="AA219" s="61"/>
      <c r="AB219" s="6">
        <f>$K$219*$V$219</f>
        <v>2098.4748</v>
      </c>
      <c r="AC219" s="6">
        <f>$M$219*$W$219</f>
        <v>0</v>
      </c>
      <c r="AD219" s="6">
        <f>$O$219*$X$219</f>
        <v>0</v>
      </c>
      <c r="AE219" s="6">
        <f ca="1">$K$219*$Y$219</f>
        <v>2125.7510584258507</v>
      </c>
      <c r="AF219" s="6">
        <f>$M$219*$Z$219</f>
        <v>0</v>
      </c>
      <c r="AG219" s="6">
        <f>$O$219*$AA$219</f>
        <v>0</v>
      </c>
    </row>
    <row r="220" spans="1:33" ht="11.25" customHeight="1" x14ac:dyDescent="0.25">
      <c r="A220" s="4" t="s">
        <v>21</v>
      </c>
      <c r="B220" s="4" t="s">
        <v>35</v>
      </c>
      <c r="C220" s="4" t="s">
        <v>36</v>
      </c>
      <c r="D220" s="4" t="s">
        <v>46</v>
      </c>
      <c r="E220" s="4" t="s">
        <v>47</v>
      </c>
      <c r="F220" s="4" t="s">
        <v>25</v>
      </c>
      <c r="G220" s="4" t="s">
        <v>25</v>
      </c>
      <c r="H220" s="4" t="s">
        <v>25</v>
      </c>
      <c r="I220" s="5">
        <v>44501</v>
      </c>
      <c r="J220" s="6">
        <v>89</v>
      </c>
      <c r="K220" s="62">
        <v>89</v>
      </c>
      <c r="L220" s="6">
        <v>0</v>
      </c>
      <c r="M220" s="61">
        <v>0</v>
      </c>
      <c r="N220" s="6">
        <v>0</v>
      </c>
      <c r="O220" s="61">
        <v>0</v>
      </c>
      <c r="P220" s="6">
        <v>1</v>
      </c>
      <c r="Q220" s="4" t="s">
        <v>26</v>
      </c>
      <c r="R220" s="4">
        <v>0</v>
      </c>
      <c r="S220" s="6">
        <v>16</v>
      </c>
      <c r="T220" s="6">
        <v>0</v>
      </c>
      <c r="U220" s="6">
        <v>0</v>
      </c>
      <c r="V220" s="61">
        <f>IF(ISERROR(VLOOKUP($S$220,'TAR FIN'!$A$1:$O$85,15,0)),0,VLOOKUP($S$220,'TAR FIN'!$A$1:$O$85,15,0))*(1-0.06)</f>
        <v>24.1204</v>
      </c>
      <c r="W220" s="61">
        <f>IF(ISERROR(VLOOKUP($T$220,'TAR FIN'!$A$1:$O$85,15,0)),0,VLOOKUP($T$220,'TAR FIN'!$A$1:$O$85,15,0))</f>
        <v>0</v>
      </c>
      <c r="X220" s="61">
        <f>IF(ISERROR(VLOOKUP($U$220,'TAR FIN'!$A$1:$O$85,15,0)),0,VLOOKUP($U$220,'TAR FIN'!$A$1:$O$85,15,0))</f>
        <v>0</v>
      </c>
      <c r="Y220" s="61">
        <f ca="1">('TUSD BE'!$AM$10+'TUSD BF'!$AM$10+'TUSD CVA'!$AM$10)*1*(1-0.03)</f>
        <v>24.433920211791385</v>
      </c>
      <c r="Z220" s="61"/>
      <c r="AA220" s="61"/>
      <c r="AB220" s="6">
        <f>$K$220*$V$220</f>
        <v>2146.7156</v>
      </c>
      <c r="AC220" s="6">
        <f>$M$220*$W$220</f>
        <v>0</v>
      </c>
      <c r="AD220" s="6">
        <f>$O$220*$X$220</f>
        <v>0</v>
      </c>
      <c r="AE220" s="6">
        <f ca="1">$K$220*$Y$220</f>
        <v>2174.6188988494332</v>
      </c>
      <c r="AF220" s="6">
        <f>$M$220*$Z$220</f>
        <v>0</v>
      </c>
      <c r="AG220" s="6">
        <f>$O$220*$AA$220</f>
        <v>0</v>
      </c>
    </row>
    <row r="221" spans="1:33" ht="11.25" customHeight="1" x14ac:dyDescent="0.25">
      <c r="A221" s="4" t="s">
        <v>21</v>
      </c>
      <c r="B221" s="4" t="s">
        <v>35</v>
      </c>
      <c r="C221" s="4" t="s">
        <v>36</v>
      </c>
      <c r="D221" s="4" t="s">
        <v>46</v>
      </c>
      <c r="E221" s="4" t="s">
        <v>47</v>
      </c>
      <c r="F221" s="4" t="s">
        <v>25</v>
      </c>
      <c r="G221" s="4" t="s">
        <v>25</v>
      </c>
      <c r="H221" s="4" t="s">
        <v>25</v>
      </c>
      <c r="I221" s="5">
        <v>44531</v>
      </c>
      <c r="J221" s="6">
        <v>85</v>
      </c>
      <c r="K221" s="62">
        <v>85</v>
      </c>
      <c r="L221" s="6">
        <v>0</v>
      </c>
      <c r="M221" s="61">
        <v>0</v>
      </c>
      <c r="N221" s="6">
        <v>0</v>
      </c>
      <c r="O221" s="61">
        <v>0</v>
      </c>
      <c r="P221" s="6">
        <v>1</v>
      </c>
      <c r="Q221" s="4" t="s">
        <v>26</v>
      </c>
      <c r="R221" s="4">
        <v>0</v>
      </c>
      <c r="S221" s="6">
        <v>16</v>
      </c>
      <c r="T221" s="6">
        <v>0</v>
      </c>
      <c r="U221" s="6">
        <v>0</v>
      </c>
      <c r="V221" s="61">
        <f>IF(ISERROR(VLOOKUP($S$221,'TAR FIN'!$A$1:$O$85,15,0)),0,VLOOKUP($S$221,'TAR FIN'!$A$1:$O$85,15,0))*(1-0.06)</f>
        <v>24.1204</v>
      </c>
      <c r="W221" s="61">
        <f>IF(ISERROR(VLOOKUP($T$221,'TAR FIN'!$A$1:$O$85,15,0)),0,VLOOKUP($T$221,'TAR FIN'!$A$1:$O$85,15,0))</f>
        <v>0</v>
      </c>
      <c r="X221" s="61">
        <f>IF(ISERROR(VLOOKUP($U$221,'TAR FIN'!$A$1:$O$85,15,0)),0,VLOOKUP($U$221,'TAR FIN'!$A$1:$O$85,15,0))</f>
        <v>0</v>
      </c>
      <c r="Y221" s="61">
        <f ca="1">('TUSD BE'!$AM$10+'TUSD BF'!$AM$10+'TUSD CVA'!$AM$10)*1*(1-0.03)</f>
        <v>24.433920211791385</v>
      </c>
      <c r="Z221" s="61"/>
      <c r="AA221" s="61"/>
      <c r="AB221" s="6">
        <f>$K$221*$V$221</f>
        <v>2050.2339999999999</v>
      </c>
      <c r="AC221" s="6">
        <f>$M$221*$W$221</f>
        <v>0</v>
      </c>
      <c r="AD221" s="6">
        <f>$O$221*$X$221</f>
        <v>0</v>
      </c>
      <c r="AE221" s="6">
        <f ca="1">$K$221*$Y$221</f>
        <v>2076.8832180022678</v>
      </c>
      <c r="AF221" s="6">
        <f>$M$221*$Z$221</f>
        <v>0</v>
      </c>
      <c r="AG221" s="6">
        <f>$O$221*$AA$221</f>
        <v>0</v>
      </c>
    </row>
    <row r="222" spans="1:33" ht="11.25" customHeight="1" x14ac:dyDescent="0.25">
      <c r="A222" s="4" t="s">
        <v>21</v>
      </c>
      <c r="B222" s="4" t="s">
        <v>35</v>
      </c>
      <c r="C222" s="4" t="s">
        <v>36</v>
      </c>
      <c r="D222" s="4" t="s">
        <v>46</v>
      </c>
      <c r="E222" s="4" t="s">
        <v>47</v>
      </c>
      <c r="F222" s="4" t="s">
        <v>25</v>
      </c>
      <c r="G222" s="4" t="s">
        <v>25</v>
      </c>
      <c r="H222" s="4" t="s">
        <v>25</v>
      </c>
      <c r="I222" s="5">
        <v>44562</v>
      </c>
      <c r="J222" s="6">
        <v>84</v>
      </c>
      <c r="K222" s="62">
        <v>84</v>
      </c>
      <c r="L222" s="6">
        <v>0</v>
      </c>
      <c r="M222" s="61">
        <v>0</v>
      </c>
      <c r="N222" s="6">
        <v>0</v>
      </c>
      <c r="O222" s="61">
        <v>0</v>
      </c>
      <c r="P222" s="6">
        <v>1</v>
      </c>
      <c r="Q222" s="4" t="s">
        <v>26</v>
      </c>
      <c r="R222" s="4">
        <v>0</v>
      </c>
      <c r="S222" s="6">
        <v>16</v>
      </c>
      <c r="T222" s="6">
        <v>0</v>
      </c>
      <c r="U222" s="6">
        <v>0</v>
      </c>
      <c r="V222" s="61">
        <f>IF(ISERROR(VLOOKUP($S$222,'TAR FIN'!$A$1:$O$85,15,0)),0,VLOOKUP($S$222,'TAR FIN'!$A$1:$O$85,15,0))*(1-0.06)</f>
        <v>24.1204</v>
      </c>
      <c r="W222" s="61">
        <f>IF(ISERROR(VLOOKUP($T$222,'TAR FIN'!$A$1:$O$85,15,0)),0,VLOOKUP($T$222,'TAR FIN'!$A$1:$O$85,15,0))</f>
        <v>0</v>
      </c>
      <c r="X222" s="61">
        <f>IF(ISERROR(VLOOKUP($U$222,'TAR FIN'!$A$1:$O$85,15,0)),0,VLOOKUP($U$222,'TAR FIN'!$A$1:$O$85,15,0))</f>
        <v>0</v>
      </c>
      <c r="Y222" s="61">
        <f ca="1">('TUSD BE'!$AM$10+'TUSD BF'!$AM$10+'TUSD CVA'!$AM$10)*1*(1-0.03)</f>
        <v>24.433920211791385</v>
      </c>
      <c r="Z222" s="61"/>
      <c r="AA222" s="61"/>
      <c r="AB222" s="6">
        <f>$K$222*$V$222</f>
        <v>2026.1135999999999</v>
      </c>
      <c r="AC222" s="6">
        <f>$M$222*$W$222</f>
        <v>0</v>
      </c>
      <c r="AD222" s="6">
        <f>$O$222*$X$222</f>
        <v>0</v>
      </c>
      <c r="AE222" s="6">
        <f ca="1">$K$222*$Y$222</f>
        <v>2052.4492977904765</v>
      </c>
      <c r="AF222" s="6">
        <f>$M$222*$Z$222</f>
        <v>0</v>
      </c>
      <c r="AG222" s="6">
        <f>$O$222*$AA$222</f>
        <v>0</v>
      </c>
    </row>
    <row r="223" spans="1:33" ht="11.25" customHeight="1" x14ac:dyDescent="0.25">
      <c r="A223" s="4" t="s">
        <v>21</v>
      </c>
      <c r="B223" s="4" t="s">
        <v>35</v>
      </c>
      <c r="C223" s="4" t="s">
        <v>36</v>
      </c>
      <c r="D223" s="4" t="s">
        <v>46</v>
      </c>
      <c r="E223" s="4" t="s">
        <v>47</v>
      </c>
      <c r="F223" s="4" t="s">
        <v>25</v>
      </c>
      <c r="G223" s="4" t="s">
        <v>25</v>
      </c>
      <c r="H223" s="4" t="s">
        <v>25</v>
      </c>
      <c r="I223" s="5">
        <v>44593</v>
      </c>
      <c r="J223" s="6">
        <v>84</v>
      </c>
      <c r="K223" s="62">
        <v>84</v>
      </c>
      <c r="L223" s="6">
        <v>0</v>
      </c>
      <c r="M223" s="61">
        <v>0</v>
      </c>
      <c r="N223" s="6">
        <v>0</v>
      </c>
      <c r="O223" s="61">
        <v>0</v>
      </c>
      <c r="P223" s="6">
        <v>1</v>
      </c>
      <c r="Q223" s="4" t="s">
        <v>26</v>
      </c>
      <c r="R223" s="4">
        <v>0</v>
      </c>
      <c r="S223" s="6">
        <v>16</v>
      </c>
      <c r="T223" s="6">
        <v>0</v>
      </c>
      <c r="U223" s="6">
        <v>0</v>
      </c>
      <c r="V223" s="61">
        <f>IF(ISERROR(VLOOKUP($S$223,'TAR FIN'!$A$1:$O$85,15,0)),0,VLOOKUP($S$223,'TAR FIN'!$A$1:$O$85,15,0))*(1-0.06)</f>
        <v>24.1204</v>
      </c>
      <c r="W223" s="61">
        <f>IF(ISERROR(VLOOKUP($T$223,'TAR FIN'!$A$1:$O$85,15,0)),0,VLOOKUP($T$223,'TAR FIN'!$A$1:$O$85,15,0))</f>
        <v>0</v>
      </c>
      <c r="X223" s="61">
        <f>IF(ISERROR(VLOOKUP($U$223,'TAR FIN'!$A$1:$O$85,15,0)),0,VLOOKUP($U$223,'TAR FIN'!$A$1:$O$85,15,0))</f>
        <v>0</v>
      </c>
      <c r="Y223" s="61">
        <f ca="1">('TUSD BE'!$AM$10+'TUSD BF'!$AM$10+'TUSD CVA'!$AM$10)*1*(1-0.03)</f>
        <v>24.433920211791385</v>
      </c>
      <c r="Z223" s="61"/>
      <c r="AA223" s="61"/>
      <c r="AB223" s="6">
        <f>$K$223*$V$223</f>
        <v>2026.1135999999999</v>
      </c>
      <c r="AC223" s="6">
        <f>$M$223*$W$223</f>
        <v>0</v>
      </c>
      <c r="AD223" s="6">
        <f>$O$223*$X$223</f>
        <v>0</v>
      </c>
      <c r="AE223" s="6">
        <f ca="1">$K$223*$Y$223</f>
        <v>2052.4492977904765</v>
      </c>
      <c r="AF223" s="6">
        <f>$M$223*$Z$223</f>
        <v>0</v>
      </c>
      <c r="AG223" s="6">
        <f>$O$223*$AA$223</f>
        <v>0</v>
      </c>
    </row>
    <row r="224" spans="1:33" ht="11.25" customHeight="1" x14ac:dyDescent="0.25">
      <c r="A224" s="4" t="s">
        <v>21</v>
      </c>
      <c r="B224" s="4" t="s">
        <v>35</v>
      </c>
      <c r="C224" s="4" t="s">
        <v>36</v>
      </c>
      <c r="D224" s="4" t="s">
        <v>46</v>
      </c>
      <c r="E224" s="4" t="s">
        <v>47</v>
      </c>
      <c r="F224" s="4" t="s">
        <v>25</v>
      </c>
      <c r="G224" s="4" t="s">
        <v>25</v>
      </c>
      <c r="H224" s="4" t="s">
        <v>25</v>
      </c>
      <c r="I224" s="5">
        <v>44621</v>
      </c>
      <c r="J224" s="6">
        <v>85</v>
      </c>
      <c r="K224" s="62">
        <v>85</v>
      </c>
      <c r="L224" s="6">
        <v>0</v>
      </c>
      <c r="M224" s="61">
        <v>0</v>
      </c>
      <c r="N224" s="6">
        <v>0</v>
      </c>
      <c r="O224" s="61">
        <v>0</v>
      </c>
      <c r="P224" s="6">
        <v>1</v>
      </c>
      <c r="Q224" s="4" t="s">
        <v>26</v>
      </c>
      <c r="R224" s="4">
        <v>0</v>
      </c>
      <c r="S224" s="6">
        <v>16</v>
      </c>
      <c r="T224" s="6">
        <v>0</v>
      </c>
      <c r="U224" s="6">
        <v>0</v>
      </c>
      <c r="V224" s="61">
        <f>IF(ISERROR(VLOOKUP($S$224,'TAR FIN'!$A$1:$O$85,15,0)),0,VLOOKUP($S$224,'TAR FIN'!$A$1:$O$85,15,0))*(1-0.06)</f>
        <v>24.1204</v>
      </c>
      <c r="W224" s="61">
        <f>IF(ISERROR(VLOOKUP($T$224,'TAR FIN'!$A$1:$O$85,15,0)),0,VLOOKUP($T$224,'TAR FIN'!$A$1:$O$85,15,0))</f>
        <v>0</v>
      </c>
      <c r="X224" s="61">
        <f>IF(ISERROR(VLOOKUP($U$224,'TAR FIN'!$A$1:$O$85,15,0)),0,VLOOKUP($U$224,'TAR FIN'!$A$1:$O$85,15,0))</f>
        <v>0</v>
      </c>
      <c r="Y224" s="61">
        <f ca="1">('TUSD BE'!$AM$10+'TUSD BF'!$AM$10+'TUSD CVA'!$AM$10)*1*(1-0.03)</f>
        <v>24.433920211791385</v>
      </c>
      <c r="Z224" s="61"/>
      <c r="AA224" s="61"/>
      <c r="AB224" s="6">
        <f>$K$224*$V$224</f>
        <v>2050.2339999999999</v>
      </c>
      <c r="AC224" s="6">
        <f>$M$224*$W$224</f>
        <v>0</v>
      </c>
      <c r="AD224" s="6">
        <f>$O$224*$X$224</f>
        <v>0</v>
      </c>
      <c r="AE224" s="6">
        <f ca="1">$K$224*$Y$224</f>
        <v>2076.8832180022678</v>
      </c>
      <c r="AF224" s="6">
        <f>$M$224*$Z$224</f>
        <v>0</v>
      </c>
      <c r="AG224" s="6">
        <f>$O$224*$AA$224</f>
        <v>0</v>
      </c>
    </row>
    <row r="225" spans="1:33" ht="11.25" customHeight="1" x14ac:dyDescent="0.25">
      <c r="A225" s="4" t="s">
        <v>21</v>
      </c>
      <c r="B225" s="4" t="s">
        <v>35</v>
      </c>
      <c r="C225" s="4" t="s">
        <v>36</v>
      </c>
      <c r="D225" s="4" t="s">
        <v>46</v>
      </c>
      <c r="E225" s="4" t="s">
        <v>47</v>
      </c>
      <c r="F225" s="4" t="s">
        <v>25</v>
      </c>
      <c r="G225" s="4" t="s">
        <v>25</v>
      </c>
      <c r="H225" s="4" t="s">
        <v>25</v>
      </c>
      <c r="I225" s="5">
        <v>44652</v>
      </c>
      <c r="J225" s="6">
        <v>87</v>
      </c>
      <c r="K225" s="62">
        <v>87</v>
      </c>
      <c r="L225" s="6">
        <v>0</v>
      </c>
      <c r="M225" s="61">
        <v>0</v>
      </c>
      <c r="N225" s="6">
        <v>0</v>
      </c>
      <c r="O225" s="61">
        <v>0</v>
      </c>
      <c r="P225" s="6">
        <v>1</v>
      </c>
      <c r="Q225" s="4" t="s">
        <v>26</v>
      </c>
      <c r="R225" s="4">
        <v>0</v>
      </c>
      <c r="S225" s="6">
        <v>16</v>
      </c>
      <c r="T225" s="6">
        <v>0</v>
      </c>
      <c r="U225" s="6">
        <v>0</v>
      </c>
      <c r="V225" s="61">
        <f>IF(ISERROR(VLOOKUP($S$225,'TAR FIN'!$A$1:$O$85,15,0)),0,VLOOKUP($S$225,'TAR FIN'!$A$1:$O$85,15,0))*(1-0.06)</f>
        <v>24.1204</v>
      </c>
      <c r="W225" s="61">
        <f>IF(ISERROR(VLOOKUP($T$225,'TAR FIN'!$A$1:$O$85,15,0)),0,VLOOKUP($T$225,'TAR FIN'!$A$1:$O$85,15,0))</f>
        <v>0</v>
      </c>
      <c r="X225" s="61">
        <f>IF(ISERROR(VLOOKUP($U$225,'TAR FIN'!$A$1:$O$85,15,0)),0,VLOOKUP($U$225,'TAR FIN'!$A$1:$O$85,15,0))</f>
        <v>0</v>
      </c>
      <c r="Y225" s="61">
        <f ca="1">('TUSD BE'!$AM$10+'TUSD BF'!$AM$10+'TUSD CVA'!$AM$10)*1*(1-0.03)</f>
        <v>24.433920211791385</v>
      </c>
      <c r="Z225" s="61"/>
      <c r="AA225" s="61"/>
      <c r="AB225" s="6">
        <f>$K$225*$V$225</f>
        <v>2098.4748</v>
      </c>
      <c r="AC225" s="6">
        <f>$M$225*$W$225</f>
        <v>0</v>
      </c>
      <c r="AD225" s="6">
        <f>$O$225*$X$225</f>
        <v>0</v>
      </c>
      <c r="AE225" s="6">
        <f ca="1">$K$225*$Y$225</f>
        <v>2125.7510584258507</v>
      </c>
      <c r="AF225" s="6">
        <f>$M$225*$Z$225</f>
        <v>0</v>
      </c>
      <c r="AG225" s="6">
        <f>$O$225*$AA$225</f>
        <v>0</v>
      </c>
    </row>
    <row r="226" spans="1:33" ht="11.25" customHeight="1" x14ac:dyDescent="0.25">
      <c r="A226" s="4" t="s">
        <v>21</v>
      </c>
      <c r="B226" s="4" t="s">
        <v>35</v>
      </c>
      <c r="C226" s="4" t="s">
        <v>36</v>
      </c>
      <c r="D226" s="4" t="s">
        <v>46</v>
      </c>
      <c r="E226" s="4" t="s">
        <v>47</v>
      </c>
      <c r="F226" s="4" t="s">
        <v>25</v>
      </c>
      <c r="G226" s="4" t="s">
        <v>25</v>
      </c>
      <c r="H226" s="4" t="s">
        <v>25</v>
      </c>
      <c r="I226" s="5">
        <v>44682</v>
      </c>
      <c r="J226" s="6">
        <v>88</v>
      </c>
      <c r="K226" s="62">
        <v>88</v>
      </c>
      <c r="L226" s="6">
        <v>0</v>
      </c>
      <c r="M226" s="61">
        <v>0</v>
      </c>
      <c r="N226" s="6">
        <v>0</v>
      </c>
      <c r="O226" s="61">
        <v>0</v>
      </c>
      <c r="P226" s="6">
        <v>1</v>
      </c>
      <c r="Q226" s="4" t="s">
        <v>26</v>
      </c>
      <c r="R226" s="4">
        <v>0</v>
      </c>
      <c r="S226" s="6">
        <v>16</v>
      </c>
      <c r="T226" s="6">
        <v>0</v>
      </c>
      <c r="U226" s="6">
        <v>0</v>
      </c>
      <c r="V226" s="61">
        <f>IF(ISERROR(VLOOKUP($S$226,'TAR FIN'!$A$1:$O$85,15,0)),0,VLOOKUP($S$226,'TAR FIN'!$A$1:$O$85,15,0))*(1-0.06)</f>
        <v>24.1204</v>
      </c>
      <c r="W226" s="61">
        <f>IF(ISERROR(VLOOKUP($T$226,'TAR FIN'!$A$1:$O$85,15,0)),0,VLOOKUP($T$226,'TAR FIN'!$A$1:$O$85,15,0))</f>
        <v>0</v>
      </c>
      <c r="X226" s="61">
        <f>IF(ISERROR(VLOOKUP($U$226,'TAR FIN'!$A$1:$O$85,15,0)),0,VLOOKUP($U$226,'TAR FIN'!$A$1:$O$85,15,0))</f>
        <v>0</v>
      </c>
      <c r="Y226" s="61">
        <f ca="1">('TUSD BE'!$AM$10+'TUSD BF'!$AM$10+'TUSD CVA'!$AM$10)*1*(1-0.03)</f>
        <v>24.433920211791385</v>
      </c>
      <c r="Z226" s="61"/>
      <c r="AA226" s="61"/>
      <c r="AB226" s="6">
        <f>$K$226*$V$226</f>
        <v>2122.5952000000002</v>
      </c>
      <c r="AC226" s="6">
        <f>$M$226*$W$226</f>
        <v>0</v>
      </c>
      <c r="AD226" s="6">
        <f>$O$226*$X$226</f>
        <v>0</v>
      </c>
      <c r="AE226" s="6">
        <f ca="1">$K$226*$Y$226</f>
        <v>2150.184978637642</v>
      </c>
      <c r="AF226" s="6">
        <f>$M$226*$Z$226</f>
        <v>0</v>
      </c>
      <c r="AG226" s="6">
        <f>$O$226*$AA$226</f>
        <v>0</v>
      </c>
    </row>
    <row r="227" spans="1:33" ht="11.25" customHeight="1" x14ac:dyDescent="0.25">
      <c r="A227" s="4" t="s">
        <v>21</v>
      </c>
      <c r="B227" s="4" t="s">
        <v>35</v>
      </c>
      <c r="C227" s="4" t="s">
        <v>36</v>
      </c>
      <c r="D227" s="4" t="s">
        <v>46</v>
      </c>
      <c r="E227" s="4" t="s">
        <v>47</v>
      </c>
      <c r="F227" s="4" t="s">
        <v>25</v>
      </c>
      <c r="G227" s="4" t="s">
        <v>25</v>
      </c>
      <c r="H227" s="4" t="s">
        <v>25</v>
      </c>
      <c r="I227" s="5">
        <v>44713</v>
      </c>
      <c r="J227" s="6">
        <v>88</v>
      </c>
      <c r="K227" s="62">
        <v>88</v>
      </c>
      <c r="L227" s="6">
        <v>0</v>
      </c>
      <c r="M227" s="61">
        <v>0</v>
      </c>
      <c r="N227" s="6">
        <v>0</v>
      </c>
      <c r="O227" s="61">
        <v>0</v>
      </c>
      <c r="P227" s="6">
        <v>1</v>
      </c>
      <c r="Q227" s="4" t="s">
        <v>26</v>
      </c>
      <c r="R227" s="4">
        <v>0</v>
      </c>
      <c r="S227" s="6">
        <v>16</v>
      </c>
      <c r="T227" s="6">
        <v>0</v>
      </c>
      <c r="U227" s="6">
        <v>0</v>
      </c>
      <c r="V227" s="61">
        <f>IF(ISERROR(VLOOKUP($S$227,'TAR FIN'!$A$1:$O$85,15,0)),0,VLOOKUP($S$227,'TAR FIN'!$A$1:$O$85,15,0))*(1-0.06)</f>
        <v>24.1204</v>
      </c>
      <c r="W227" s="61">
        <f>IF(ISERROR(VLOOKUP($T$227,'TAR FIN'!$A$1:$O$85,15,0)),0,VLOOKUP($T$227,'TAR FIN'!$A$1:$O$85,15,0))</f>
        <v>0</v>
      </c>
      <c r="X227" s="61">
        <f>IF(ISERROR(VLOOKUP($U$227,'TAR FIN'!$A$1:$O$85,15,0)),0,VLOOKUP($U$227,'TAR FIN'!$A$1:$O$85,15,0))</f>
        <v>0</v>
      </c>
      <c r="Y227" s="61">
        <f ca="1">('TUSD BE'!$AM$10+'TUSD BF'!$AM$10+'TUSD CVA'!$AM$10)*1*(1-0.03)</f>
        <v>24.433920211791385</v>
      </c>
      <c r="Z227" s="61"/>
      <c r="AA227" s="61"/>
      <c r="AB227" s="6">
        <f>$K$227*$V$227</f>
        <v>2122.5952000000002</v>
      </c>
      <c r="AC227" s="6">
        <f>$M$227*$W$227</f>
        <v>0</v>
      </c>
      <c r="AD227" s="6">
        <f>$O$227*$X$227</f>
        <v>0</v>
      </c>
      <c r="AE227" s="6">
        <f ca="1">$K$227*$Y$227</f>
        <v>2150.184978637642</v>
      </c>
      <c r="AF227" s="6">
        <f>$M$227*$Z$227</f>
        <v>0</v>
      </c>
      <c r="AG227" s="6">
        <f>$O$227*$AA$227</f>
        <v>0</v>
      </c>
    </row>
    <row r="228" spans="1:33" ht="11.25" customHeight="1" x14ac:dyDescent="0.25">
      <c r="A228" s="4" t="s">
        <v>21</v>
      </c>
      <c r="B228" s="4" t="s">
        <v>35</v>
      </c>
      <c r="C228" s="4" t="s">
        <v>36</v>
      </c>
      <c r="D228" s="4" t="s">
        <v>46</v>
      </c>
      <c r="E228" s="4" t="s">
        <v>47</v>
      </c>
      <c r="F228" s="4" t="s">
        <v>25</v>
      </c>
      <c r="G228" s="4" t="s">
        <v>25</v>
      </c>
      <c r="H228" s="4" t="s">
        <v>25</v>
      </c>
      <c r="I228" s="5">
        <v>44743</v>
      </c>
      <c r="J228" s="6">
        <v>88</v>
      </c>
      <c r="K228" s="62">
        <v>88</v>
      </c>
      <c r="L228" s="6">
        <v>0</v>
      </c>
      <c r="M228" s="61">
        <v>0</v>
      </c>
      <c r="N228" s="6">
        <v>0</v>
      </c>
      <c r="O228" s="61">
        <v>0</v>
      </c>
      <c r="P228" s="6">
        <v>1</v>
      </c>
      <c r="Q228" s="4" t="s">
        <v>26</v>
      </c>
      <c r="R228" s="4">
        <v>0</v>
      </c>
      <c r="S228" s="6">
        <v>16</v>
      </c>
      <c r="T228" s="6">
        <v>0</v>
      </c>
      <c r="U228" s="6">
        <v>0</v>
      </c>
      <c r="V228" s="61">
        <f>IF(ISERROR(VLOOKUP($S$228,'TAR FIN'!$A$1:$O$85,15,0)),0,VLOOKUP($S$228,'TAR FIN'!$A$1:$O$85,15,0))*(1-0.06)</f>
        <v>24.1204</v>
      </c>
      <c r="W228" s="61">
        <f>IF(ISERROR(VLOOKUP($T$228,'TAR FIN'!$A$1:$O$85,15,0)),0,VLOOKUP($T$228,'TAR FIN'!$A$1:$O$85,15,0))</f>
        <v>0</v>
      </c>
      <c r="X228" s="61">
        <f>IF(ISERROR(VLOOKUP($U$228,'TAR FIN'!$A$1:$O$85,15,0)),0,VLOOKUP($U$228,'TAR FIN'!$A$1:$O$85,15,0))</f>
        <v>0</v>
      </c>
      <c r="Y228" s="61">
        <f ca="1">('TUSD BE'!$AM$10+'TUSD BF'!$AM$10+'TUSD CVA'!$AM$10)*1*(1-0.03)</f>
        <v>24.433920211791385</v>
      </c>
      <c r="Z228" s="61"/>
      <c r="AA228" s="61"/>
      <c r="AB228" s="6">
        <f>$K$228*$V$228</f>
        <v>2122.5952000000002</v>
      </c>
      <c r="AC228" s="6">
        <f>$M$228*$W$228</f>
        <v>0</v>
      </c>
      <c r="AD228" s="6">
        <f>$O$228*$X$228</f>
        <v>0</v>
      </c>
      <c r="AE228" s="6">
        <f ca="1">$K$228*$Y$228</f>
        <v>2150.184978637642</v>
      </c>
      <c r="AF228" s="6">
        <f>$M$228*$Z$228</f>
        <v>0</v>
      </c>
      <c r="AG228" s="6">
        <f>$O$228*$AA$228</f>
        <v>0</v>
      </c>
    </row>
    <row r="229" spans="1:33" ht="11.25" customHeight="1" x14ac:dyDescent="0.25">
      <c r="A229" s="4" t="s">
        <v>21</v>
      </c>
      <c r="B229" s="4" t="s">
        <v>35</v>
      </c>
      <c r="C229" s="4" t="s">
        <v>36</v>
      </c>
      <c r="D229" s="4" t="s">
        <v>46</v>
      </c>
      <c r="E229" s="4" t="s">
        <v>47</v>
      </c>
      <c r="F229" s="4" t="s">
        <v>25</v>
      </c>
      <c r="G229" s="4" t="s">
        <v>25</v>
      </c>
      <c r="H229" s="4" t="s">
        <v>25</v>
      </c>
      <c r="I229" s="5">
        <v>44774</v>
      </c>
      <c r="J229" s="6">
        <v>88</v>
      </c>
      <c r="K229" s="62">
        <v>88</v>
      </c>
      <c r="L229" s="6">
        <v>0</v>
      </c>
      <c r="M229" s="61">
        <v>0</v>
      </c>
      <c r="N229" s="6">
        <v>0</v>
      </c>
      <c r="O229" s="61">
        <v>0</v>
      </c>
      <c r="P229" s="6">
        <v>1</v>
      </c>
      <c r="Q229" s="4" t="s">
        <v>26</v>
      </c>
      <c r="R229" s="4">
        <v>0</v>
      </c>
      <c r="S229" s="6">
        <v>16</v>
      </c>
      <c r="T229" s="6">
        <v>0</v>
      </c>
      <c r="U229" s="6">
        <v>0</v>
      </c>
      <c r="V229" s="61">
        <f>IF(ISERROR(VLOOKUP($S$229,'TAR FIN'!$A$1:$O$85,15,0)),0,VLOOKUP($S$229,'TAR FIN'!$A$1:$O$85,15,0))*(1-0.06)</f>
        <v>24.1204</v>
      </c>
      <c r="W229" s="61">
        <f>IF(ISERROR(VLOOKUP($T$229,'TAR FIN'!$A$1:$O$85,15,0)),0,VLOOKUP($T$229,'TAR FIN'!$A$1:$O$85,15,0))</f>
        <v>0</v>
      </c>
      <c r="X229" s="61">
        <f>IF(ISERROR(VLOOKUP($U$229,'TAR FIN'!$A$1:$O$85,15,0)),0,VLOOKUP($U$229,'TAR FIN'!$A$1:$O$85,15,0))</f>
        <v>0</v>
      </c>
      <c r="Y229" s="61">
        <f ca="1">('TUSD BE'!$AM$10+'TUSD BF'!$AM$10+'TUSD CVA'!$AM$10)*1*(1-0.03)</f>
        <v>24.433920211791385</v>
      </c>
      <c r="Z229" s="61"/>
      <c r="AA229" s="61"/>
      <c r="AB229" s="6">
        <f>$K$229*$V$229</f>
        <v>2122.5952000000002</v>
      </c>
      <c r="AC229" s="6">
        <f>$M$229*$W$229</f>
        <v>0</v>
      </c>
      <c r="AD229" s="6">
        <f>$O$229*$X$229</f>
        <v>0</v>
      </c>
      <c r="AE229" s="6">
        <f ca="1">$K$229*$Y$229</f>
        <v>2150.184978637642</v>
      </c>
      <c r="AF229" s="6">
        <f>$M$229*$Z$229</f>
        <v>0</v>
      </c>
      <c r="AG229" s="6">
        <f>$O$229*$AA$229</f>
        <v>0</v>
      </c>
    </row>
    <row r="230" spans="1:33" ht="11.25" customHeight="1" x14ac:dyDescent="0.25">
      <c r="A230" s="4" t="s">
        <v>21</v>
      </c>
      <c r="B230" s="4" t="s">
        <v>35</v>
      </c>
      <c r="C230" s="4" t="s">
        <v>36</v>
      </c>
      <c r="D230" s="4" t="s">
        <v>46</v>
      </c>
      <c r="E230" s="4" t="s">
        <v>47</v>
      </c>
      <c r="F230" s="4" t="s">
        <v>25</v>
      </c>
      <c r="G230" s="4" t="s">
        <v>25</v>
      </c>
      <c r="H230" s="4" t="s">
        <v>37</v>
      </c>
      <c r="I230" s="5">
        <v>44440</v>
      </c>
      <c r="J230" s="6">
        <v>0</v>
      </c>
      <c r="K230" s="61">
        <v>0</v>
      </c>
      <c r="L230" s="6">
        <v>1.157</v>
      </c>
      <c r="M230" s="61">
        <v>1.157</v>
      </c>
      <c r="N230" s="6">
        <v>1.157</v>
      </c>
      <c r="O230" s="61">
        <v>1.157</v>
      </c>
      <c r="P230" s="6">
        <v>0</v>
      </c>
      <c r="Q230" s="4" t="s">
        <v>26</v>
      </c>
      <c r="R230" s="4">
        <v>0</v>
      </c>
      <c r="S230" s="6">
        <v>0</v>
      </c>
      <c r="T230" s="6">
        <v>25</v>
      </c>
      <c r="U230" s="6">
        <v>44</v>
      </c>
      <c r="V230" s="61">
        <f>IF(ISERROR(VLOOKUP($S$230,'TAR FIN'!$A$1:$O$85,15,0)),0,VLOOKUP($S$230,'TAR FIN'!$A$1:$O$85,15,0))</f>
        <v>0</v>
      </c>
      <c r="W230" s="61">
        <f>IF(ISERROR(VLOOKUP($T$230,'TAR FIN'!$A$1:$O$85,15,0)),0,VLOOKUP($T$230,'TAR FIN'!$A$1:$O$85,15,0))*(1-0.06)</f>
        <v>1807.2063999999998</v>
      </c>
      <c r="X230" s="61">
        <f>IF(ISERROR(VLOOKUP($U$230,'TAR FIN'!$A$1:$O$85,15,0)),0,VLOOKUP($U$230,'TAR FIN'!$A$1:$O$85,15,0))*(1-0.06)</f>
        <v>132.84079999999997</v>
      </c>
      <c r="Y230" s="61"/>
      <c r="Z230" s="61">
        <f ca="1">('TUSD BE'!$AM$11+'TUSD BF'!$AM$11+'TUSD CVA'!$AM$11)*1*(1-0.03)</f>
        <v>1873.752279053374</v>
      </c>
      <c r="AA230" s="61">
        <f>('TE BE'!$AB$5+'TE BF'!$AB$5+'TE CVA'!$AB$5)*1*(1-0.03)</f>
        <v>131.73207366460716</v>
      </c>
      <c r="AB230" s="6">
        <f>$K$230*$V$230</f>
        <v>0</v>
      </c>
      <c r="AC230" s="6">
        <f>$M$230*$W$230</f>
        <v>2090.9378047999999</v>
      </c>
      <c r="AD230" s="6">
        <f>$O$230*$X$230</f>
        <v>153.69680559999998</v>
      </c>
      <c r="AE230" s="6">
        <f>$K$230*$Y$230</f>
        <v>0</v>
      </c>
      <c r="AF230" s="6">
        <f ca="1">$M$230*$Z$230</f>
        <v>2167.9313868647537</v>
      </c>
      <c r="AG230" s="6">
        <f>$O$230*$AA$230</f>
        <v>152.41400922995049</v>
      </c>
    </row>
    <row r="231" spans="1:33" ht="11.25" customHeight="1" x14ac:dyDescent="0.25">
      <c r="A231" s="4" t="s">
        <v>21</v>
      </c>
      <c r="B231" s="4" t="s">
        <v>35</v>
      </c>
      <c r="C231" s="4" t="s">
        <v>36</v>
      </c>
      <c r="D231" s="4" t="s">
        <v>46</v>
      </c>
      <c r="E231" s="4" t="s">
        <v>47</v>
      </c>
      <c r="F231" s="4" t="s">
        <v>25</v>
      </c>
      <c r="G231" s="4" t="s">
        <v>25</v>
      </c>
      <c r="H231" s="4" t="s">
        <v>37</v>
      </c>
      <c r="I231" s="5">
        <v>44470</v>
      </c>
      <c r="J231" s="6">
        <v>0</v>
      </c>
      <c r="K231" s="61">
        <v>0</v>
      </c>
      <c r="L231" s="6">
        <v>2.4889999999999999</v>
      </c>
      <c r="M231" s="61">
        <v>2.4889999999999999</v>
      </c>
      <c r="N231" s="6">
        <v>2.4889999999999999</v>
      </c>
      <c r="O231" s="61">
        <v>2.4889999999999999</v>
      </c>
      <c r="P231" s="6">
        <v>0</v>
      </c>
      <c r="Q231" s="4" t="s">
        <v>26</v>
      </c>
      <c r="R231" s="4">
        <v>0</v>
      </c>
      <c r="S231" s="6">
        <v>0</v>
      </c>
      <c r="T231" s="6">
        <v>25</v>
      </c>
      <c r="U231" s="6">
        <v>44</v>
      </c>
      <c r="V231" s="61">
        <f>IF(ISERROR(VLOOKUP($S$231,'TAR FIN'!$A$1:$O$85,15,0)),0,VLOOKUP($S$231,'TAR FIN'!$A$1:$O$85,15,0))</f>
        <v>0</v>
      </c>
      <c r="W231" s="61">
        <f>IF(ISERROR(VLOOKUP($T$231,'TAR FIN'!$A$1:$O$85,15,0)),0,VLOOKUP($T$231,'TAR FIN'!$A$1:$O$85,15,0))*(1-0.06)</f>
        <v>1807.2063999999998</v>
      </c>
      <c r="X231" s="61">
        <f>IF(ISERROR(VLOOKUP($U$231,'TAR FIN'!$A$1:$O$85,15,0)),0,VLOOKUP($U$231,'TAR FIN'!$A$1:$O$85,15,0))*(1-0.06)</f>
        <v>132.84079999999997</v>
      </c>
      <c r="Y231" s="61"/>
      <c r="Z231" s="61">
        <f ca="1">('TUSD BE'!$AM$11+'TUSD BF'!$AM$11+'TUSD CVA'!$AM$11)*1*(1-0.03)</f>
        <v>1873.752279053374</v>
      </c>
      <c r="AA231" s="61">
        <f>('TE BE'!$AB$5+'TE BF'!$AB$5+'TE CVA'!$AB$5)*1*(1-0.03)</f>
        <v>131.73207366460716</v>
      </c>
      <c r="AB231" s="6">
        <f>$K$231*$V$231</f>
        <v>0</v>
      </c>
      <c r="AC231" s="6">
        <f>$M$231*$W$231</f>
        <v>4498.1367295999989</v>
      </c>
      <c r="AD231" s="6">
        <f>$O$231*$X$231</f>
        <v>330.6407511999999</v>
      </c>
      <c r="AE231" s="6">
        <f>$K$231*$Y$231</f>
        <v>0</v>
      </c>
      <c r="AF231" s="6">
        <f ca="1">$M$231*$Z$231</f>
        <v>4663.7694225638479</v>
      </c>
      <c r="AG231" s="6">
        <f>$O$231*$AA$231</f>
        <v>327.88113135120722</v>
      </c>
    </row>
    <row r="232" spans="1:33" ht="11.25" customHeight="1" x14ac:dyDescent="0.25">
      <c r="A232" s="4" t="s">
        <v>21</v>
      </c>
      <c r="B232" s="4" t="s">
        <v>35</v>
      </c>
      <c r="C232" s="4" t="s">
        <v>36</v>
      </c>
      <c r="D232" s="4" t="s">
        <v>46</v>
      </c>
      <c r="E232" s="4" t="s">
        <v>47</v>
      </c>
      <c r="F232" s="4" t="s">
        <v>25</v>
      </c>
      <c r="G232" s="4" t="s">
        <v>25</v>
      </c>
      <c r="H232" s="4" t="s">
        <v>37</v>
      </c>
      <c r="I232" s="5">
        <v>44501</v>
      </c>
      <c r="J232" s="6">
        <v>0</v>
      </c>
      <c r="K232" s="61">
        <v>0</v>
      </c>
      <c r="L232" s="6">
        <v>4.4770000000000003</v>
      </c>
      <c r="M232" s="61">
        <v>4.4770000000000003</v>
      </c>
      <c r="N232" s="6">
        <v>4.4770000000000003</v>
      </c>
      <c r="O232" s="61">
        <v>4.4770000000000003</v>
      </c>
      <c r="P232" s="6">
        <v>0</v>
      </c>
      <c r="Q232" s="4" t="s">
        <v>26</v>
      </c>
      <c r="R232" s="4">
        <v>0</v>
      </c>
      <c r="S232" s="6">
        <v>0</v>
      </c>
      <c r="T232" s="6">
        <v>25</v>
      </c>
      <c r="U232" s="6">
        <v>44</v>
      </c>
      <c r="V232" s="61">
        <f>IF(ISERROR(VLOOKUP($S$232,'TAR FIN'!$A$1:$O$85,15,0)),0,VLOOKUP($S$232,'TAR FIN'!$A$1:$O$85,15,0))</f>
        <v>0</v>
      </c>
      <c r="W232" s="61">
        <f>IF(ISERROR(VLOOKUP($T$232,'TAR FIN'!$A$1:$O$85,15,0)),0,VLOOKUP($T$232,'TAR FIN'!$A$1:$O$85,15,0))*(1-0.06)</f>
        <v>1807.2063999999998</v>
      </c>
      <c r="X232" s="61">
        <f>IF(ISERROR(VLOOKUP($U$232,'TAR FIN'!$A$1:$O$85,15,0)),0,VLOOKUP($U$232,'TAR FIN'!$A$1:$O$85,15,0))*(1-0.06)</f>
        <v>132.84079999999997</v>
      </c>
      <c r="Y232" s="61"/>
      <c r="Z232" s="61">
        <f ca="1">('TUSD BE'!$AM$11+'TUSD BF'!$AM$11+'TUSD CVA'!$AM$11)*1*(1-0.03)</f>
        <v>1873.752279053374</v>
      </c>
      <c r="AA232" s="61">
        <f>('TE BE'!$AB$5+'TE BF'!$AB$5+'TE CVA'!$AB$5)*1*(1-0.03)</f>
        <v>131.73207366460716</v>
      </c>
      <c r="AB232" s="6">
        <f>$K$232*$V$232</f>
        <v>0</v>
      </c>
      <c r="AC232" s="6">
        <f>$M$232*$W$232</f>
        <v>8090.8630527999994</v>
      </c>
      <c r="AD232" s="6">
        <f>$O$232*$X$232</f>
        <v>594.72826159999988</v>
      </c>
      <c r="AE232" s="6">
        <f>$K$232*$Y$232</f>
        <v>0</v>
      </c>
      <c r="AF232" s="6">
        <f ca="1">$M$232*$Z$232</f>
        <v>8388.788953321955</v>
      </c>
      <c r="AG232" s="6">
        <f>$O$232*$AA$232</f>
        <v>589.76449379644623</v>
      </c>
    </row>
    <row r="233" spans="1:33" ht="11.25" customHeight="1" x14ac:dyDescent="0.25">
      <c r="A233" s="4" t="s">
        <v>21</v>
      </c>
      <c r="B233" s="4" t="s">
        <v>35</v>
      </c>
      <c r="C233" s="4" t="s">
        <v>36</v>
      </c>
      <c r="D233" s="4" t="s">
        <v>46</v>
      </c>
      <c r="E233" s="4" t="s">
        <v>47</v>
      </c>
      <c r="F233" s="4" t="s">
        <v>25</v>
      </c>
      <c r="G233" s="4" t="s">
        <v>25</v>
      </c>
      <c r="H233" s="4" t="s">
        <v>37</v>
      </c>
      <c r="I233" s="5">
        <v>44531</v>
      </c>
      <c r="J233" s="6">
        <v>0</v>
      </c>
      <c r="K233" s="61">
        <v>0</v>
      </c>
      <c r="L233" s="6">
        <v>5.694</v>
      </c>
      <c r="M233" s="61">
        <v>5.694</v>
      </c>
      <c r="N233" s="6">
        <v>5.694</v>
      </c>
      <c r="O233" s="61">
        <v>5.694</v>
      </c>
      <c r="P233" s="6">
        <v>0</v>
      </c>
      <c r="Q233" s="4" t="s">
        <v>26</v>
      </c>
      <c r="R233" s="4">
        <v>0</v>
      </c>
      <c r="S233" s="6">
        <v>0</v>
      </c>
      <c r="T233" s="6">
        <v>25</v>
      </c>
      <c r="U233" s="6">
        <v>44</v>
      </c>
      <c r="V233" s="61">
        <f>IF(ISERROR(VLOOKUP($S$233,'TAR FIN'!$A$1:$O$85,15,0)),0,VLOOKUP($S$233,'TAR FIN'!$A$1:$O$85,15,0))</f>
        <v>0</v>
      </c>
      <c r="W233" s="61">
        <f>IF(ISERROR(VLOOKUP($T$233,'TAR FIN'!$A$1:$O$85,15,0)),0,VLOOKUP($T$233,'TAR FIN'!$A$1:$O$85,15,0))*(1-0.06)</f>
        <v>1807.2063999999998</v>
      </c>
      <c r="X233" s="61">
        <f>IF(ISERROR(VLOOKUP($U$233,'TAR FIN'!$A$1:$O$85,15,0)),0,VLOOKUP($U$233,'TAR FIN'!$A$1:$O$85,15,0))*(1-0.06)</f>
        <v>132.84079999999997</v>
      </c>
      <c r="Y233" s="61"/>
      <c r="Z233" s="61">
        <f ca="1">('TUSD BE'!$AM$11+'TUSD BF'!$AM$11+'TUSD CVA'!$AM$11)*1*(1-0.03)</f>
        <v>1873.752279053374</v>
      </c>
      <c r="AA233" s="61">
        <f>('TE BE'!$AB$5+'TE BF'!$AB$5+'TE CVA'!$AB$5)*1*(1-0.03)</f>
        <v>131.73207366460716</v>
      </c>
      <c r="AB233" s="6">
        <f>$K$233*$V$233</f>
        <v>0</v>
      </c>
      <c r="AC233" s="6">
        <f>$M$233*$W$233</f>
        <v>10290.233241599999</v>
      </c>
      <c r="AD233" s="6">
        <f>$O$233*$X$233</f>
        <v>756.39551519999986</v>
      </c>
      <c r="AE233" s="6">
        <f>$K$233*$Y$233</f>
        <v>0</v>
      </c>
      <c r="AF233" s="6">
        <f ca="1">$M$233*$Z$233</f>
        <v>10669.145476929911</v>
      </c>
      <c r="AG233" s="6">
        <f>$O$233*$AA$233</f>
        <v>750.08242744627319</v>
      </c>
    </row>
    <row r="234" spans="1:33" ht="11.25" customHeight="1" x14ac:dyDescent="0.25">
      <c r="A234" s="4" t="s">
        <v>21</v>
      </c>
      <c r="B234" s="4" t="s">
        <v>35</v>
      </c>
      <c r="C234" s="4" t="s">
        <v>36</v>
      </c>
      <c r="D234" s="4" t="s">
        <v>46</v>
      </c>
      <c r="E234" s="4" t="s">
        <v>47</v>
      </c>
      <c r="F234" s="4" t="s">
        <v>25</v>
      </c>
      <c r="G234" s="4" t="s">
        <v>25</v>
      </c>
      <c r="H234" s="4" t="s">
        <v>37</v>
      </c>
      <c r="I234" s="5">
        <v>44562</v>
      </c>
      <c r="J234" s="6">
        <v>0</v>
      </c>
      <c r="K234" s="61">
        <v>0</v>
      </c>
      <c r="L234" s="6">
        <v>4.8470000000000004</v>
      </c>
      <c r="M234" s="61">
        <v>4.8470000000000004</v>
      </c>
      <c r="N234" s="6">
        <v>4.8470000000000004</v>
      </c>
      <c r="O234" s="61">
        <v>4.8470000000000004</v>
      </c>
      <c r="P234" s="6">
        <v>0</v>
      </c>
      <c r="Q234" s="4" t="s">
        <v>26</v>
      </c>
      <c r="R234" s="4">
        <v>0</v>
      </c>
      <c r="S234" s="6">
        <v>0</v>
      </c>
      <c r="T234" s="6">
        <v>25</v>
      </c>
      <c r="U234" s="6">
        <v>44</v>
      </c>
      <c r="V234" s="61">
        <f>IF(ISERROR(VLOOKUP($S$234,'TAR FIN'!$A$1:$O$85,15,0)),0,VLOOKUP($S$234,'TAR FIN'!$A$1:$O$85,15,0))</f>
        <v>0</v>
      </c>
      <c r="W234" s="61">
        <f>IF(ISERROR(VLOOKUP($T$234,'TAR FIN'!$A$1:$O$85,15,0)),0,VLOOKUP($T$234,'TAR FIN'!$A$1:$O$85,15,0))*(1-0.06)</f>
        <v>1807.2063999999998</v>
      </c>
      <c r="X234" s="61">
        <f>IF(ISERROR(VLOOKUP($U$234,'TAR FIN'!$A$1:$O$85,15,0)),0,VLOOKUP($U$234,'TAR FIN'!$A$1:$O$85,15,0))*(1-0.06)</f>
        <v>132.84079999999997</v>
      </c>
      <c r="Y234" s="61"/>
      <c r="Z234" s="61">
        <f ca="1">('TUSD BE'!$AM$11+'TUSD BF'!$AM$11+'TUSD CVA'!$AM$11)*1*(1-0.03)</f>
        <v>1873.752279053374</v>
      </c>
      <c r="AA234" s="61">
        <f>('TE BE'!$AB$5+'TE BF'!$AB$5+'TE CVA'!$AB$5)*1*(1-0.03)</f>
        <v>131.73207366460716</v>
      </c>
      <c r="AB234" s="6">
        <f>$K$234*$V$234</f>
        <v>0</v>
      </c>
      <c r="AC234" s="6">
        <f>$M$234*$W$234</f>
        <v>8759.5294207999996</v>
      </c>
      <c r="AD234" s="6">
        <f>$O$234*$X$234</f>
        <v>643.87935759999993</v>
      </c>
      <c r="AE234" s="6">
        <f>$K$234*$Y$234</f>
        <v>0</v>
      </c>
      <c r="AF234" s="6">
        <f ca="1">$M$234*$Z$234</f>
        <v>9082.0772965717042</v>
      </c>
      <c r="AG234" s="6">
        <f>$O$234*$AA$234</f>
        <v>638.50536105235096</v>
      </c>
    </row>
    <row r="235" spans="1:33" ht="11.25" customHeight="1" x14ac:dyDescent="0.25">
      <c r="A235" s="4" t="s">
        <v>21</v>
      </c>
      <c r="B235" s="4" t="s">
        <v>35</v>
      </c>
      <c r="C235" s="4" t="s">
        <v>36</v>
      </c>
      <c r="D235" s="4" t="s">
        <v>46</v>
      </c>
      <c r="E235" s="4" t="s">
        <v>47</v>
      </c>
      <c r="F235" s="4" t="s">
        <v>25</v>
      </c>
      <c r="G235" s="4" t="s">
        <v>25</v>
      </c>
      <c r="H235" s="4" t="s">
        <v>37</v>
      </c>
      <c r="I235" s="5">
        <v>44593</v>
      </c>
      <c r="J235" s="6">
        <v>0</v>
      </c>
      <c r="K235" s="61">
        <v>0</v>
      </c>
      <c r="L235" s="6">
        <v>4.827</v>
      </c>
      <c r="M235" s="61">
        <v>4.827</v>
      </c>
      <c r="N235" s="6">
        <v>4.827</v>
      </c>
      <c r="O235" s="61">
        <v>4.827</v>
      </c>
      <c r="P235" s="6">
        <v>0</v>
      </c>
      <c r="Q235" s="4" t="s">
        <v>26</v>
      </c>
      <c r="R235" s="4">
        <v>0</v>
      </c>
      <c r="S235" s="6">
        <v>0</v>
      </c>
      <c r="T235" s="6">
        <v>25</v>
      </c>
      <c r="U235" s="6">
        <v>44</v>
      </c>
      <c r="V235" s="61">
        <f>IF(ISERROR(VLOOKUP($S$235,'TAR FIN'!$A$1:$O$85,15,0)),0,VLOOKUP($S$235,'TAR FIN'!$A$1:$O$85,15,0))</f>
        <v>0</v>
      </c>
      <c r="W235" s="61">
        <f>IF(ISERROR(VLOOKUP($T$235,'TAR FIN'!$A$1:$O$85,15,0)),0,VLOOKUP($T$235,'TAR FIN'!$A$1:$O$85,15,0))*(1-0.06)</f>
        <v>1807.2063999999998</v>
      </c>
      <c r="X235" s="61">
        <f>IF(ISERROR(VLOOKUP($U$235,'TAR FIN'!$A$1:$O$85,15,0)),0,VLOOKUP($U$235,'TAR FIN'!$A$1:$O$85,15,0))*(1-0.06)</f>
        <v>132.84079999999997</v>
      </c>
      <c r="Y235" s="61"/>
      <c r="Z235" s="61">
        <f ca="1">('TUSD BE'!$AM$11+'TUSD BF'!$AM$11+'TUSD CVA'!$AM$11)*1*(1-0.03)</f>
        <v>1873.752279053374</v>
      </c>
      <c r="AA235" s="61">
        <f>('TE BE'!$AB$5+'TE BF'!$AB$5+'TE CVA'!$AB$5)*1*(1-0.03)</f>
        <v>131.73207366460716</v>
      </c>
      <c r="AB235" s="6">
        <f>$K$235*$V$235</f>
        <v>0</v>
      </c>
      <c r="AC235" s="6">
        <f>$M$235*$W$235</f>
        <v>8723.3852927999997</v>
      </c>
      <c r="AD235" s="6">
        <f>$O$235*$X$235</f>
        <v>641.22254159999989</v>
      </c>
      <c r="AE235" s="6">
        <f>$K$235*$Y$235</f>
        <v>0</v>
      </c>
      <c r="AF235" s="6">
        <f ca="1">$M$235*$Z$235</f>
        <v>9044.6022509906361</v>
      </c>
      <c r="AG235" s="6">
        <f>$O$235*$AA$235</f>
        <v>635.87071957905869</v>
      </c>
    </row>
    <row r="236" spans="1:33" ht="11.25" customHeight="1" x14ac:dyDescent="0.25">
      <c r="A236" s="4" t="s">
        <v>21</v>
      </c>
      <c r="B236" s="4" t="s">
        <v>35</v>
      </c>
      <c r="C236" s="4" t="s">
        <v>36</v>
      </c>
      <c r="D236" s="4" t="s">
        <v>46</v>
      </c>
      <c r="E236" s="4" t="s">
        <v>47</v>
      </c>
      <c r="F236" s="4" t="s">
        <v>25</v>
      </c>
      <c r="G236" s="4" t="s">
        <v>25</v>
      </c>
      <c r="H236" s="4" t="s">
        <v>37</v>
      </c>
      <c r="I236" s="5">
        <v>44621</v>
      </c>
      <c r="J236" s="6">
        <v>0</v>
      </c>
      <c r="K236" s="61">
        <v>0</v>
      </c>
      <c r="L236" s="6">
        <v>5.0430000000000001</v>
      </c>
      <c r="M236" s="61">
        <v>5.0430000000000001</v>
      </c>
      <c r="N236" s="6">
        <v>5.0430000000000001</v>
      </c>
      <c r="O236" s="61">
        <v>5.0430000000000001</v>
      </c>
      <c r="P236" s="6">
        <v>0</v>
      </c>
      <c r="Q236" s="4" t="s">
        <v>26</v>
      </c>
      <c r="R236" s="4">
        <v>0</v>
      </c>
      <c r="S236" s="6">
        <v>0</v>
      </c>
      <c r="T236" s="6">
        <v>25</v>
      </c>
      <c r="U236" s="6">
        <v>44</v>
      </c>
      <c r="V236" s="61">
        <f>IF(ISERROR(VLOOKUP($S$236,'TAR FIN'!$A$1:$O$85,15,0)),0,VLOOKUP($S$236,'TAR FIN'!$A$1:$O$85,15,0))</f>
        <v>0</v>
      </c>
      <c r="W236" s="61">
        <f>IF(ISERROR(VLOOKUP($T$236,'TAR FIN'!$A$1:$O$85,15,0)),0,VLOOKUP($T$236,'TAR FIN'!$A$1:$O$85,15,0))*(1-0.06)</f>
        <v>1807.2063999999998</v>
      </c>
      <c r="X236" s="61">
        <f>IF(ISERROR(VLOOKUP($U$236,'TAR FIN'!$A$1:$O$85,15,0)),0,VLOOKUP($U$236,'TAR FIN'!$A$1:$O$85,15,0))*(1-0.06)</f>
        <v>132.84079999999997</v>
      </c>
      <c r="Y236" s="61"/>
      <c r="Z236" s="61">
        <f ca="1">('TUSD BE'!$AM$11+'TUSD BF'!$AM$11+'TUSD CVA'!$AM$11)*1*(1-0.03)</f>
        <v>1873.752279053374</v>
      </c>
      <c r="AA236" s="61">
        <f>('TE BE'!$AB$5+'TE BF'!$AB$5+'TE CVA'!$AB$5)*1*(1-0.03)</f>
        <v>131.73207366460716</v>
      </c>
      <c r="AB236" s="6">
        <f>$K$236*$V$236</f>
        <v>0</v>
      </c>
      <c r="AC236" s="6">
        <f>$M$236*$W$236</f>
        <v>9113.7418751999994</v>
      </c>
      <c r="AD236" s="6">
        <f>$O$236*$X$236</f>
        <v>669.91615439999987</v>
      </c>
      <c r="AE236" s="6">
        <f>$K$236*$Y$236</f>
        <v>0</v>
      </c>
      <c r="AF236" s="6">
        <f ca="1">$M$236*$Z$236</f>
        <v>9449.3327432661645</v>
      </c>
      <c r="AG236" s="6">
        <f>$O$236*$AA$236</f>
        <v>664.32484749061393</v>
      </c>
    </row>
    <row r="237" spans="1:33" ht="11.25" customHeight="1" x14ac:dyDescent="0.25">
      <c r="A237" s="4" t="s">
        <v>21</v>
      </c>
      <c r="B237" s="4" t="s">
        <v>35</v>
      </c>
      <c r="C237" s="4" t="s">
        <v>36</v>
      </c>
      <c r="D237" s="4" t="s">
        <v>46</v>
      </c>
      <c r="E237" s="4" t="s">
        <v>47</v>
      </c>
      <c r="F237" s="4" t="s">
        <v>25</v>
      </c>
      <c r="G237" s="4" t="s">
        <v>25</v>
      </c>
      <c r="H237" s="4" t="s">
        <v>37</v>
      </c>
      <c r="I237" s="5">
        <v>44652</v>
      </c>
      <c r="J237" s="6">
        <v>0</v>
      </c>
      <c r="K237" s="61">
        <v>0</v>
      </c>
      <c r="L237" s="6">
        <v>3.74</v>
      </c>
      <c r="M237" s="61">
        <v>3.74</v>
      </c>
      <c r="N237" s="6">
        <v>3.74</v>
      </c>
      <c r="O237" s="61">
        <v>3.74</v>
      </c>
      <c r="P237" s="6">
        <v>0</v>
      </c>
      <c r="Q237" s="4" t="s">
        <v>26</v>
      </c>
      <c r="R237" s="4">
        <v>0</v>
      </c>
      <c r="S237" s="6">
        <v>0</v>
      </c>
      <c r="T237" s="6">
        <v>25</v>
      </c>
      <c r="U237" s="6">
        <v>44</v>
      </c>
      <c r="V237" s="61">
        <f>IF(ISERROR(VLOOKUP($S$237,'TAR FIN'!$A$1:$O$85,15,0)),0,VLOOKUP($S$237,'TAR FIN'!$A$1:$O$85,15,0))</f>
        <v>0</v>
      </c>
      <c r="W237" s="61">
        <f>IF(ISERROR(VLOOKUP($T$237,'TAR FIN'!$A$1:$O$85,15,0)),0,VLOOKUP($T$237,'TAR FIN'!$A$1:$O$85,15,0))*(1-0.06)</f>
        <v>1807.2063999999998</v>
      </c>
      <c r="X237" s="61">
        <f>IF(ISERROR(VLOOKUP($U$237,'TAR FIN'!$A$1:$O$85,15,0)),0,VLOOKUP($U$237,'TAR FIN'!$A$1:$O$85,15,0))*(1-0.06)</f>
        <v>132.84079999999997</v>
      </c>
      <c r="Y237" s="61"/>
      <c r="Z237" s="61">
        <f ca="1">('TUSD BE'!$AM$11+'TUSD BF'!$AM$11+'TUSD CVA'!$AM$11)*1*(1-0.03)</f>
        <v>1873.752279053374</v>
      </c>
      <c r="AA237" s="61">
        <f>('TE BE'!$AB$5+'TE BF'!$AB$5+'TE CVA'!$AB$5)*1*(1-0.03)</f>
        <v>131.73207366460716</v>
      </c>
      <c r="AB237" s="6">
        <f>$K$237*$V$237</f>
        <v>0</v>
      </c>
      <c r="AC237" s="6">
        <f>$M$237*$W$237</f>
        <v>6758.9519359999995</v>
      </c>
      <c r="AD237" s="6">
        <f>$O$237*$X$237</f>
        <v>496.82459199999994</v>
      </c>
      <c r="AE237" s="6">
        <f>$K$237*$Y$237</f>
        <v>0</v>
      </c>
      <c r="AF237" s="6">
        <f ca="1">$M$237*$Z$237</f>
        <v>7007.8335236596195</v>
      </c>
      <c r="AG237" s="6">
        <f>$O$237*$AA$237</f>
        <v>492.67795550563079</v>
      </c>
    </row>
    <row r="238" spans="1:33" ht="11.25" customHeight="1" x14ac:dyDescent="0.25">
      <c r="A238" s="4" t="s">
        <v>21</v>
      </c>
      <c r="B238" s="4" t="s">
        <v>35</v>
      </c>
      <c r="C238" s="4" t="s">
        <v>36</v>
      </c>
      <c r="D238" s="4" t="s">
        <v>46</v>
      </c>
      <c r="E238" s="4" t="s">
        <v>47</v>
      </c>
      <c r="F238" s="4" t="s">
        <v>25</v>
      </c>
      <c r="G238" s="4" t="s">
        <v>25</v>
      </c>
      <c r="H238" s="4" t="s">
        <v>37</v>
      </c>
      <c r="I238" s="5">
        <v>44682</v>
      </c>
      <c r="J238" s="6">
        <v>0</v>
      </c>
      <c r="K238" s="61">
        <v>0</v>
      </c>
      <c r="L238" s="6">
        <v>0.52400000000000002</v>
      </c>
      <c r="M238" s="61">
        <v>0.52400000000000002</v>
      </c>
      <c r="N238" s="6">
        <v>0.52400000000000002</v>
      </c>
      <c r="O238" s="61">
        <v>0.52400000000000002</v>
      </c>
      <c r="P238" s="6">
        <v>0</v>
      </c>
      <c r="Q238" s="4" t="s">
        <v>26</v>
      </c>
      <c r="R238" s="4">
        <v>0</v>
      </c>
      <c r="S238" s="6">
        <v>0</v>
      </c>
      <c r="T238" s="6">
        <v>25</v>
      </c>
      <c r="U238" s="6">
        <v>44</v>
      </c>
      <c r="V238" s="61">
        <f>IF(ISERROR(VLOOKUP($S$238,'TAR FIN'!$A$1:$O$85,15,0)),0,VLOOKUP($S$238,'TAR FIN'!$A$1:$O$85,15,0))</f>
        <v>0</v>
      </c>
      <c r="W238" s="61">
        <f>IF(ISERROR(VLOOKUP($T$238,'TAR FIN'!$A$1:$O$85,15,0)),0,VLOOKUP($T$238,'TAR FIN'!$A$1:$O$85,15,0))*(1-0.06)</f>
        <v>1807.2063999999998</v>
      </c>
      <c r="X238" s="61">
        <f>IF(ISERROR(VLOOKUP($U$238,'TAR FIN'!$A$1:$O$85,15,0)),0,VLOOKUP($U$238,'TAR FIN'!$A$1:$O$85,15,0))*(1-0.06)</f>
        <v>132.84079999999997</v>
      </c>
      <c r="Y238" s="61"/>
      <c r="Z238" s="61">
        <f ca="1">('TUSD BE'!$AM$11+'TUSD BF'!$AM$11+'TUSD CVA'!$AM$11)*1*(1-0.03)</f>
        <v>1873.752279053374</v>
      </c>
      <c r="AA238" s="61">
        <f>('TE BE'!$AB$5+'TE BF'!$AB$5+'TE CVA'!$AB$5)*1*(1-0.03)</f>
        <v>131.73207366460716</v>
      </c>
      <c r="AB238" s="6">
        <f>$K$238*$V$238</f>
        <v>0</v>
      </c>
      <c r="AC238" s="6">
        <f>$M$238*$W$238</f>
        <v>946.97615359999998</v>
      </c>
      <c r="AD238" s="6">
        <f>$O$238*$X$238</f>
        <v>69.608579199999994</v>
      </c>
      <c r="AE238" s="6">
        <f>$K$238*$Y$238</f>
        <v>0</v>
      </c>
      <c r="AF238" s="6">
        <f ca="1">$M$238*$Z$238</f>
        <v>981.84619422396804</v>
      </c>
      <c r="AG238" s="6">
        <f>$O$238*$AA$238</f>
        <v>69.02760660025416</v>
      </c>
    </row>
    <row r="239" spans="1:33" ht="11.25" customHeight="1" x14ac:dyDescent="0.25">
      <c r="A239" s="4" t="s">
        <v>21</v>
      </c>
      <c r="B239" s="4" t="s">
        <v>35</v>
      </c>
      <c r="C239" s="4" t="s">
        <v>36</v>
      </c>
      <c r="D239" s="4" t="s">
        <v>46</v>
      </c>
      <c r="E239" s="4" t="s">
        <v>47</v>
      </c>
      <c r="F239" s="4" t="s">
        <v>25</v>
      </c>
      <c r="G239" s="4" t="s">
        <v>25</v>
      </c>
      <c r="H239" s="4" t="s">
        <v>37</v>
      </c>
      <c r="I239" s="5">
        <v>44743</v>
      </c>
      <c r="J239" s="6">
        <v>0</v>
      </c>
      <c r="K239" s="61">
        <v>0</v>
      </c>
      <c r="L239" s="6">
        <v>0.77600000000000002</v>
      </c>
      <c r="M239" s="61">
        <v>0.77600000000000002</v>
      </c>
      <c r="N239" s="6">
        <v>0.77600000000000002</v>
      </c>
      <c r="O239" s="61">
        <v>0.77600000000000002</v>
      </c>
      <c r="P239" s="6">
        <v>0</v>
      </c>
      <c r="Q239" s="4" t="s">
        <v>26</v>
      </c>
      <c r="R239" s="4">
        <v>0</v>
      </c>
      <c r="S239" s="6">
        <v>0</v>
      </c>
      <c r="T239" s="6">
        <v>25</v>
      </c>
      <c r="U239" s="6">
        <v>44</v>
      </c>
      <c r="V239" s="61">
        <f>IF(ISERROR(VLOOKUP($S$239,'TAR FIN'!$A$1:$O$85,15,0)),0,VLOOKUP($S$239,'TAR FIN'!$A$1:$O$85,15,0))</f>
        <v>0</v>
      </c>
      <c r="W239" s="61">
        <f>IF(ISERROR(VLOOKUP($T$239,'TAR FIN'!$A$1:$O$85,15,0)),0,VLOOKUP($T$239,'TAR FIN'!$A$1:$O$85,15,0))*(1-0.06)</f>
        <v>1807.2063999999998</v>
      </c>
      <c r="X239" s="61">
        <f>IF(ISERROR(VLOOKUP($U$239,'TAR FIN'!$A$1:$O$85,15,0)),0,VLOOKUP($U$239,'TAR FIN'!$A$1:$O$85,15,0))*(1-0.06)</f>
        <v>132.84079999999997</v>
      </c>
      <c r="Y239" s="61"/>
      <c r="Z239" s="61">
        <f ca="1">('TUSD BE'!$AM$11+'TUSD BF'!$AM$11+'TUSD CVA'!$AM$11)*1*(1-0.03)</f>
        <v>1873.752279053374</v>
      </c>
      <c r="AA239" s="61">
        <f>('TE BE'!$AB$5+'TE BF'!$AB$5+'TE CVA'!$AB$5)*1*(1-0.03)</f>
        <v>131.73207366460716</v>
      </c>
      <c r="AB239" s="6">
        <f>$K$239*$V$239</f>
        <v>0</v>
      </c>
      <c r="AC239" s="6">
        <f>$M$239*$W$239</f>
        <v>1402.3921664</v>
      </c>
      <c r="AD239" s="6">
        <f>$O$239*$X$239</f>
        <v>103.08446079999999</v>
      </c>
      <c r="AE239" s="6">
        <f>$K$239*$Y$239</f>
        <v>0</v>
      </c>
      <c r="AF239" s="6">
        <f ca="1">$M$239*$Z$239</f>
        <v>1454.0317685454183</v>
      </c>
      <c r="AG239" s="6">
        <f>$O$239*$AA$239</f>
        <v>102.22408916373516</v>
      </c>
    </row>
    <row r="240" spans="1:33" ht="11.25" customHeight="1" x14ac:dyDescent="0.25">
      <c r="A240" s="4" t="s">
        <v>21</v>
      </c>
      <c r="B240" s="4" t="s">
        <v>35</v>
      </c>
      <c r="C240" s="4" t="s">
        <v>36</v>
      </c>
      <c r="D240" s="4" t="s">
        <v>46</v>
      </c>
      <c r="E240" s="4" t="s">
        <v>47</v>
      </c>
      <c r="F240" s="4" t="s">
        <v>25</v>
      </c>
      <c r="G240" s="4" t="s">
        <v>25</v>
      </c>
      <c r="H240" s="4" t="s">
        <v>37</v>
      </c>
      <c r="I240" s="5">
        <v>44774</v>
      </c>
      <c r="J240" s="6">
        <v>0</v>
      </c>
      <c r="K240" s="61">
        <v>0</v>
      </c>
      <c r="L240" s="6">
        <v>2.86</v>
      </c>
      <c r="M240" s="61">
        <v>2.86</v>
      </c>
      <c r="N240" s="6">
        <v>2.86</v>
      </c>
      <c r="O240" s="61">
        <v>2.86</v>
      </c>
      <c r="P240" s="6">
        <v>0</v>
      </c>
      <c r="Q240" s="4" t="s">
        <v>26</v>
      </c>
      <c r="R240" s="4">
        <v>0</v>
      </c>
      <c r="S240" s="6">
        <v>0</v>
      </c>
      <c r="T240" s="6">
        <v>25</v>
      </c>
      <c r="U240" s="6">
        <v>44</v>
      </c>
      <c r="V240" s="61">
        <f>IF(ISERROR(VLOOKUP($S$240,'TAR FIN'!$A$1:$O$85,15,0)),0,VLOOKUP($S$240,'TAR FIN'!$A$1:$O$85,15,0))</f>
        <v>0</v>
      </c>
      <c r="W240" s="61">
        <f>IF(ISERROR(VLOOKUP($T$240,'TAR FIN'!$A$1:$O$85,15,0)),0,VLOOKUP($T$240,'TAR FIN'!$A$1:$O$85,15,0))*(1-0.06)</f>
        <v>1807.2063999999998</v>
      </c>
      <c r="X240" s="61">
        <f>IF(ISERROR(VLOOKUP($U$240,'TAR FIN'!$A$1:$O$85,15,0)),0,VLOOKUP($U$240,'TAR FIN'!$A$1:$O$85,15,0))*(1-0.06)</f>
        <v>132.84079999999997</v>
      </c>
      <c r="Y240" s="61"/>
      <c r="Z240" s="61">
        <f ca="1">('TUSD BE'!$AM$11+'TUSD BF'!$AM$11+'TUSD CVA'!$AM$11)*1*(1-0.03)</f>
        <v>1873.752279053374</v>
      </c>
      <c r="AA240" s="61">
        <f>('TE BE'!$AB$5+'TE BF'!$AB$5+'TE CVA'!$AB$5)*1*(1-0.03)</f>
        <v>131.73207366460716</v>
      </c>
      <c r="AB240" s="6">
        <f>$K$240*$V$240</f>
        <v>0</v>
      </c>
      <c r="AC240" s="6">
        <f>$M$240*$W$240</f>
        <v>5168.6103039999989</v>
      </c>
      <c r="AD240" s="6">
        <f>$O$240*$X$240</f>
        <v>379.92468799999989</v>
      </c>
      <c r="AE240" s="6">
        <f>$K$240*$Y$240</f>
        <v>0</v>
      </c>
      <c r="AF240" s="6">
        <f ca="1">$M$240*$Z$240</f>
        <v>5358.9315180926496</v>
      </c>
      <c r="AG240" s="6">
        <f>$O$240*$AA$240</f>
        <v>376.75373068077647</v>
      </c>
    </row>
    <row r="241" spans="1:33" ht="11.25" customHeight="1" x14ac:dyDescent="0.25">
      <c r="A241" s="4" t="s">
        <v>21</v>
      </c>
      <c r="B241" s="4" t="s">
        <v>22</v>
      </c>
      <c r="C241" s="4" t="s">
        <v>23</v>
      </c>
      <c r="D241" s="4" t="s">
        <v>24</v>
      </c>
      <c r="E241" s="4" t="s">
        <v>24</v>
      </c>
      <c r="F241" s="4" t="s">
        <v>25</v>
      </c>
      <c r="G241" s="4" t="s">
        <v>25</v>
      </c>
      <c r="H241" s="4" t="s">
        <v>25</v>
      </c>
      <c r="I241" s="5">
        <v>44440</v>
      </c>
      <c r="J241" s="6">
        <v>0</v>
      </c>
      <c r="K241" s="6">
        <v>0</v>
      </c>
      <c r="L241" s="6">
        <v>753.95</v>
      </c>
      <c r="M241" s="6">
        <v>753.95</v>
      </c>
      <c r="N241" s="6">
        <v>753.95</v>
      </c>
      <c r="O241" s="6">
        <v>753.95</v>
      </c>
      <c r="P241" s="6">
        <v>4009</v>
      </c>
      <c r="Q241" s="4" t="s">
        <v>26</v>
      </c>
      <c r="R241" s="4">
        <v>0</v>
      </c>
      <c r="S241" s="6">
        <v>0</v>
      </c>
      <c r="T241" s="6">
        <v>2</v>
      </c>
      <c r="U241" s="6">
        <v>32</v>
      </c>
      <c r="V241" s="6">
        <f>IF(ISERROR(VLOOKUP($S$241,'TAR FIN'!$A$1:$O$85,15,0)),0,VLOOKUP($S$241,'TAR FIN'!$A$1:$O$85,15,0))</f>
        <v>0</v>
      </c>
      <c r="W241" s="6">
        <f>IF(ISERROR(VLOOKUP($T$241,'TAR FIN'!$A$1:$O$85,15,0)),0,VLOOKUP($T$241,'TAR FIN'!$A$1:$O$85,15,0))</f>
        <v>377.01</v>
      </c>
      <c r="X241" s="6">
        <f>IF(ISERROR(VLOOKUP($U$241,'TAR FIN'!$A$1:$O$85,15,0)),0,VLOOKUP($U$241,'TAR FIN'!$A$1:$O$85,15,0))</f>
        <v>141.32</v>
      </c>
      <c r="Y241" s="6"/>
      <c r="Z241" s="6">
        <f ca="1">('TUSD BE'!$AM$20+'TUSD BF'!$AM$20+'TUSD CVA'!$AM$20)*1</f>
        <v>415.67450254064073</v>
      </c>
      <c r="AA241" s="6">
        <f>('TE BE'!$AB$10+'TE BF'!$AB$10+'TE CVA'!$AB$10)*1</f>
        <v>135.80626150990429</v>
      </c>
      <c r="AB241" s="6">
        <f>$K$241*$V$241</f>
        <v>0</v>
      </c>
      <c r="AC241" s="6">
        <f>$M$241*$W$241</f>
        <v>284246.68950000004</v>
      </c>
      <c r="AD241" s="6">
        <f>$O$241*$X$241</f>
        <v>106548.21400000001</v>
      </c>
      <c r="AE241" s="6">
        <f>$K$241*$Y$241</f>
        <v>0</v>
      </c>
      <c r="AF241" s="6">
        <f ca="1">$M$241*$Z$241</f>
        <v>313397.79119051609</v>
      </c>
      <c r="AG241" s="6">
        <f>$O$241*$AA$241</f>
        <v>102391.13086539235</v>
      </c>
    </row>
    <row r="242" spans="1:33" ht="11.25" customHeight="1" x14ac:dyDescent="0.25">
      <c r="A242" s="4" t="s">
        <v>27</v>
      </c>
      <c r="B242" s="4" t="s">
        <v>22</v>
      </c>
      <c r="C242" s="4" t="s">
        <v>23</v>
      </c>
      <c r="D242" s="4" t="s">
        <v>24</v>
      </c>
      <c r="E242" s="4" t="s">
        <v>24</v>
      </c>
      <c r="F242" s="4" t="s">
        <v>25</v>
      </c>
      <c r="G242" s="4" t="s">
        <v>25</v>
      </c>
      <c r="H242" s="4" t="s">
        <v>25</v>
      </c>
      <c r="I242" s="5">
        <v>44440</v>
      </c>
      <c r="J242" s="6">
        <v>0</v>
      </c>
      <c r="K242" s="6">
        <v>0</v>
      </c>
      <c r="L242" s="6">
        <v>-0.61199999999999999</v>
      </c>
      <c r="M242" s="6">
        <v>-0.61199999999999999</v>
      </c>
      <c r="N242" s="6">
        <v>-0.61199999999999999</v>
      </c>
      <c r="O242" s="6">
        <v>-0.61199999999999999</v>
      </c>
      <c r="P242" s="6">
        <v>0</v>
      </c>
      <c r="Q242" s="4" t="s">
        <v>26</v>
      </c>
      <c r="R242" s="4">
        <v>0</v>
      </c>
      <c r="S242" s="6">
        <v>0</v>
      </c>
      <c r="T242" s="6">
        <v>2</v>
      </c>
      <c r="U242" s="6">
        <v>32</v>
      </c>
      <c r="V242" s="6">
        <f>IF(ISERROR(VLOOKUP($S$242,'TAR FIN'!$A$1:$O$85,15,0)),0,VLOOKUP($S$242,'TAR FIN'!$A$1:$O$85,15,0))</f>
        <v>0</v>
      </c>
      <c r="W242" s="6">
        <f>IF(ISERROR(VLOOKUP($T$242,'TAR FIN'!$A$1:$O$85,15,0)),0,VLOOKUP($T$242,'TAR FIN'!$A$1:$O$85,15,0))</f>
        <v>377.01</v>
      </c>
      <c r="X242" s="6">
        <f>IF(ISERROR(VLOOKUP($U$242,'TAR FIN'!$A$1:$O$85,15,0)),0,VLOOKUP($U$242,'TAR FIN'!$A$1:$O$85,15,0))</f>
        <v>141.32</v>
      </c>
      <c r="Y242" s="6"/>
      <c r="Z242" s="6">
        <f ca="1">('TUSD BE'!$AM$20+'TUSD BF'!$AM$20+'TUSD CVA'!$AM$20)*1</f>
        <v>415.67450254064073</v>
      </c>
      <c r="AA242" s="6">
        <f>('TE BE'!$AB$10+'TE BF'!$AB$10+'TE CVA'!$AB$10)*1</f>
        <v>135.80626150990429</v>
      </c>
      <c r="AB242" s="6">
        <f>$K$242*$V$242</f>
        <v>0</v>
      </c>
      <c r="AC242" s="6">
        <f>$M$242*$W$242</f>
        <v>-230.73012</v>
      </c>
      <c r="AD242" s="6">
        <f>$O$242*$X$242</f>
        <v>-86.487839999999991</v>
      </c>
      <c r="AE242" s="6">
        <f>$K$242*$Y$242</f>
        <v>0</v>
      </c>
      <c r="AF242" s="6">
        <f ca="1">$M$242*$Z$242</f>
        <v>-254.39279555487212</v>
      </c>
      <c r="AG242" s="6">
        <f>$O$242*$AA$242</f>
        <v>-83.113432044061426</v>
      </c>
    </row>
    <row r="243" spans="1:33" ht="11.25" customHeight="1" x14ac:dyDescent="0.25">
      <c r="A243" s="4" t="s">
        <v>28</v>
      </c>
      <c r="B243" s="4" t="s">
        <v>22</v>
      </c>
      <c r="C243" s="4" t="s">
        <v>23</v>
      </c>
      <c r="D243" s="4" t="s">
        <v>24</v>
      </c>
      <c r="E243" s="4" t="s">
        <v>24</v>
      </c>
      <c r="F243" s="4" t="s">
        <v>25</v>
      </c>
      <c r="G243" s="4" t="s">
        <v>25</v>
      </c>
      <c r="H243" s="4" t="s">
        <v>25</v>
      </c>
      <c r="I243" s="5">
        <v>44440</v>
      </c>
      <c r="J243" s="6">
        <v>0</v>
      </c>
      <c r="K243" s="6">
        <v>0</v>
      </c>
      <c r="L243" s="6">
        <v>10.151</v>
      </c>
      <c r="M243" s="6">
        <v>10.151</v>
      </c>
      <c r="N243" s="6">
        <v>10.151</v>
      </c>
      <c r="O243" s="6">
        <v>10.151</v>
      </c>
      <c r="P243" s="6">
        <v>83</v>
      </c>
      <c r="Q243" s="4" t="s">
        <v>26</v>
      </c>
      <c r="R243" s="4">
        <v>0</v>
      </c>
      <c r="S243" s="6">
        <v>0</v>
      </c>
      <c r="T243" s="6">
        <v>2</v>
      </c>
      <c r="U243" s="6">
        <v>32</v>
      </c>
      <c r="V243" s="6">
        <f>IF(ISERROR(VLOOKUP($S$243,'TAR FIN'!$A$1:$O$85,15,0)),0,VLOOKUP($S$243,'TAR FIN'!$A$1:$O$85,15,0))</f>
        <v>0</v>
      </c>
      <c r="W243" s="6">
        <f>IF(ISERROR(VLOOKUP($T$243,'TAR FIN'!$A$1:$O$85,15,0)),0,VLOOKUP($T$243,'TAR FIN'!$A$1:$O$85,15,0))</f>
        <v>377.01</v>
      </c>
      <c r="X243" s="6">
        <f>IF(ISERROR(VLOOKUP($U$243,'TAR FIN'!$A$1:$O$85,15,0)),0,VLOOKUP($U$243,'TAR FIN'!$A$1:$O$85,15,0))</f>
        <v>141.32</v>
      </c>
      <c r="Y243" s="6"/>
      <c r="Z243" s="6">
        <f ca="1">('TUSD BE'!$AM$20+'TUSD BF'!$AM$20+'TUSD CVA'!$AM$20)*1</f>
        <v>415.67450254064073</v>
      </c>
      <c r="AA243" s="6">
        <f>('TE BE'!$AB$10+'TE BF'!$AB$10+'TE CVA'!$AB$10)*1</f>
        <v>135.80626150990429</v>
      </c>
      <c r="AB243" s="6">
        <f>$K$243*$V$243</f>
        <v>0</v>
      </c>
      <c r="AC243" s="6">
        <f>$M$243*$W$243</f>
        <v>3827.0285099999996</v>
      </c>
      <c r="AD243" s="6">
        <f>$O$243*$X$243</f>
        <v>1434.5393199999999</v>
      </c>
      <c r="AE243" s="6">
        <f>$K$243*$Y$243</f>
        <v>0</v>
      </c>
      <c r="AF243" s="6">
        <f ca="1">$M$243*$Z$243</f>
        <v>4219.5118752900444</v>
      </c>
      <c r="AG243" s="6">
        <f>$O$243*$AA$243</f>
        <v>1378.5693605870383</v>
      </c>
    </row>
    <row r="244" spans="1:33" ht="11.25" customHeight="1" x14ac:dyDescent="0.25">
      <c r="A244" s="4" t="s">
        <v>21</v>
      </c>
      <c r="B244" s="4" t="s">
        <v>22</v>
      </c>
      <c r="C244" s="4" t="s">
        <v>23</v>
      </c>
      <c r="D244" s="4" t="s">
        <v>24</v>
      </c>
      <c r="E244" s="4" t="s">
        <v>24</v>
      </c>
      <c r="F244" s="4" t="s">
        <v>25</v>
      </c>
      <c r="G244" s="4" t="s">
        <v>25</v>
      </c>
      <c r="H244" s="4" t="s">
        <v>25</v>
      </c>
      <c r="I244" s="5">
        <v>44470</v>
      </c>
      <c r="J244" s="6">
        <v>0</v>
      </c>
      <c r="K244" s="6">
        <v>0</v>
      </c>
      <c r="L244" s="6">
        <v>783.37</v>
      </c>
      <c r="M244" s="6">
        <v>783.37</v>
      </c>
      <c r="N244" s="6">
        <v>783.37</v>
      </c>
      <c r="O244" s="6">
        <v>783.37</v>
      </c>
      <c r="P244" s="6">
        <v>4027</v>
      </c>
      <c r="Q244" s="4" t="s">
        <v>26</v>
      </c>
      <c r="R244" s="4">
        <v>0</v>
      </c>
      <c r="S244" s="6">
        <v>0</v>
      </c>
      <c r="T244" s="6">
        <v>2</v>
      </c>
      <c r="U244" s="6">
        <v>32</v>
      </c>
      <c r="V244" s="6">
        <f>IF(ISERROR(VLOOKUP($S$244,'TAR FIN'!$A$1:$O$85,15,0)),0,VLOOKUP($S$244,'TAR FIN'!$A$1:$O$85,15,0))</f>
        <v>0</v>
      </c>
      <c r="W244" s="6">
        <f>IF(ISERROR(VLOOKUP($T$244,'TAR FIN'!$A$1:$O$85,15,0)),0,VLOOKUP($T$244,'TAR FIN'!$A$1:$O$85,15,0))</f>
        <v>377.01</v>
      </c>
      <c r="X244" s="6">
        <f>IF(ISERROR(VLOOKUP($U$244,'TAR FIN'!$A$1:$O$85,15,0)),0,VLOOKUP($U$244,'TAR FIN'!$A$1:$O$85,15,0))</f>
        <v>141.32</v>
      </c>
      <c r="Y244" s="6"/>
      <c r="Z244" s="6">
        <f ca="1">('TUSD BE'!$AM$20+'TUSD BF'!$AM$20+'TUSD CVA'!$AM$20)*1</f>
        <v>415.67450254064073</v>
      </c>
      <c r="AA244" s="6">
        <f>('TE BE'!$AB$10+'TE BF'!$AB$10+'TE CVA'!$AB$10)*1</f>
        <v>135.80626150990429</v>
      </c>
      <c r="AB244" s="6">
        <f>$K$244*$V$244</f>
        <v>0</v>
      </c>
      <c r="AC244" s="6">
        <f>$M$244*$W$244</f>
        <v>295338.32370000001</v>
      </c>
      <c r="AD244" s="6">
        <f>$O$244*$X$244</f>
        <v>110705.84839999999</v>
      </c>
      <c r="AE244" s="6">
        <f>$K$244*$Y$244</f>
        <v>0</v>
      </c>
      <c r="AF244" s="6">
        <f ca="1">$M$244*$Z$244</f>
        <v>325626.93505526171</v>
      </c>
      <c r="AG244" s="6">
        <f>$O$244*$AA$244</f>
        <v>106386.55107901372</v>
      </c>
    </row>
    <row r="245" spans="1:33" ht="11.25" customHeight="1" x14ac:dyDescent="0.25">
      <c r="A245" s="4" t="s">
        <v>27</v>
      </c>
      <c r="B245" s="4" t="s">
        <v>22</v>
      </c>
      <c r="C245" s="4" t="s">
        <v>23</v>
      </c>
      <c r="D245" s="4" t="s">
        <v>24</v>
      </c>
      <c r="E245" s="4" t="s">
        <v>24</v>
      </c>
      <c r="F245" s="4" t="s">
        <v>25</v>
      </c>
      <c r="G245" s="4" t="s">
        <v>25</v>
      </c>
      <c r="H245" s="4" t="s">
        <v>25</v>
      </c>
      <c r="I245" s="5">
        <v>44470</v>
      </c>
      <c r="J245" s="6">
        <v>0</v>
      </c>
      <c r="K245" s="6">
        <v>0</v>
      </c>
      <c r="L245" s="6">
        <v>-0.27800000000000002</v>
      </c>
      <c r="M245" s="6">
        <v>-0.27800000000000002</v>
      </c>
      <c r="N245" s="6">
        <v>-0.27800000000000002</v>
      </c>
      <c r="O245" s="6">
        <v>-0.27800000000000002</v>
      </c>
      <c r="P245" s="6">
        <v>0</v>
      </c>
      <c r="Q245" s="4" t="s">
        <v>26</v>
      </c>
      <c r="R245" s="4">
        <v>0</v>
      </c>
      <c r="S245" s="6">
        <v>0</v>
      </c>
      <c r="T245" s="6">
        <v>2</v>
      </c>
      <c r="U245" s="6">
        <v>32</v>
      </c>
      <c r="V245" s="6">
        <f>IF(ISERROR(VLOOKUP($S$245,'TAR FIN'!$A$1:$O$85,15,0)),0,VLOOKUP($S$245,'TAR FIN'!$A$1:$O$85,15,0))</f>
        <v>0</v>
      </c>
      <c r="W245" s="6">
        <f>IF(ISERROR(VLOOKUP($T$245,'TAR FIN'!$A$1:$O$85,15,0)),0,VLOOKUP($T$245,'TAR FIN'!$A$1:$O$85,15,0))</f>
        <v>377.01</v>
      </c>
      <c r="X245" s="6">
        <f>IF(ISERROR(VLOOKUP($U$245,'TAR FIN'!$A$1:$O$85,15,0)),0,VLOOKUP($U$245,'TAR FIN'!$A$1:$O$85,15,0))</f>
        <v>141.32</v>
      </c>
      <c r="Y245" s="6"/>
      <c r="Z245" s="6">
        <f ca="1">('TUSD BE'!$AM$20+'TUSD BF'!$AM$20+'TUSD CVA'!$AM$20)*1</f>
        <v>415.67450254064073</v>
      </c>
      <c r="AA245" s="6">
        <f>('TE BE'!$AB$10+'TE BF'!$AB$10+'TE CVA'!$AB$10)*1</f>
        <v>135.80626150990429</v>
      </c>
      <c r="AB245" s="6">
        <f>$K$245*$V$245</f>
        <v>0</v>
      </c>
      <c r="AC245" s="6">
        <f>$M$245*$W$245</f>
        <v>-104.80878000000001</v>
      </c>
      <c r="AD245" s="6">
        <f>$O$245*$X$245</f>
        <v>-39.286960000000001</v>
      </c>
      <c r="AE245" s="6">
        <f>$K$245*$Y$245</f>
        <v>0</v>
      </c>
      <c r="AF245" s="6">
        <f ca="1">$M$245*$Z$245</f>
        <v>-115.55751170629813</v>
      </c>
      <c r="AG245" s="6">
        <f>$O$245*$AA$245</f>
        <v>-37.754140699753393</v>
      </c>
    </row>
    <row r="246" spans="1:33" ht="11.25" customHeight="1" x14ac:dyDescent="0.25">
      <c r="A246" s="4" t="s">
        <v>28</v>
      </c>
      <c r="B246" s="4" t="s">
        <v>22</v>
      </c>
      <c r="C246" s="4" t="s">
        <v>23</v>
      </c>
      <c r="D246" s="4" t="s">
        <v>24</v>
      </c>
      <c r="E246" s="4" t="s">
        <v>24</v>
      </c>
      <c r="F246" s="4" t="s">
        <v>25</v>
      </c>
      <c r="G246" s="4" t="s">
        <v>25</v>
      </c>
      <c r="H246" s="4" t="s">
        <v>25</v>
      </c>
      <c r="I246" s="5">
        <v>44470</v>
      </c>
      <c r="J246" s="6">
        <v>0</v>
      </c>
      <c r="K246" s="6">
        <v>0</v>
      </c>
      <c r="L246" s="6">
        <v>10.542</v>
      </c>
      <c r="M246" s="6">
        <v>10.542</v>
      </c>
      <c r="N246" s="6">
        <v>10.542</v>
      </c>
      <c r="O246" s="6">
        <v>10.542</v>
      </c>
      <c r="P246" s="6">
        <v>84</v>
      </c>
      <c r="Q246" s="4" t="s">
        <v>26</v>
      </c>
      <c r="R246" s="4">
        <v>0</v>
      </c>
      <c r="S246" s="6">
        <v>0</v>
      </c>
      <c r="T246" s="6">
        <v>2</v>
      </c>
      <c r="U246" s="6">
        <v>32</v>
      </c>
      <c r="V246" s="6">
        <f>IF(ISERROR(VLOOKUP($S$246,'TAR FIN'!$A$1:$O$85,15,0)),0,VLOOKUP($S$246,'TAR FIN'!$A$1:$O$85,15,0))</f>
        <v>0</v>
      </c>
      <c r="W246" s="6">
        <f>IF(ISERROR(VLOOKUP($T$246,'TAR FIN'!$A$1:$O$85,15,0)),0,VLOOKUP($T$246,'TAR FIN'!$A$1:$O$85,15,0))</f>
        <v>377.01</v>
      </c>
      <c r="X246" s="6">
        <f>IF(ISERROR(VLOOKUP($U$246,'TAR FIN'!$A$1:$O$85,15,0)),0,VLOOKUP($U$246,'TAR FIN'!$A$1:$O$85,15,0))</f>
        <v>141.32</v>
      </c>
      <c r="Y246" s="6"/>
      <c r="Z246" s="6">
        <f ca="1">('TUSD BE'!$AM$20+'TUSD BF'!$AM$20+'TUSD CVA'!$AM$20)*1</f>
        <v>415.67450254064073</v>
      </c>
      <c r="AA246" s="6">
        <f>('TE BE'!$AB$10+'TE BF'!$AB$10+'TE CVA'!$AB$10)*1</f>
        <v>135.80626150990429</v>
      </c>
      <c r="AB246" s="6">
        <f>$K$246*$V$246</f>
        <v>0</v>
      </c>
      <c r="AC246" s="6">
        <f>$M$246*$W$246</f>
        <v>3974.4394199999997</v>
      </c>
      <c r="AD246" s="6">
        <f>$O$246*$X$246</f>
        <v>1489.7954399999999</v>
      </c>
      <c r="AE246" s="6">
        <f>$K$246*$Y$246</f>
        <v>0</v>
      </c>
      <c r="AF246" s="6">
        <f ca="1">$M$246*$Z$246</f>
        <v>4382.0406057834343</v>
      </c>
      <c r="AG246" s="6">
        <f>$O$246*$AA$246</f>
        <v>1431.669608837411</v>
      </c>
    </row>
    <row r="247" spans="1:33" ht="11.25" customHeight="1" x14ac:dyDescent="0.25">
      <c r="A247" s="4" t="s">
        <v>28</v>
      </c>
      <c r="B247" s="4" t="s">
        <v>22</v>
      </c>
      <c r="C247" s="4" t="s">
        <v>23</v>
      </c>
      <c r="D247" s="4" t="s">
        <v>24</v>
      </c>
      <c r="E247" s="4" t="s">
        <v>24</v>
      </c>
      <c r="F247" s="4" t="s">
        <v>25</v>
      </c>
      <c r="G247" s="4" t="s">
        <v>25</v>
      </c>
      <c r="H247" s="4" t="s">
        <v>25</v>
      </c>
      <c r="I247" s="5">
        <v>44470</v>
      </c>
      <c r="J247" s="6">
        <v>0</v>
      </c>
      <c r="K247" s="6">
        <v>0</v>
      </c>
      <c r="L247" s="6">
        <v>-0.30599999999999999</v>
      </c>
      <c r="M247" s="6">
        <v>-0.30599999999999999</v>
      </c>
      <c r="N247" s="6">
        <v>-0.30599999999999999</v>
      </c>
      <c r="O247" s="6">
        <v>-0.30599999999999999</v>
      </c>
      <c r="P247" s="6">
        <v>2</v>
      </c>
      <c r="Q247" s="4" t="s">
        <v>26</v>
      </c>
      <c r="R247" s="4">
        <v>0</v>
      </c>
      <c r="S247" s="6">
        <v>0</v>
      </c>
      <c r="T247" s="6">
        <v>2</v>
      </c>
      <c r="U247" s="6">
        <v>32</v>
      </c>
      <c r="V247" s="6">
        <f>IF(ISERROR(VLOOKUP($S$247,'TAR FIN'!$A$1:$O$85,15,0)),0,VLOOKUP($S$247,'TAR FIN'!$A$1:$O$85,15,0))</f>
        <v>0</v>
      </c>
      <c r="W247" s="6">
        <f>IF(ISERROR(VLOOKUP($T$247,'TAR FIN'!$A$1:$O$85,15,0)),0,VLOOKUP($T$247,'TAR FIN'!$A$1:$O$85,15,0))</f>
        <v>377.01</v>
      </c>
      <c r="X247" s="6">
        <f>IF(ISERROR(VLOOKUP($U$247,'TAR FIN'!$A$1:$O$85,15,0)),0,VLOOKUP($U$247,'TAR FIN'!$A$1:$O$85,15,0))</f>
        <v>141.32</v>
      </c>
      <c r="Y247" s="6"/>
      <c r="Z247" s="6">
        <f ca="1">('TUSD BE'!$AM$20+'TUSD BF'!$AM$20+'TUSD CVA'!$AM$20)*1</f>
        <v>415.67450254064073</v>
      </c>
      <c r="AA247" s="6">
        <f>('TE BE'!$AB$10+'TE BF'!$AB$10+'TE CVA'!$AB$10)*1</f>
        <v>135.80626150990429</v>
      </c>
      <c r="AB247" s="6">
        <f>$K$247*$V$247</f>
        <v>0</v>
      </c>
      <c r="AC247" s="6">
        <f>$M$247*$W$247</f>
        <v>-115.36506</v>
      </c>
      <c r="AD247" s="6">
        <f>$O$247*$X$247</f>
        <v>-43.243919999999996</v>
      </c>
      <c r="AE247" s="6">
        <f>$K$247*$Y$247</f>
        <v>0</v>
      </c>
      <c r="AF247" s="6">
        <f ca="1">$M$247*$Z$247</f>
        <v>-127.19639777743606</v>
      </c>
      <c r="AG247" s="6">
        <f>$O$247*$AA$247</f>
        <v>-41.556716022030713</v>
      </c>
    </row>
    <row r="248" spans="1:33" ht="11.25" customHeight="1" x14ac:dyDescent="0.25">
      <c r="A248" s="4" t="s">
        <v>21</v>
      </c>
      <c r="B248" s="4" t="s">
        <v>22</v>
      </c>
      <c r="C248" s="4" t="s">
        <v>23</v>
      </c>
      <c r="D248" s="4" t="s">
        <v>24</v>
      </c>
      <c r="E248" s="4" t="s">
        <v>24</v>
      </c>
      <c r="F248" s="4" t="s">
        <v>25</v>
      </c>
      <c r="G248" s="4" t="s">
        <v>25</v>
      </c>
      <c r="H248" s="4" t="s">
        <v>25</v>
      </c>
      <c r="I248" s="5">
        <v>44501</v>
      </c>
      <c r="J248" s="6">
        <v>0</v>
      </c>
      <c r="K248" s="6">
        <v>0</v>
      </c>
      <c r="L248" s="6">
        <v>774.56399999999996</v>
      </c>
      <c r="M248" s="6">
        <v>774.56399999999996</v>
      </c>
      <c r="N248" s="6">
        <v>774.56399999999996</v>
      </c>
      <c r="O248" s="6">
        <v>774.56399999999996</v>
      </c>
      <c r="P248" s="6">
        <v>4048</v>
      </c>
      <c r="Q248" s="4" t="s">
        <v>26</v>
      </c>
      <c r="R248" s="4">
        <v>0</v>
      </c>
      <c r="S248" s="6">
        <v>0</v>
      </c>
      <c r="T248" s="6">
        <v>2</v>
      </c>
      <c r="U248" s="6">
        <v>32</v>
      </c>
      <c r="V248" s="6">
        <f>IF(ISERROR(VLOOKUP($S$248,'TAR FIN'!$A$1:$O$85,15,0)),0,VLOOKUP($S$248,'TAR FIN'!$A$1:$O$85,15,0))</f>
        <v>0</v>
      </c>
      <c r="W248" s="6">
        <f>IF(ISERROR(VLOOKUP($T$248,'TAR FIN'!$A$1:$O$85,15,0)),0,VLOOKUP($T$248,'TAR FIN'!$A$1:$O$85,15,0))</f>
        <v>377.01</v>
      </c>
      <c r="X248" s="6">
        <f>IF(ISERROR(VLOOKUP($U$248,'TAR FIN'!$A$1:$O$85,15,0)),0,VLOOKUP($U$248,'TAR FIN'!$A$1:$O$85,15,0))</f>
        <v>141.32</v>
      </c>
      <c r="Y248" s="6"/>
      <c r="Z248" s="6">
        <f ca="1">('TUSD BE'!$AM$20+'TUSD BF'!$AM$20+'TUSD CVA'!$AM$20)*1</f>
        <v>415.67450254064073</v>
      </c>
      <c r="AA248" s="6">
        <f>('TE BE'!$AB$10+'TE BF'!$AB$10+'TE CVA'!$AB$10)*1</f>
        <v>135.80626150990429</v>
      </c>
      <c r="AB248" s="6">
        <f>$K$248*$V$248</f>
        <v>0</v>
      </c>
      <c r="AC248" s="6">
        <f>$M$248*$W$248</f>
        <v>292018.37364000001</v>
      </c>
      <c r="AD248" s="6">
        <f>$O$248*$X$248</f>
        <v>109461.38447999999</v>
      </c>
      <c r="AE248" s="6">
        <f>$K$248*$Y$248</f>
        <v>0</v>
      </c>
      <c r="AF248" s="6">
        <f ca="1">$M$248*$Z$248</f>
        <v>321966.50538588886</v>
      </c>
      <c r="AG248" s="6">
        <f>$O$248*$AA$248</f>
        <v>105190.6411401575</v>
      </c>
    </row>
    <row r="249" spans="1:33" ht="11.25" customHeight="1" x14ac:dyDescent="0.25">
      <c r="A249" s="4" t="s">
        <v>27</v>
      </c>
      <c r="B249" s="4" t="s">
        <v>22</v>
      </c>
      <c r="C249" s="4" t="s">
        <v>23</v>
      </c>
      <c r="D249" s="4" t="s">
        <v>24</v>
      </c>
      <c r="E249" s="4" t="s">
        <v>24</v>
      </c>
      <c r="F249" s="4" t="s">
        <v>25</v>
      </c>
      <c r="G249" s="4" t="s">
        <v>25</v>
      </c>
      <c r="H249" s="4" t="s">
        <v>25</v>
      </c>
      <c r="I249" s="5">
        <v>44501</v>
      </c>
      <c r="J249" s="6">
        <v>0</v>
      </c>
      <c r="K249" s="6">
        <v>0</v>
      </c>
      <c r="L249" s="6">
        <v>-0.14099999999999999</v>
      </c>
      <c r="M249" s="6">
        <v>-0.14099999999999999</v>
      </c>
      <c r="N249" s="6">
        <v>-0.14099999999999999</v>
      </c>
      <c r="O249" s="6">
        <v>-0.14099999999999999</v>
      </c>
      <c r="P249" s="6">
        <v>0</v>
      </c>
      <c r="Q249" s="4" t="s">
        <v>26</v>
      </c>
      <c r="R249" s="4">
        <v>0</v>
      </c>
      <c r="S249" s="6">
        <v>0</v>
      </c>
      <c r="T249" s="6">
        <v>2</v>
      </c>
      <c r="U249" s="6">
        <v>32</v>
      </c>
      <c r="V249" s="6">
        <f>IF(ISERROR(VLOOKUP($S$249,'TAR FIN'!$A$1:$O$85,15,0)),0,VLOOKUP($S$249,'TAR FIN'!$A$1:$O$85,15,0))</f>
        <v>0</v>
      </c>
      <c r="W249" s="6">
        <f>IF(ISERROR(VLOOKUP($T$249,'TAR FIN'!$A$1:$O$85,15,0)),0,VLOOKUP($T$249,'TAR FIN'!$A$1:$O$85,15,0))</f>
        <v>377.01</v>
      </c>
      <c r="X249" s="6">
        <f>IF(ISERROR(VLOOKUP($U$249,'TAR FIN'!$A$1:$O$85,15,0)),0,VLOOKUP($U$249,'TAR FIN'!$A$1:$O$85,15,0))</f>
        <v>141.32</v>
      </c>
      <c r="Y249" s="6"/>
      <c r="Z249" s="6">
        <f ca="1">('TUSD BE'!$AM$20+'TUSD BF'!$AM$20+'TUSD CVA'!$AM$20)*1</f>
        <v>415.67450254064073</v>
      </c>
      <c r="AA249" s="6">
        <f>('TE BE'!$AB$10+'TE BF'!$AB$10+'TE CVA'!$AB$10)*1</f>
        <v>135.80626150990429</v>
      </c>
      <c r="AB249" s="6">
        <f>$K$249*$V$249</f>
        <v>0</v>
      </c>
      <c r="AC249" s="6">
        <f>$M$249*$W$249</f>
        <v>-53.158409999999996</v>
      </c>
      <c r="AD249" s="6">
        <f>$O$249*$X$249</f>
        <v>-19.926119999999997</v>
      </c>
      <c r="AE249" s="6">
        <f>$K$249*$Y$249</f>
        <v>0</v>
      </c>
      <c r="AF249" s="6">
        <f ca="1">$M$249*$Z$249</f>
        <v>-58.610104858230336</v>
      </c>
      <c r="AG249" s="6">
        <f>$O$249*$AA$249</f>
        <v>-19.148682872896504</v>
      </c>
    </row>
    <row r="250" spans="1:33" ht="11.25" customHeight="1" x14ac:dyDescent="0.25">
      <c r="A250" s="4" t="s">
        <v>28</v>
      </c>
      <c r="B250" s="4" t="s">
        <v>22</v>
      </c>
      <c r="C250" s="4" t="s">
        <v>23</v>
      </c>
      <c r="D250" s="4" t="s">
        <v>24</v>
      </c>
      <c r="E250" s="4" t="s">
        <v>24</v>
      </c>
      <c r="F250" s="4" t="s">
        <v>25</v>
      </c>
      <c r="G250" s="4" t="s">
        <v>25</v>
      </c>
      <c r="H250" s="4" t="s">
        <v>25</v>
      </c>
      <c r="I250" s="5">
        <v>44501</v>
      </c>
      <c r="J250" s="6">
        <v>0</v>
      </c>
      <c r="K250" s="6">
        <v>0</v>
      </c>
      <c r="L250" s="6">
        <v>7.3639999999999999</v>
      </c>
      <c r="M250" s="6">
        <v>7.3639999999999999</v>
      </c>
      <c r="N250" s="6">
        <v>7.3639999999999999</v>
      </c>
      <c r="O250" s="6">
        <v>7.3639999999999999</v>
      </c>
      <c r="P250" s="6">
        <v>95</v>
      </c>
      <c r="Q250" s="4" t="s">
        <v>26</v>
      </c>
      <c r="R250" s="4">
        <v>0</v>
      </c>
      <c r="S250" s="6">
        <v>0</v>
      </c>
      <c r="T250" s="6">
        <v>2</v>
      </c>
      <c r="U250" s="6">
        <v>32</v>
      </c>
      <c r="V250" s="6">
        <f>IF(ISERROR(VLOOKUP($S$250,'TAR FIN'!$A$1:$O$85,15,0)),0,VLOOKUP($S$250,'TAR FIN'!$A$1:$O$85,15,0))</f>
        <v>0</v>
      </c>
      <c r="W250" s="6">
        <f>IF(ISERROR(VLOOKUP($T$250,'TAR FIN'!$A$1:$O$85,15,0)),0,VLOOKUP($T$250,'TAR FIN'!$A$1:$O$85,15,0))</f>
        <v>377.01</v>
      </c>
      <c r="X250" s="6">
        <f>IF(ISERROR(VLOOKUP($U$250,'TAR FIN'!$A$1:$O$85,15,0)),0,VLOOKUP($U$250,'TAR FIN'!$A$1:$O$85,15,0))</f>
        <v>141.32</v>
      </c>
      <c r="Y250" s="6"/>
      <c r="Z250" s="6">
        <f ca="1">('TUSD BE'!$AM$20+'TUSD BF'!$AM$20+'TUSD CVA'!$AM$20)*1</f>
        <v>415.67450254064073</v>
      </c>
      <c r="AA250" s="6">
        <f>('TE BE'!$AB$10+'TE BF'!$AB$10+'TE CVA'!$AB$10)*1</f>
        <v>135.80626150990429</v>
      </c>
      <c r="AB250" s="6">
        <f>$K$250*$V$250</f>
        <v>0</v>
      </c>
      <c r="AC250" s="6">
        <f>$M$250*$W$250</f>
        <v>2776.3016399999997</v>
      </c>
      <c r="AD250" s="6">
        <f>$O$250*$X$250</f>
        <v>1040.68048</v>
      </c>
      <c r="AE250" s="6">
        <f>$K$250*$Y$250</f>
        <v>0</v>
      </c>
      <c r="AF250" s="6">
        <f ca="1">$M$250*$Z$250</f>
        <v>3061.0270367092785</v>
      </c>
      <c r="AG250" s="6">
        <f>$O$250*$AA$250</f>
        <v>1000.0773097589351</v>
      </c>
    </row>
    <row r="251" spans="1:33" ht="11.25" customHeight="1" x14ac:dyDescent="0.25">
      <c r="A251" s="4" t="s">
        <v>21</v>
      </c>
      <c r="B251" s="4" t="s">
        <v>22</v>
      </c>
      <c r="C251" s="4" t="s">
        <v>23</v>
      </c>
      <c r="D251" s="4" t="s">
        <v>24</v>
      </c>
      <c r="E251" s="4" t="s">
        <v>24</v>
      </c>
      <c r="F251" s="4" t="s">
        <v>25</v>
      </c>
      <c r="G251" s="4" t="s">
        <v>25</v>
      </c>
      <c r="H251" s="4" t="s">
        <v>25</v>
      </c>
      <c r="I251" s="5">
        <v>44531</v>
      </c>
      <c r="J251" s="6">
        <v>0</v>
      </c>
      <c r="K251" s="6">
        <v>0</v>
      </c>
      <c r="L251" s="6">
        <v>1105.962</v>
      </c>
      <c r="M251" s="6">
        <v>1105.962</v>
      </c>
      <c r="N251" s="6">
        <v>1105.962</v>
      </c>
      <c r="O251" s="6">
        <v>1105.962</v>
      </c>
      <c r="P251" s="6">
        <v>4950</v>
      </c>
      <c r="Q251" s="4" t="s">
        <v>26</v>
      </c>
      <c r="R251" s="4">
        <v>0</v>
      </c>
      <c r="S251" s="6">
        <v>0</v>
      </c>
      <c r="T251" s="6">
        <v>2</v>
      </c>
      <c r="U251" s="6">
        <v>32</v>
      </c>
      <c r="V251" s="6">
        <f>IF(ISERROR(VLOOKUP($S$251,'TAR FIN'!$A$1:$O$85,15,0)),0,VLOOKUP($S$251,'TAR FIN'!$A$1:$O$85,15,0))</f>
        <v>0</v>
      </c>
      <c r="W251" s="6">
        <f>IF(ISERROR(VLOOKUP($T$251,'TAR FIN'!$A$1:$O$85,15,0)),0,VLOOKUP($T$251,'TAR FIN'!$A$1:$O$85,15,0))</f>
        <v>377.01</v>
      </c>
      <c r="X251" s="6">
        <f>IF(ISERROR(VLOOKUP($U$251,'TAR FIN'!$A$1:$O$85,15,0)),0,VLOOKUP($U$251,'TAR FIN'!$A$1:$O$85,15,0))</f>
        <v>141.32</v>
      </c>
      <c r="Y251" s="6"/>
      <c r="Z251" s="6">
        <f ca="1">('TUSD BE'!$AM$20+'TUSD BF'!$AM$20+'TUSD CVA'!$AM$20)*1</f>
        <v>415.67450254064073</v>
      </c>
      <c r="AA251" s="6">
        <f>('TE BE'!$AB$10+'TE BF'!$AB$10+'TE CVA'!$AB$10)*1</f>
        <v>135.80626150990429</v>
      </c>
      <c r="AB251" s="6">
        <f>$K$251*$V$251</f>
        <v>0</v>
      </c>
      <c r="AC251" s="6">
        <f>$M$251*$W$251</f>
        <v>416958.73362000001</v>
      </c>
      <c r="AD251" s="6">
        <f>$O$251*$X$251</f>
        <v>156294.54983999999</v>
      </c>
      <c r="AE251" s="6">
        <f>$K$251*$Y$251</f>
        <v>0</v>
      </c>
      <c r="AF251" s="6">
        <f ca="1">$M$251*$Z$251</f>
        <v>459720.20417885209</v>
      </c>
      <c r="AG251" s="6">
        <f>$O$251*$AA$251</f>
        <v>150196.56459201677</v>
      </c>
    </row>
    <row r="252" spans="1:33" ht="11.25" customHeight="1" x14ac:dyDescent="0.25">
      <c r="A252" s="4" t="s">
        <v>27</v>
      </c>
      <c r="B252" s="4" t="s">
        <v>22</v>
      </c>
      <c r="C252" s="4" t="s">
        <v>23</v>
      </c>
      <c r="D252" s="4" t="s">
        <v>24</v>
      </c>
      <c r="E252" s="4" t="s">
        <v>24</v>
      </c>
      <c r="F252" s="4" t="s">
        <v>25</v>
      </c>
      <c r="G252" s="4" t="s">
        <v>25</v>
      </c>
      <c r="H252" s="4" t="s">
        <v>25</v>
      </c>
      <c r="I252" s="5">
        <v>44531</v>
      </c>
      <c r="J252" s="6">
        <v>0</v>
      </c>
      <c r="K252" s="6">
        <v>0</v>
      </c>
      <c r="L252" s="6">
        <v>-29.439</v>
      </c>
      <c r="M252" s="6">
        <v>-29.439</v>
      </c>
      <c r="N252" s="6">
        <v>-29.439</v>
      </c>
      <c r="O252" s="6">
        <v>-29.439</v>
      </c>
      <c r="P252" s="6">
        <v>0</v>
      </c>
      <c r="Q252" s="4" t="s">
        <v>26</v>
      </c>
      <c r="R252" s="4">
        <v>0</v>
      </c>
      <c r="S252" s="6">
        <v>0</v>
      </c>
      <c r="T252" s="6">
        <v>2</v>
      </c>
      <c r="U252" s="6">
        <v>32</v>
      </c>
      <c r="V252" s="6">
        <f>IF(ISERROR(VLOOKUP($S$252,'TAR FIN'!$A$1:$O$85,15,0)),0,VLOOKUP($S$252,'TAR FIN'!$A$1:$O$85,15,0))</f>
        <v>0</v>
      </c>
      <c r="W252" s="6">
        <f>IF(ISERROR(VLOOKUP($T$252,'TAR FIN'!$A$1:$O$85,15,0)),0,VLOOKUP($T$252,'TAR FIN'!$A$1:$O$85,15,0))</f>
        <v>377.01</v>
      </c>
      <c r="X252" s="6">
        <f>IF(ISERROR(VLOOKUP($U$252,'TAR FIN'!$A$1:$O$85,15,0)),0,VLOOKUP($U$252,'TAR FIN'!$A$1:$O$85,15,0))</f>
        <v>141.32</v>
      </c>
      <c r="Y252" s="6"/>
      <c r="Z252" s="6">
        <f ca="1">('TUSD BE'!$AM$20+'TUSD BF'!$AM$20+'TUSD CVA'!$AM$20)*1</f>
        <v>415.67450254064073</v>
      </c>
      <c r="AA252" s="6">
        <f>('TE BE'!$AB$10+'TE BF'!$AB$10+'TE CVA'!$AB$10)*1</f>
        <v>135.80626150990429</v>
      </c>
      <c r="AB252" s="6">
        <f>$K$252*$V$252</f>
        <v>0</v>
      </c>
      <c r="AC252" s="6">
        <f>$M$252*$W$252</f>
        <v>-11098.79739</v>
      </c>
      <c r="AD252" s="6">
        <f>$O$252*$X$252</f>
        <v>-4160.3194800000001</v>
      </c>
      <c r="AE252" s="6">
        <f>$K$252*$Y$252</f>
        <v>0</v>
      </c>
      <c r="AF252" s="6">
        <f ca="1">$M$252*$Z$252</f>
        <v>-12237.041680293922</v>
      </c>
      <c r="AG252" s="6">
        <f>$O$252*$AA$252</f>
        <v>-3998.0005325900725</v>
      </c>
    </row>
    <row r="253" spans="1:33" ht="11.25" customHeight="1" x14ac:dyDescent="0.25">
      <c r="A253" s="4" t="s">
        <v>28</v>
      </c>
      <c r="B253" s="4" t="s">
        <v>22</v>
      </c>
      <c r="C253" s="4" t="s">
        <v>23</v>
      </c>
      <c r="D253" s="4" t="s">
        <v>24</v>
      </c>
      <c r="E253" s="4" t="s">
        <v>24</v>
      </c>
      <c r="F253" s="4" t="s">
        <v>25</v>
      </c>
      <c r="G253" s="4" t="s">
        <v>25</v>
      </c>
      <c r="H253" s="4" t="s">
        <v>25</v>
      </c>
      <c r="I253" s="5">
        <v>44531</v>
      </c>
      <c r="J253" s="6">
        <v>0</v>
      </c>
      <c r="K253" s="6">
        <v>0</v>
      </c>
      <c r="L253" s="6">
        <v>9.93</v>
      </c>
      <c r="M253" s="6">
        <v>9.93</v>
      </c>
      <c r="N253" s="6">
        <v>9.93</v>
      </c>
      <c r="O253" s="6">
        <v>9.93</v>
      </c>
      <c r="P253" s="6">
        <v>105</v>
      </c>
      <c r="Q253" s="4" t="s">
        <v>26</v>
      </c>
      <c r="R253" s="4">
        <v>0</v>
      </c>
      <c r="S253" s="6">
        <v>0</v>
      </c>
      <c r="T253" s="6">
        <v>2</v>
      </c>
      <c r="U253" s="6">
        <v>32</v>
      </c>
      <c r="V253" s="6">
        <f>IF(ISERROR(VLOOKUP($S$253,'TAR FIN'!$A$1:$O$85,15,0)),0,VLOOKUP($S$253,'TAR FIN'!$A$1:$O$85,15,0))</f>
        <v>0</v>
      </c>
      <c r="W253" s="6">
        <f>IF(ISERROR(VLOOKUP($T$253,'TAR FIN'!$A$1:$O$85,15,0)),0,VLOOKUP($T$253,'TAR FIN'!$A$1:$O$85,15,0))</f>
        <v>377.01</v>
      </c>
      <c r="X253" s="6">
        <f>IF(ISERROR(VLOOKUP($U$253,'TAR FIN'!$A$1:$O$85,15,0)),0,VLOOKUP($U$253,'TAR FIN'!$A$1:$O$85,15,0))</f>
        <v>141.32</v>
      </c>
      <c r="Y253" s="6"/>
      <c r="Z253" s="6">
        <f ca="1">('TUSD BE'!$AM$20+'TUSD BF'!$AM$20+'TUSD CVA'!$AM$20)*1</f>
        <v>415.67450254064073</v>
      </c>
      <c r="AA253" s="6">
        <f>('TE BE'!$AB$10+'TE BF'!$AB$10+'TE CVA'!$AB$10)*1</f>
        <v>135.80626150990429</v>
      </c>
      <c r="AB253" s="6">
        <f>$K$253*$V$253</f>
        <v>0</v>
      </c>
      <c r="AC253" s="6">
        <f>$M$253*$W$253</f>
        <v>3743.7093</v>
      </c>
      <c r="AD253" s="6">
        <f>$O$253*$X$253</f>
        <v>1403.3075999999999</v>
      </c>
      <c r="AE253" s="6">
        <f>$K$253*$Y$253</f>
        <v>0</v>
      </c>
      <c r="AF253" s="6">
        <f ca="1">$M$253*$Z$253</f>
        <v>4127.6478102285628</v>
      </c>
      <c r="AG253" s="6">
        <f>$O$253*$AA$253</f>
        <v>1348.5561767933496</v>
      </c>
    </row>
    <row r="254" spans="1:33" ht="11.25" customHeight="1" x14ac:dyDescent="0.25">
      <c r="A254" s="4" t="s">
        <v>21</v>
      </c>
      <c r="B254" s="4" t="s">
        <v>22</v>
      </c>
      <c r="C254" s="4" t="s">
        <v>23</v>
      </c>
      <c r="D254" s="4" t="s">
        <v>24</v>
      </c>
      <c r="E254" s="4" t="s">
        <v>24</v>
      </c>
      <c r="F254" s="4" t="s">
        <v>25</v>
      </c>
      <c r="G254" s="4" t="s">
        <v>25</v>
      </c>
      <c r="H254" s="4" t="s">
        <v>25</v>
      </c>
      <c r="I254" s="5">
        <v>44562</v>
      </c>
      <c r="J254" s="6">
        <v>0</v>
      </c>
      <c r="K254" s="6">
        <v>0</v>
      </c>
      <c r="L254" s="6">
        <v>1185.921</v>
      </c>
      <c r="M254" s="6">
        <v>1185.921</v>
      </c>
      <c r="N254" s="6">
        <v>1185.921</v>
      </c>
      <c r="O254" s="6">
        <v>1185.921</v>
      </c>
      <c r="P254" s="6">
        <v>4910</v>
      </c>
      <c r="Q254" s="4" t="s">
        <v>26</v>
      </c>
      <c r="R254" s="4">
        <v>0</v>
      </c>
      <c r="S254" s="6">
        <v>0</v>
      </c>
      <c r="T254" s="6">
        <v>2</v>
      </c>
      <c r="U254" s="6">
        <v>32</v>
      </c>
      <c r="V254" s="6">
        <f>IF(ISERROR(VLOOKUP($S$254,'TAR FIN'!$A$1:$O$85,15,0)),0,VLOOKUP($S$254,'TAR FIN'!$A$1:$O$85,15,0))</f>
        <v>0</v>
      </c>
      <c r="W254" s="6">
        <f>IF(ISERROR(VLOOKUP($T$254,'TAR FIN'!$A$1:$O$85,15,0)),0,VLOOKUP($T$254,'TAR FIN'!$A$1:$O$85,15,0))</f>
        <v>377.01</v>
      </c>
      <c r="X254" s="6">
        <f>IF(ISERROR(VLOOKUP($U$254,'TAR FIN'!$A$1:$O$85,15,0)),0,VLOOKUP($U$254,'TAR FIN'!$A$1:$O$85,15,0))</f>
        <v>141.32</v>
      </c>
      <c r="Y254" s="6"/>
      <c r="Z254" s="6">
        <f ca="1">('TUSD BE'!$AM$20+'TUSD BF'!$AM$20+'TUSD CVA'!$AM$20)*1</f>
        <v>415.67450254064073</v>
      </c>
      <c r="AA254" s="6">
        <f>('TE BE'!$AB$10+'TE BF'!$AB$10+'TE CVA'!$AB$10)*1</f>
        <v>135.80626150990429</v>
      </c>
      <c r="AB254" s="6">
        <f>$K$254*$V$254</f>
        <v>0</v>
      </c>
      <c r="AC254" s="6">
        <f>$M$254*$W$254</f>
        <v>447104.07621000003</v>
      </c>
      <c r="AD254" s="6">
        <f>$O$254*$X$254</f>
        <v>167594.35571999999</v>
      </c>
      <c r="AE254" s="6">
        <f>$K$254*$Y$254</f>
        <v>0</v>
      </c>
      <c r="AF254" s="6">
        <f ca="1">$M$254*$Z$254</f>
        <v>492957.12172749924</v>
      </c>
      <c r="AG254" s="6">
        <f>$O$254*$AA$254</f>
        <v>161055.49745608721</v>
      </c>
    </row>
    <row r="255" spans="1:33" ht="11.25" customHeight="1" x14ac:dyDescent="0.25">
      <c r="A255" s="4" t="s">
        <v>27</v>
      </c>
      <c r="B255" s="4" t="s">
        <v>22</v>
      </c>
      <c r="C255" s="4" t="s">
        <v>23</v>
      </c>
      <c r="D255" s="4" t="s">
        <v>24</v>
      </c>
      <c r="E255" s="4" t="s">
        <v>24</v>
      </c>
      <c r="F255" s="4" t="s">
        <v>25</v>
      </c>
      <c r="G255" s="4" t="s">
        <v>25</v>
      </c>
      <c r="H255" s="4" t="s">
        <v>25</v>
      </c>
      <c r="I255" s="5">
        <v>44562</v>
      </c>
      <c r="J255" s="6">
        <v>0</v>
      </c>
      <c r="K255" s="6">
        <v>0</v>
      </c>
      <c r="L255" s="6">
        <v>-1</v>
      </c>
      <c r="M255" s="6">
        <v>-1</v>
      </c>
      <c r="N255" s="6">
        <v>-1</v>
      </c>
      <c r="O255" s="6">
        <v>-1</v>
      </c>
      <c r="P255" s="6">
        <v>0</v>
      </c>
      <c r="Q255" s="4" t="s">
        <v>26</v>
      </c>
      <c r="R255" s="4">
        <v>0</v>
      </c>
      <c r="S255" s="6">
        <v>0</v>
      </c>
      <c r="T255" s="6">
        <v>2</v>
      </c>
      <c r="U255" s="6">
        <v>32</v>
      </c>
      <c r="V255" s="6">
        <f>IF(ISERROR(VLOOKUP($S$255,'TAR FIN'!$A$1:$O$85,15,0)),0,VLOOKUP($S$255,'TAR FIN'!$A$1:$O$85,15,0))</f>
        <v>0</v>
      </c>
      <c r="W255" s="6">
        <f>IF(ISERROR(VLOOKUP($T$255,'TAR FIN'!$A$1:$O$85,15,0)),0,VLOOKUP($T$255,'TAR FIN'!$A$1:$O$85,15,0))</f>
        <v>377.01</v>
      </c>
      <c r="X255" s="6">
        <f>IF(ISERROR(VLOOKUP($U$255,'TAR FIN'!$A$1:$O$85,15,0)),0,VLOOKUP($U$255,'TAR FIN'!$A$1:$O$85,15,0))</f>
        <v>141.32</v>
      </c>
      <c r="Y255" s="6"/>
      <c r="Z255" s="6">
        <f ca="1">('TUSD BE'!$AM$20+'TUSD BF'!$AM$20+'TUSD CVA'!$AM$20)*1</f>
        <v>415.67450254064073</v>
      </c>
      <c r="AA255" s="6">
        <f>('TE BE'!$AB$10+'TE BF'!$AB$10+'TE CVA'!$AB$10)*1</f>
        <v>135.80626150990429</v>
      </c>
      <c r="AB255" s="6">
        <f>$K$255*$V$255</f>
        <v>0</v>
      </c>
      <c r="AC255" s="6">
        <f>$M$255*$W$255</f>
        <v>-377.01</v>
      </c>
      <c r="AD255" s="6">
        <f>$O$255*$X$255</f>
        <v>-141.32</v>
      </c>
      <c r="AE255" s="6">
        <f>$K$255*$Y$255</f>
        <v>0</v>
      </c>
      <c r="AF255" s="6">
        <f ca="1">$M$255*$Z$255</f>
        <v>-415.67450254064073</v>
      </c>
      <c r="AG255" s="6">
        <f>$O$255*$AA$255</f>
        <v>-135.80626150990429</v>
      </c>
    </row>
    <row r="256" spans="1:33" ht="11.25" customHeight="1" x14ac:dyDescent="0.25">
      <c r="A256" s="4" t="s">
        <v>28</v>
      </c>
      <c r="B256" s="4" t="s">
        <v>22</v>
      </c>
      <c r="C256" s="4" t="s">
        <v>23</v>
      </c>
      <c r="D256" s="4" t="s">
        <v>24</v>
      </c>
      <c r="E256" s="4" t="s">
        <v>24</v>
      </c>
      <c r="F256" s="4" t="s">
        <v>25</v>
      </c>
      <c r="G256" s="4" t="s">
        <v>25</v>
      </c>
      <c r="H256" s="4" t="s">
        <v>25</v>
      </c>
      <c r="I256" s="5">
        <v>44562</v>
      </c>
      <c r="J256" s="6">
        <v>0</v>
      </c>
      <c r="K256" s="6">
        <v>0</v>
      </c>
      <c r="L256" s="6">
        <v>15.298</v>
      </c>
      <c r="M256" s="6">
        <v>15.298</v>
      </c>
      <c r="N256" s="6">
        <v>15.298</v>
      </c>
      <c r="O256" s="6">
        <v>15.298</v>
      </c>
      <c r="P256" s="6">
        <v>109</v>
      </c>
      <c r="Q256" s="4" t="s">
        <v>26</v>
      </c>
      <c r="R256" s="4">
        <v>0</v>
      </c>
      <c r="S256" s="6">
        <v>0</v>
      </c>
      <c r="T256" s="6">
        <v>2</v>
      </c>
      <c r="U256" s="6">
        <v>32</v>
      </c>
      <c r="V256" s="6">
        <f>IF(ISERROR(VLOOKUP($S$256,'TAR FIN'!$A$1:$O$85,15,0)),0,VLOOKUP($S$256,'TAR FIN'!$A$1:$O$85,15,0))</f>
        <v>0</v>
      </c>
      <c r="W256" s="6">
        <f>IF(ISERROR(VLOOKUP($T$256,'TAR FIN'!$A$1:$O$85,15,0)),0,VLOOKUP($T$256,'TAR FIN'!$A$1:$O$85,15,0))</f>
        <v>377.01</v>
      </c>
      <c r="X256" s="6">
        <f>IF(ISERROR(VLOOKUP($U$256,'TAR FIN'!$A$1:$O$85,15,0)),0,VLOOKUP($U$256,'TAR FIN'!$A$1:$O$85,15,0))</f>
        <v>141.32</v>
      </c>
      <c r="Y256" s="6"/>
      <c r="Z256" s="6">
        <f ca="1">('TUSD BE'!$AM$20+'TUSD BF'!$AM$20+'TUSD CVA'!$AM$20)*1</f>
        <v>415.67450254064073</v>
      </c>
      <c r="AA256" s="6">
        <f>('TE BE'!$AB$10+'TE BF'!$AB$10+'TE CVA'!$AB$10)*1</f>
        <v>135.80626150990429</v>
      </c>
      <c r="AB256" s="6">
        <f>$K$256*$V$256</f>
        <v>0</v>
      </c>
      <c r="AC256" s="6">
        <f>$M$256*$W$256</f>
        <v>5767.4989800000003</v>
      </c>
      <c r="AD256" s="6">
        <f>$O$256*$X$256</f>
        <v>2161.91336</v>
      </c>
      <c r="AE256" s="6">
        <f>$K$256*$Y$256</f>
        <v>0</v>
      </c>
      <c r="AF256" s="6">
        <f ca="1">$M$256*$Z$256</f>
        <v>6358.988539866722</v>
      </c>
      <c r="AG256" s="6">
        <f>$O$256*$AA$256</f>
        <v>2077.5641885785158</v>
      </c>
    </row>
    <row r="257" spans="1:33" ht="11.25" customHeight="1" x14ac:dyDescent="0.25">
      <c r="A257" s="4" t="s">
        <v>21</v>
      </c>
      <c r="B257" s="4" t="s">
        <v>22</v>
      </c>
      <c r="C257" s="4" t="s">
        <v>23</v>
      </c>
      <c r="D257" s="4" t="s">
        <v>24</v>
      </c>
      <c r="E257" s="4" t="s">
        <v>24</v>
      </c>
      <c r="F257" s="4" t="s">
        <v>25</v>
      </c>
      <c r="G257" s="4" t="s">
        <v>25</v>
      </c>
      <c r="H257" s="4" t="s">
        <v>25</v>
      </c>
      <c r="I257" s="5">
        <v>44593</v>
      </c>
      <c r="J257" s="6">
        <v>0</v>
      </c>
      <c r="K257" s="6">
        <v>0</v>
      </c>
      <c r="L257" s="6">
        <v>1162.933</v>
      </c>
      <c r="M257" s="6">
        <v>1162.933</v>
      </c>
      <c r="N257" s="6">
        <v>1162.933</v>
      </c>
      <c r="O257" s="6">
        <v>1162.933</v>
      </c>
      <c r="P257" s="6">
        <v>4859</v>
      </c>
      <c r="Q257" s="4" t="s">
        <v>26</v>
      </c>
      <c r="R257" s="4">
        <v>0</v>
      </c>
      <c r="S257" s="6">
        <v>0</v>
      </c>
      <c r="T257" s="6">
        <v>2</v>
      </c>
      <c r="U257" s="6">
        <v>32</v>
      </c>
      <c r="V257" s="6">
        <f>IF(ISERROR(VLOOKUP($S$257,'TAR FIN'!$A$1:$O$85,15,0)),0,VLOOKUP($S$257,'TAR FIN'!$A$1:$O$85,15,0))</f>
        <v>0</v>
      </c>
      <c r="W257" s="6">
        <f>IF(ISERROR(VLOOKUP($T$257,'TAR FIN'!$A$1:$O$85,15,0)),0,VLOOKUP($T$257,'TAR FIN'!$A$1:$O$85,15,0))</f>
        <v>377.01</v>
      </c>
      <c r="X257" s="6">
        <f>IF(ISERROR(VLOOKUP($U$257,'TAR FIN'!$A$1:$O$85,15,0)),0,VLOOKUP($U$257,'TAR FIN'!$A$1:$O$85,15,0))</f>
        <v>141.32</v>
      </c>
      <c r="Y257" s="6"/>
      <c r="Z257" s="6">
        <f ca="1">('TUSD BE'!$AM$20+'TUSD BF'!$AM$20+'TUSD CVA'!$AM$20)*1</f>
        <v>415.67450254064073</v>
      </c>
      <c r="AA257" s="6">
        <f>('TE BE'!$AB$10+'TE BF'!$AB$10+'TE CVA'!$AB$10)*1</f>
        <v>135.80626150990429</v>
      </c>
      <c r="AB257" s="6">
        <f>$K$257*$V$257</f>
        <v>0</v>
      </c>
      <c r="AC257" s="6">
        <f>$M$257*$W$257</f>
        <v>438437.37033000001</v>
      </c>
      <c r="AD257" s="6">
        <f>$O$257*$X$257</f>
        <v>164345.69155999998</v>
      </c>
      <c r="AE257" s="6">
        <f>$K$257*$Y$257</f>
        <v>0</v>
      </c>
      <c r="AF257" s="6">
        <f ca="1">$M$257*$Z$257</f>
        <v>483401.59626309492</v>
      </c>
      <c r="AG257" s="6">
        <f>$O$257*$AA$257</f>
        <v>157933.58311649752</v>
      </c>
    </row>
    <row r="258" spans="1:33" ht="11.25" customHeight="1" x14ac:dyDescent="0.25">
      <c r="A258" s="4" t="s">
        <v>27</v>
      </c>
      <c r="B258" s="4" t="s">
        <v>22</v>
      </c>
      <c r="C258" s="4" t="s">
        <v>23</v>
      </c>
      <c r="D258" s="4" t="s">
        <v>24</v>
      </c>
      <c r="E258" s="4" t="s">
        <v>24</v>
      </c>
      <c r="F258" s="4" t="s">
        <v>25</v>
      </c>
      <c r="G258" s="4" t="s">
        <v>25</v>
      </c>
      <c r="H258" s="4" t="s">
        <v>25</v>
      </c>
      <c r="I258" s="5">
        <v>44593</v>
      </c>
      <c r="J258" s="6">
        <v>0</v>
      </c>
      <c r="K258" s="6">
        <v>0</v>
      </c>
      <c r="L258" s="6">
        <v>-2.286</v>
      </c>
      <c r="M258" s="6">
        <v>-2.286</v>
      </c>
      <c r="N258" s="6">
        <v>-2.286</v>
      </c>
      <c r="O258" s="6">
        <v>-2.286</v>
      </c>
      <c r="P258" s="6">
        <v>0</v>
      </c>
      <c r="Q258" s="4" t="s">
        <v>26</v>
      </c>
      <c r="R258" s="4">
        <v>0</v>
      </c>
      <c r="S258" s="6">
        <v>0</v>
      </c>
      <c r="T258" s="6">
        <v>2</v>
      </c>
      <c r="U258" s="6">
        <v>32</v>
      </c>
      <c r="V258" s="6">
        <f>IF(ISERROR(VLOOKUP($S$258,'TAR FIN'!$A$1:$O$85,15,0)),0,VLOOKUP($S$258,'TAR FIN'!$A$1:$O$85,15,0))</f>
        <v>0</v>
      </c>
      <c r="W258" s="6">
        <f>IF(ISERROR(VLOOKUP($T$258,'TAR FIN'!$A$1:$O$85,15,0)),0,VLOOKUP($T$258,'TAR FIN'!$A$1:$O$85,15,0))</f>
        <v>377.01</v>
      </c>
      <c r="X258" s="6">
        <f>IF(ISERROR(VLOOKUP($U$258,'TAR FIN'!$A$1:$O$85,15,0)),0,VLOOKUP($U$258,'TAR FIN'!$A$1:$O$85,15,0))</f>
        <v>141.32</v>
      </c>
      <c r="Y258" s="6"/>
      <c r="Z258" s="6">
        <f ca="1">('TUSD BE'!$AM$20+'TUSD BF'!$AM$20+'TUSD CVA'!$AM$20)*1</f>
        <v>415.67450254064073</v>
      </c>
      <c r="AA258" s="6">
        <f>('TE BE'!$AB$10+'TE BF'!$AB$10+'TE CVA'!$AB$10)*1</f>
        <v>135.80626150990429</v>
      </c>
      <c r="AB258" s="6">
        <f>$K$258*$V$258</f>
        <v>0</v>
      </c>
      <c r="AC258" s="6">
        <f>$M$258*$W$258</f>
        <v>-861.84486000000004</v>
      </c>
      <c r="AD258" s="6">
        <f>$O$258*$X$258</f>
        <v>-323.05752000000001</v>
      </c>
      <c r="AE258" s="6">
        <f>$K$258*$Y$258</f>
        <v>0</v>
      </c>
      <c r="AF258" s="6">
        <f ca="1">$M$258*$Z$258</f>
        <v>-950.23191280790468</v>
      </c>
      <c r="AG258" s="6">
        <f>$O$258*$AA$258</f>
        <v>-310.45311381164123</v>
      </c>
    </row>
    <row r="259" spans="1:33" ht="11.25" customHeight="1" x14ac:dyDescent="0.25">
      <c r="A259" s="4" t="s">
        <v>28</v>
      </c>
      <c r="B259" s="4" t="s">
        <v>22</v>
      </c>
      <c r="C259" s="4" t="s">
        <v>23</v>
      </c>
      <c r="D259" s="4" t="s">
        <v>24</v>
      </c>
      <c r="E259" s="4" t="s">
        <v>24</v>
      </c>
      <c r="F259" s="4" t="s">
        <v>25</v>
      </c>
      <c r="G259" s="4" t="s">
        <v>25</v>
      </c>
      <c r="H259" s="4" t="s">
        <v>25</v>
      </c>
      <c r="I259" s="5">
        <v>44593</v>
      </c>
      <c r="J259" s="6">
        <v>0</v>
      </c>
      <c r="K259" s="6">
        <v>0</v>
      </c>
      <c r="L259" s="6">
        <v>21.239000000000001</v>
      </c>
      <c r="M259" s="6">
        <v>21.239000000000001</v>
      </c>
      <c r="N259" s="6">
        <v>21.239000000000001</v>
      </c>
      <c r="O259" s="6">
        <v>21.239000000000001</v>
      </c>
      <c r="P259" s="6">
        <v>111</v>
      </c>
      <c r="Q259" s="4" t="s">
        <v>26</v>
      </c>
      <c r="R259" s="4">
        <v>0</v>
      </c>
      <c r="S259" s="6">
        <v>0</v>
      </c>
      <c r="T259" s="6">
        <v>2</v>
      </c>
      <c r="U259" s="6">
        <v>32</v>
      </c>
      <c r="V259" s="6">
        <f>IF(ISERROR(VLOOKUP($S$259,'TAR FIN'!$A$1:$O$85,15,0)),0,VLOOKUP($S$259,'TAR FIN'!$A$1:$O$85,15,0))</f>
        <v>0</v>
      </c>
      <c r="W259" s="6">
        <f>IF(ISERROR(VLOOKUP($T$259,'TAR FIN'!$A$1:$O$85,15,0)),0,VLOOKUP($T$259,'TAR FIN'!$A$1:$O$85,15,0))</f>
        <v>377.01</v>
      </c>
      <c r="X259" s="6">
        <f>IF(ISERROR(VLOOKUP($U$259,'TAR FIN'!$A$1:$O$85,15,0)),0,VLOOKUP($U$259,'TAR FIN'!$A$1:$O$85,15,0))</f>
        <v>141.32</v>
      </c>
      <c r="Y259" s="6"/>
      <c r="Z259" s="6">
        <f ca="1">('TUSD BE'!$AM$20+'TUSD BF'!$AM$20+'TUSD CVA'!$AM$20)*1</f>
        <v>415.67450254064073</v>
      </c>
      <c r="AA259" s="6">
        <f>('TE BE'!$AB$10+'TE BF'!$AB$10+'TE CVA'!$AB$10)*1</f>
        <v>135.80626150990429</v>
      </c>
      <c r="AB259" s="6">
        <f>$K$259*$V$259</f>
        <v>0</v>
      </c>
      <c r="AC259" s="6">
        <f>$M$259*$W$259</f>
        <v>8007.3153899999998</v>
      </c>
      <c r="AD259" s="6">
        <f>$O$259*$X$259</f>
        <v>3001.49548</v>
      </c>
      <c r="AE259" s="6">
        <f>$K$259*$Y$259</f>
        <v>0</v>
      </c>
      <c r="AF259" s="6">
        <f ca="1">$M$259*$Z$259</f>
        <v>8828.5107594606689</v>
      </c>
      <c r="AG259" s="6">
        <f>$O$259*$AA$259</f>
        <v>2884.3891882088574</v>
      </c>
    </row>
    <row r="260" spans="1:33" ht="11.25" customHeight="1" x14ac:dyDescent="0.25">
      <c r="A260" s="4" t="s">
        <v>21</v>
      </c>
      <c r="B260" s="4" t="s">
        <v>22</v>
      </c>
      <c r="C260" s="4" t="s">
        <v>23</v>
      </c>
      <c r="D260" s="4" t="s">
        <v>24</v>
      </c>
      <c r="E260" s="4" t="s">
        <v>24</v>
      </c>
      <c r="F260" s="4" t="s">
        <v>25</v>
      </c>
      <c r="G260" s="4" t="s">
        <v>25</v>
      </c>
      <c r="H260" s="4" t="s">
        <v>25</v>
      </c>
      <c r="I260" s="5">
        <v>44621</v>
      </c>
      <c r="J260" s="6">
        <v>0</v>
      </c>
      <c r="K260" s="6">
        <v>0</v>
      </c>
      <c r="L260" s="6">
        <v>1057.711</v>
      </c>
      <c r="M260" s="6">
        <v>1057.711</v>
      </c>
      <c r="N260" s="6">
        <v>1057.711</v>
      </c>
      <c r="O260" s="6">
        <v>1057.711</v>
      </c>
      <c r="P260" s="6">
        <v>4846</v>
      </c>
      <c r="Q260" s="4" t="s">
        <v>26</v>
      </c>
      <c r="R260" s="4">
        <v>0</v>
      </c>
      <c r="S260" s="6">
        <v>0</v>
      </c>
      <c r="T260" s="6">
        <v>2</v>
      </c>
      <c r="U260" s="6">
        <v>32</v>
      </c>
      <c r="V260" s="6">
        <f>IF(ISERROR(VLOOKUP($S$260,'TAR FIN'!$A$1:$O$85,15,0)),0,VLOOKUP($S$260,'TAR FIN'!$A$1:$O$85,15,0))</f>
        <v>0</v>
      </c>
      <c r="W260" s="6">
        <f>IF(ISERROR(VLOOKUP($T$260,'TAR FIN'!$A$1:$O$85,15,0)),0,VLOOKUP($T$260,'TAR FIN'!$A$1:$O$85,15,0))</f>
        <v>377.01</v>
      </c>
      <c r="X260" s="6">
        <f>IF(ISERROR(VLOOKUP($U$260,'TAR FIN'!$A$1:$O$85,15,0)),0,VLOOKUP($U$260,'TAR FIN'!$A$1:$O$85,15,0))</f>
        <v>141.32</v>
      </c>
      <c r="Y260" s="6"/>
      <c r="Z260" s="6">
        <f ca="1">('TUSD BE'!$AM$20+'TUSD BF'!$AM$20+'TUSD CVA'!$AM$20)*1</f>
        <v>415.67450254064073</v>
      </c>
      <c r="AA260" s="6">
        <f>('TE BE'!$AB$10+'TE BF'!$AB$10+'TE CVA'!$AB$10)*1</f>
        <v>135.80626150990429</v>
      </c>
      <c r="AB260" s="6">
        <f>$K$260*$V$260</f>
        <v>0</v>
      </c>
      <c r="AC260" s="6">
        <f>$M$260*$W$260</f>
        <v>398767.62410999998</v>
      </c>
      <c r="AD260" s="6">
        <f>$O$260*$X$260</f>
        <v>149475.71851999999</v>
      </c>
      <c r="AE260" s="6">
        <f>$K$260*$Y$260</f>
        <v>0</v>
      </c>
      <c r="AF260" s="6">
        <f ca="1">$M$260*$Z$260</f>
        <v>439663.49375676364</v>
      </c>
      <c r="AG260" s="6">
        <f>$O$260*$AA$260</f>
        <v>143643.77666790236</v>
      </c>
    </row>
    <row r="261" spans="1:33" ht="11.25" customHeight="1" x14ac:dyDescent="0.25">
      <c r="A261" s="4" t="s">
        <v>27</v>
      </c>
      <c r="B261" s="4" t="s">
        <v>22</v>
      </c>
      <c r="C261" s="4" t="s">
        <v>23</v>
      </c>
      <c r="D261" s="4" t="s">
        <v>24</v>
      </c>
      <c r="E261" s="4" t="s">
        <v>24</v>
      </c>
      <c r="F261" s="4" t="s">
        <v>25</v>
      </c>
      <c r="G261" s="4" t="s">
        <v>25</v>
      </c>
      <c r="H261" s="4" t="s">
        <v>25</v>
      </c>
      <c r="I261" s="5">
        <v>44621</v>
      </c>
      <c r="J261" s="6">
        <v>0</v>
      </c>
      <c r="K261" s="6">
        <v>0</v>
      </c>
      <c r="L261" s="6">
        <v>-2.4889999999999999</v>
      </c>
      <c r="M261" s="6">
        <v>-2.4889999999999999</v>
      </c>
      <c r="N261" s="6">
        <v>-2.4889999999999999</v>
      </c>
      <c r="O261" s="6">
        <v>-2.4889999999999999</v>
      </c>
      <c r="P261" s="6">
        <v>0</v>
      </c>
      <c r="Q261" s="4" t="s">
        <v>26</v>
      </c>
      <c r="R261" s="4">
        <v>0</v>
      </c>
      <c r="S261" s="6">
        <v>0</v>
      </c>
      <c r="T261" s="6">
        <v>2</v>
      </c>
      <c r="U261" s="6">
        <v>32</v>
      </c>
      <c r="V261" s="6">
        <f>IF(ISERROR(VLOOKUP($S$261,'TAR FIN'!$A$1:$O$85,15,0)),0,VLOOKUP($S$261,'TAR FIN'!$A$1:$O$85,15,0))</f>
        <v>0</v>
      </c>
      <c r="W261" s="6">
        <f>IF(ISERROR(VLOOKUP($T$261,'TAR FIN'!$A$1:$O$85,15,0)),0,VLOOKUP($T$261,'TAR FIN'!$A$1:$O$85,15,0))</f>
        <v>377.01</v>
      </c>
      <c r="X261" s="6">
        <f>IF(ISERROR(VLOOKUP($U$261,'TAR FIN'!$A$1:$O$85,15,0)),0,VLOOKUP($U$261,'TAR FIN'!$A$1:$O$85,15,0))</f>
        <v>141.32</v>
      </c>
      <c r="Y261" s="6"/>
      <c r="Z261" s="6">
        <f ca="1">('TUSD BE'!$AM$20+'TUSD BF'!$AM$20+'TUSD CVA'!$AM$20)*1</f>
        <v>415.67450254064073</v>
      </c>
      <c r="AA261" s="6">
        <f>('TE BE'!$AB$10+'TE BF'!$AB$10+'TE CVA'!$AB$10)*1</f>
        <v>135.80626150990429</v>
      </c>
      <c r="AB261" s="6">
        <f>$K$261*$V$261</f>
        <v>0</v>
      </c>
      <c r="AC261" s="6">
        <f>$M$261*$W$261</f>
        <v>-938.37788999999998</v>
      </c>
      <c r="AD261" s="6">
        <f>$O$261*$X$261</f>
        <v>-351.74547999999999</v>
      </c>
      <c r="AE261" s="6">
        <f>$K$261*$Y$261</f>
        <v>0</v>
      </c>
      <c r="AF261" s="6">
        <f ca="1">$M$261*$Z$261</f>
        <v>-1034.6138368236548</v>
      </c>
      <c r="AG261" s="6">
        <f>$O$261*$AA$261</f>
        <v>-338.02178489815174</v>
      </c>
    </row>
    <row r="262" spans="1:33" ht="11.25" customHeight="1" x14ac:dyDescent="0.25">
      <c r="A262" s="4" t="s">
        <v>28</v>
      </c>
      <c r="B262" s="4" t="s">
        <v>22</v>
      </c>
      <c r="C262" s="4" t="s">
        <v>23</v>
      </c>
      <c r="D262" s="4" t="s">
        <v>24</v>
      </c>
      <c r="E262" s="4" t="s">
        <v>24</v>
      </c>
      <c r="F262" s="4" t="s">
        <v>25</v>
      </c>
      <c r="G262" s="4" t="s">
        <v>25</v>
      </c>
      <c r="H262" s="4" t="s">
        <v>25</v>
      </c>
      <c r="I262" s="5">
        <v>44621</v>
      </c>
      <c r="J262" s="6">
        <v>0</v>
      </c>
      <c r="K262" s="6">
        <v>0</v>
      </c>
      <c r="L262" s="6">
        <v>27.885000000000002</v>
      </c>
      <c r="M262" s="6">
        <v>27.885000000000002</v>
      </c>
      <c r="N262" s="6">
        <v>27.885000000000002</v>
      </c>
      <c r="O262" s="6">
        <v>27.885000000000002</v>
      </c>
      <c r="P262" s="6">
        <v>122</v>
      </c>
      <c r="Q262" s="4" t="s">
        <v>26</v>
      </c>
      <c r="R262" s="4">
        <v>0</v>
      </c>
      <c r="S262" s="6">
        <v>0</v>
      </c>
      <c r="T262" s="6">
        <v>2</v>
      </c>
      <c r="U262" s="6">
        <v>32</v>
      </c>
      <c r="V262" s="6">
        <f>IF(ISERROR(VLOOKUP($S$262,'TAR FIN'!$A$1:$O$85,15,0)),0,VLOOKUP($S$262,'TAR FIN'!$A$1:$O$85,15,0))</f>
        <v>0</v>
      </c>
      <c r="W262" s="6">
        <f>IF(ISERROR(VLOOKUP($T$262,'TAR FIN'!$A$1:$O$85,15,0)),0,VLOOKUP($T$262,'TAR FIN'!$A$1:$O$85,15,0))</f>
        <v>377.01</v>
      </c>
      <c r="X262" s="6">
        <f>IF(ISERROR(VLOOKUP($U$262,'TAR FIN'!$A$1:$O$85,15,0)),0,VLOOKUP($U$262,'TAR FIN'!$A$1:$O$85,15,0))</f>
        <v>141.32</v>
      </c>
      <c r="Y262" s="6"/>
      <c r="Z262" s="6">
        <f ca="1">('TUSD BE'!$AM$20+'TUSD BF'!$AM$20+'TUSD CVA'!$AM$20)*1</f>
        <v>415.67450254064073</v>
      </c>
      <c r="AA262" s="6">
        <f>('TE BE'!$AB$10+'TE BF'!$AB$10+'TE CVA'!$AB$10)*1</f>
        <v>135.80626150990429</v>
      </c>
      <c r="AB262" s="6">
        <f>$K$262*$V$262</f>
        <v>0</v>
      </c>
      <c r="AC262" s="6">
        <f>$M$262*$W$262</f>
        <v>10512.923850000001</v>
      </c>
      <c r="AD262" s="6">
        <f>$O$262*$X$262</f>
        <v>3940.7082</v>
      </c>
      <c r="AE262" s="6">
        <f>$K$262*$Y$262</f>
        <v>0</v>
      </c>
      <c r="AF262" s="6">
        <f ca="1">$M$262*$Z$262</f>
        <v>11591.083503345768</v>
      </c>
      <c r="AG262" s="6">
        <f>$O$262*$AA$262</f>
        <v>3786.9576022036813</v>
      </c>
    </row>
    <row r="263" spans="1:33" ht="11.25" customHeight="1" x14ac:dyDescent="0.25">
      <c r="A263" s="4" t="s">
        <v>28</v>
      </c>
      <c r="B263" s="4" t="s">
        <v>22</v>
      </c>
      <c r="C263" s="4" t="s">
        <v>23</v>
      </c>
      <c r="D263" s="4" t="s">
        <v>24</v>
      </c>
      <c r="E263" s="4" t="s">
        <v>24</v>
      </c>
      <c r="F263" s="4" t="s">
        <v>25</v>
      </c>
      <c r="G263" s="4" t="s">
        <v>25</v>
      </c>
      <c r="H263" s="4" t="s">
        <v>25</v>
      </c>
      <c r="I263" s="5">
        <v>44621</v>
      </c>
      <c r="J263" s="6">
        <v>0</v>
      </c>
      <c r="K263" s="6">
        <v>0</v>
      </c>
      <c r="L263" s="6">
        <v>-7.0000000000000007E-2</v>
      </c>
      <c r="M263" s="6">
        <v>-7.0000000000000007E-2</v>
      </c>
      <c r="N263" s="6">
        <v>-7.0000000000000007E-2</v>
      </c>
      <c r="O263" s="6">
        <v>-7.0000000000000007E-2</v>
      </c>
      <c r="P263" s="6">
        <v>2</v>
      </c>
      <c r="Q263" s="4" t="s">
        <v>26</v>
      </c>
      <c r="R263" s="4">
        <v>0</v>
      </c>
      <c r="S263" s="6">
        <v>0</v>
      </c>
      <c r="T263" s="6">
        <v>2</v>
      </c>
      <c r="U263" s="6">
        <v>32</v>
      </c>
      <c r="V263" s="6">
        <f>IF(ISERROR(VLOOKUP($S$263,'TAR FIN'!$A$1:$O$85,15,0)),0,VLOOKUP($S$263,'TAR FIN'!$A$1:$O$85,15,0))</f>
        <v>0</v>
      </c>
      <c r="W263" s="6">
        <f>IF(ISERROR(VLOOKUP($T$263,'TAR FIN'!$A$1:$O$85,15,0)),0,VLOOKUP($T$263,'TAR FIN'!$A$1:$O$85,15,0))</f>
        <v>377.01</v>
      </c>
      <c r="X263" s="6">
        <f>IF(ISERROR(VLOOKUP($U$263,'TAR FIN'!$A$1:$O$85,15,0)),0,VLOOKUP($U$263,'TAR FIN'!$A$1:$O$85,15,0))</f>
        <v>141.32</v>
      </c>
      <c r="Y263" s="6"/>
      <c r="Z263" s="6">
        <f ca="1">('TUSD BE'!$AM$20+'TUSD BF'!$AM$20+'TUSD CVA'!$AM$20)*1</f>
        <v>415.67450254064073</v>
      </c>
      <c r="AA263" s="6">
        <f>('TE BE'!$AB$10+'TE BF'!$AB$10+'TE CVA'!$AB$10)*1</f>
        <v>135.80626150990429</v>
      </c>
      <c r="AB263" s="6">
        <f>$K$263*$V$263</f>
        <v>0</v>
      </c>
      <c r="AC263" s="6">
        <f>$M$263*$W$263</f>
        <v>-26.390700000000002</v>
      </c>
      <c r="AD263" s="6">
        <f>$O$263*$X$263</f>
        <v>-9.8924000000000003</v>
      </c>
      <c r="AE263" s="6">
        <f>$K$263*$Y$263</f>
        <v>0</v>
      </c>
      <c r="AF263" s="6">
        <f ca="1">$M$263*$Z$263</f>
        <v>-29.097215177844856</v>
      </c>
      <c r="AG263" s="6">
        <f>$O$263*$AA$263</f>
        <v>-9.5064383056933011</v>
      </c>
    </row>
    <row r="264" spans="1:33" ht="11.25" customHeight="1" x14ac:dyDescent="0.25">
      <c r="A264" s="4" t="s">
        <v>21</v>
      </c>
      <c r="B264" s="4" t="s">
        <v>22</v>
      </c>
      <c r="C264" s="4" t="s">
        <v>23</v>
      </c>
      <c r="D264" s="4" t="s">
        <v>24</v>
      </c>
      <c r="E264" s="4" t="s">
        <v>24</v>
      </c>
      <c r="F264" s="4" t="s">
        <v>25</v>
      </c>
      <c r="G264" s="4" t="s">
        <v>25</v>
      </c>
      <c r="H264" s="4" t="s">
        <v>25</v>
      </c>
      <c r="I264" s="5">
        <v>44652</v>
      </c>
      <c r="J264" s="6">
        <v>0</v>
      </c>
      <c r="K264" s="6">
        <v>0</v>
      </c>
      <c r="L264" s="6">
        <v>969.62</v>
      </c>
      <c r="M264" s="6">
        <v>969.62</v>
      </c>
      <c r="N264" s="6">
        <v>969.62</v>
      </c>
      <c r="O264" s="6">
        <v>969.62</v>
      </c>
      <c r="P264" s="6">
        <v>4803</v>
      </c>
      <c r="Q264" s="4" t="s">
        <v>26</v>
      </c>
      <c r="R264" s="4">
        <v>0</v>
      </c>
      <c r="S264" s="6">
        <v>0</v>
      </c>
      <c r="T264" s="6">
        <v>2</v>
      </c>
      <c r="U264" s="6">
        <v>32</v>
      </c>
      <c r="V264" s="6">
        <f>IF(ISERROR(VLOOKUP($S$264,'TAR FIN'!$A$1:$O$85,15,0)),0,VLOOKUP($S$264,'TAR FIN'!$A$1:$O$85,15,0))</f>
        <v>0</v>
      </c>
      <c r="W264" s="6">
        <f>IF(ISERROR(VLOOKUP($T$264,'TAR FIN'!$A$1:$O$85,15,0)),0,VLOOKUP($T$264,'TAR FIN'!$A$1:$O$85,15,0))</f>
        <v>377.01</v>
      </c>
      <c r="X264" s="6">
        <f>IF(ISERROR(VLOOKUP($U$264,'TAR FIN'!$A$1:$O$85,15,0)),0,VLOOKUP($U$264,'TAR FIN'!$A$1:$O$85,15,0))</f>
        <v>141.32</v>
      </c>
      <c r="Y264" s="6"/>
      <c r="Z264" s="6">
        <f ca="1">('TUSD BE'!$AM$20+'TUSD BF'!$AM$20+'TUSD CVA'!$AM$20)*1</f>
        <v>415.67450254064073</v>
      </c>
      <c r="AA264" s="6">
        <f>('TE BE'!$AB$10+'TE BF'!$AB$10+'TE CVA'!$AB$10)*1</f>
        <v>135.80626150990429</v>
      </c>
      <c r="AB264" s="6">
        <f>$K$264*$V$264</f>
        <v>0</v>
      </c>
      <c r="AC264" s="6">
        <f>$M$264*$W$264</f>
        <v>365556.4362</v>
      </c>
      <c r="AD264" s="6">
        <f>$O$264*$X$264</f>
        <v>137026.69839999999</v>
      </c>
      <c r="AE264" s="6">
        <f>$K$264*$Y$264</f>
        <v>0</v>
      </c>
      <c r="AF264" s="6">
        <f ca="1">$M$264*$Z$264</f>
        <v>403046.31115345604</v>
      </c>
      <c r="AG264" s="6">
        <f>$O$264*$AA$264</f>
        <v>131680.4672852334</v>
      </c>
    </row>
    <row r="265" spans="1:33" ht="11.25" customHeight="1" x14ac:dyDescent="0.25">
      <c r="A265" s="4" t="s">
        <v>27</v>
      </c>
      <c r="B265" s="4" t="s">
        <v>22</v>
      </c>
      <c r="C265" s="4" t="s">
        <v>23</v>
      </c>
      <c r="D265" s="4" t="s">
        <v>24</v>
      </c>
      <c r="E265" s="4" t="s">
        <v>24</v>
      </c>
      <c r="F265" s="4" t="s">
        <v>25</v>
      </c>
      <c r="G265" s="4" t="s">
        <v>25</v>
      </c>
      <c r="H265" s="4" t="s">
        <v>25</v>
      </c>
      <c r="I265" s="5">
        <v>44652</v>
      </c>
      <c r="J265" s="6">
        <v>0</v>
      </c>
      <c r="K265" s="6">
        <v>0</v>
      </c>
      <c r="L265" s="6">
        <v>0.23899999999999999</v>
      </c>
      <c r="M265" s="6">
        <v>0.23899999999999999</v>
      </c>
      <c r="N265" s="6">
        <v>0.23899999999999999</v>
      </c>
      <c r="O265" s="6">
        <v>0.23899999999999999</v>
      </c>
      <c r="P265" s="6">
        <v>0</v>
      </c>
      <c r="Q265" s="4" t="s">
        <v>26</v>
      </c>
      <c r="R265" s="4">
        <v>0</v>
      </c>
      <c r="S265" s="6">
        <v>0</v>
      </c>
      <c r="T265" s="6">
        <v>2</v>
      </c>
      <c r="U265" s="6">
        <v>32</v>
      </c>
      <c r="V265" s="6">
        <f>IF(ISERROR(VLOOKUP($S$265,'TAR FIN'!$A$1:$O$85,15,0)),0,VLOOKUP($S$265,'TAR FIN'!$A$1:$O$85,15,0))</f>
        <v>0</v>
      </c>
      <c r="W265" s="6">
        <f>IF(ISERROR(VLOOKUP($T$265,'TAR FIN'!$A$1:$O$85,15,0)),0,VLOOKUP($T$265,'TAR FIN'!$A$1:$O$85,15,0))</f>
        <v>377.01</v>
      </c>
      <c r="X265" s="6">
        <f>IF(ISERROR(VLOOKUP($U$265,'TAR FIN'!$A$1:$O$85,15,0)),0,VLOOKUP($U$265,'TAR FIN'!$A$1:$O$85,15,0))</f>
        <v>141.32</v>
      </c>
      <c r="Y265" s="6"/>
      <c r="Z265" s="6">
        <f ca="1">('TUSD BE'!$AM$20+'TUSD BF'!$AM$20+'TUSD CVA'!$AM$20)*1</f>
        <v>415.67450254064073</v>
      </c>
      <c r="AA265" s="6">
        <f>('TE BE'!$AB$10+'TE BF'!$AB$10+'TE CVA'!$AB$10)*1</f>
        <v>135.80626150990429</v>
      </c>
      <c r="AB265" s="6">
        <f>$K$265*$V$265</f>
        <v>0</v>
      </c>
      <c r="AC265" s="6">
        <f>$M$265*$W$265</f>
        <v>90.10539</v>
      </c>
      <c r="AD265" s="6">
        <f>$O$265*$X$265</f>
        <v>33.775479999999995</v>
      </c>
      <c r="AE265" s="6">
        <f>$K$265*$Y$265</f>
        <v>0</v>
      </c>
      <c r="AF265" s="6">
        <f ca="1">$M$265*$Z$265</f>
        <v>99.346206107213135</v>
      </c>
      <c r="AG265" s="6">
        <f>$O$265*$AA$265</f>
        <v>32.457696500867122</v>
      </c>
    </row>
    <row r="266" spans="1:33" ht="11.25" customHeight="1" x14ac:dyDescent="0.25">
      <c r="A266" s="4" t="s">
        <v>28</v>
      </c>
      <c r="B266" s="4" t="s">
        <v>22</v>
      </c>
      <c r="C266" s="4" t="s">
        <v>23</v>
      </c>
      <c r="D266" s="4" t="s">
        <v>24</v>
      </c>
      <c r="E266" s="4" t="s">
        <v>24</v>
      </c>
      <c r="F266" s="4" t="s">
        <v>25</v>
      </c>
      <c r="G266" s="4" t="s">
        <v>25</v>
      </c>
      <c r="H266" s="4" t="s">
        <v>25</v>
      </c>
      <c r="I266" s="5">
        <v>44652</v>
      </c>
      <c r="J266" s="6">
        <v>0</v>
      </c>
      <c r="K266" s="6">
        <v>0</v>
      </c>
      <c r="L266" s="6">
        <v>17.077000000000002</v>
      </c>
      <c r="M266" s="6">
        <v>17.077000000000002</v>
      </c>
      <c r="N266" s="6">
        <v>17.077000000000002</v>
      </c>
      <c r="O266" s="6">
        <v>17.077000000000002</v>
      </c>
      <c r="P266" s="6">
        <v>130</v>
      </c>
      <c r="Q266" s="4" t="s">
        <v>26</v>
      </c>
      <c r="R266" s="4">
        <v>0</v>
      </c>
      <c r="S266" s="6">
        <v>0</v>
      </c>
      <c r="T266" s="6">
        <v>2</v>
      </c>
      <c r="U266" s="6">
        <v>32</v>
      </c>
      <c r="V266" s="6">
        <f>IF(ISERROR(VLOOKUP($S$266,'TAR FIN'!$A$1:$O$85,15,0)),0,VLOOKUP($S$266,'TAR FIN'!$A$1:$O$85,15,0))</f>
        <v>0</v>
      </c>
      <c r="W266" s="6">
        <f>IF(ISERROR(VLOOKUP($T$266,'TAR FIN'!$A$1:$O$85,15,0)),0,VLOOKUP($T$266,'TAR FIN'!$A$1:$O$85,15,0))</f>
        <v>377.01</v>
      </c>
      <c r="X266" s="6">
        <f>IF(ISERROR(VLOOKUP($U$266,'TAR FIN'!$A$1:$O$85,15,0)),0,VLOOKUP($U$266,'TAR FIN'!$A$1:$O$85,15,0))</f>
        <v>141.32</v>
      </c>
      <c r="Y266" s="6"/>
      <c r="Z266" s="6">
        <f ca="1">('TUSD BE'!$AM$20+'TUSD BF'!$AM$20+'TUSD CVA'!$AM$20)*1</f>
        <v>415.67450254064073</v>
      </c>
      <c r="AA266" s="6">
        <f>('TE BE'!$AB$10+'TE BF'!$AB$10+'TE CVA'!$AB$10)*1</f>
        <v>135.80626150990429</v>
      </c>
      <c r="AB266" s="6">
        <f>$K$266*$V$266</f>
        <v>0</v>
      </c>
      <c r="AC266" s="6">
        <f>$M$266*$W$266</f>
        <v>6438.1997700000002</v>
      </c>
      <c r="AD266" s="6">
        <f>$O$266*$X$266</f>
        <v>2413.3216400000001</v>
      </c>
      <c r="AE266" s="6">
        <f>$K$266*$Y$266</f>
        <v>0</v>
      </c>
      <c r="AF266" s="6">
        <f ca="1">$M$266*$Z$266</f>
        <v>7098.4734798865229</v>
      </c>
      <c r="AG266" s="6">
        <f>$O$266*$AA$266</f>
        <v>2319.1635278046356</v>
      </c>
    </row>
    <row r="267" spans="1:33" ht="11.25" customHeight="1" x14ac:dyDescent="0.25">
      <c r="A267" s="4" t="s">
        <v>28</v>
      </c>
      <c r="B267" s="4" t="s">
        <v>22</v>
      </c>
      <c r="C267" s="4" t="s">
        <v>23</v>
      </c>
      <c r="D267" s="4" t="s">
        <v>24</v>
      </c>
      <c r="E267" s="4" t="s">
        <v>24</v>
      </c>
      <c r="F267" s="4" t="s">
        <v>25</v>
      </c>
      <c r="G267" s="4" t="s">
        <v>25</v>
      </c>
      <c r="H267" s="4" t="s">
        <v>25</v>
      </c>
      <c r="I267" s="5">
        <v>44652</v>
      </c>
      <c r="J267" s="6">
        <v>0</v>
      </c>
      <c r="K267" s="6">
        <v>0</v>
      </c>
      <c r="L267" s="6">
        <v>-0.20499999999999999</v>
      </c>
      <c r="M267" s="6">
        <v>-0.20499999999999999</v>
      </c>
      <c r="N267" s="6">
        <v>-0.20499999999999999</v>
      </c>
      <c r="O267" s="6">
        <v>-0.20499999999999999</v>
      </c>
      <c r="P267" s="6">
        <v>2</v>
      </c>
      <c r="Q267" s="4" t="s">
        <v>26</v>
      </c>
      <c r="R267" s="4">
        <v>0</v>
      </c>
      <c r="S267" s="6">
        <v>0</v>
      </c>
      <c r="T267" s="6">
        <v>2</v>
      </c>
      <c r="U267" s="6">
        <v>32</v>
      </c>
      <c r="V267" s="6">
        <f>IF(ISERROR(VLOOKUP($S$267,'TAR FIN'!$A$1:$O$85,15,0)),0,VLOOKUP($S$267,'TAR FIN'!$A$1:$O$85,15,0))</f>
        <v>0</v>
      </c>
      <c r="W267" s="6">
        <f>IF(ISERROR(VLOOKUP($T$267,'TAR FIN'!$A$1:$O$85,15,0)),0,VLOOKUP($T$267,'TAR FIN'!$A$1:$O$85,15,0))</f>
        <v>377.01</v>
      </c>
      <c r="X267" s="6">
        <f>IF(ISERROR(VLOOKUP($U$267,'TAR FIN'!$A$1:$O$85,15,0)),0,VLOOKUP($U$267,'TAR FIN'!$A$1:$O$85,15,0))</f>
        <v>141.32</v>
      </c>
      <c r="Y267" s="6"/>
      <c r="Z267" s="6">
        <f ca="1">('TUSD BE'!$AM$20+'TUSD BF'!$AM$20+'TUSD CVA'!$AM$20)*1</f>
        <v>415.67450254064073</v>
      </c>
      <c r="AA267" s="6">
        <f>('TE BE'!$AB$10+'TE BF'!$AB$10+'TE CVA'!$AB$10)*1</f>
        <v>135.80626150990429</v>
      </c>
      <c r="AB267" s="6">
        <f>$K$267*$V$267</f>
        <v>0</v>
      </c>
      <c r="AC267" s="6">
        <f>$M$267*$W$267</f>
        <v>-77.287049999999994</v>
      </c>
      <c r="AD267" s="6">
        <f>$O$267*$X$267</f>
        <v>-28.970599999999997</v>
      </c>
      <c r="AE267" s="6">
        <f>$K$267*$Y$267</f>
        <v>0</v>
      </c>
      <c r="AF267" s="6">
        <f ca="1">$M$267*$Z$267</f>
        <v>-85.213273020831352</v>
      </c>
      <c r="AG267" s="6">
        <f>$O$267*$AA$267</f>
        <v>-27.840283609530378</v>
      </c>
    </row>
    <row r="268" spans="1:33" ht="11.25" customHeight="1" x14ac:dyDescent="0.25">
      <c r="A268" s="4" t="s">
        <v>21</v>
      </c>
      <c r="B268" s="4" t="s">
        <v>22</v>
      </c>
      <c r="C268" s="4" t="s">
        <v>23</v>
      </c>
      <c r="D268" s="4" t="s">
        <v>24</v>
      </c>
      <c r="E268" s="4" t="s">
        <v>24</v>
      </c>
      <c r="F268" s="4" t="s">
        <v>25</v>
      </c>
      <c r="G268" s="4" t="s">
        <v>25</v>
      </c>
      <c r="H268" s="4" t="s">
        <v>25</v>
      </c>
      <c r="I268" s="5">
        <v>44682</v>
      </c>
      <c r="J268" s="6">
        <v>0</v>
      </c>
      <c r="K268" s="6">
        <v>0</v>
      </c>
      <c r="L268" s="6">
        <v>943.70699999999999</v>
      </c>
      <c r="M268" s="6">
        <v>943.70699999999999</v>
      </c>
      <c r="N268" s="6">
        <v>943.70699999999999</v>
      </c>
      <c r="O268" s="6">
        <v>943.70699999999999</v>
      </c>
      <c r="P268" s="6">
        <v>4816</v>
      </c>
      <c r="Q268" s="4" t="s">
        <v>26</v>
      </c>
      <c r="R268" s="4">
        <v>0</v>
      </c>
      <c r="S268" s="6">
        <v>0</v>
      </c>
      <c r="T268" s="6">
        <v>2</v>
      </c>
      <c r="U268" s="6">
        <v>32</v>
      </c>
      <c r="V268" s="6">
        <f>IF(ISERROR(VLOOKUP($S$268,'TAR FIN'!$A$1:$O$85,15,0)),0,VLOOKUP($S$268,'TAR FIN'!$A$1:$O$85,15,0))</f>
        <v>0</v>
      </c>
      <c r="W268" s="6">
        <f>IF(ISERROR(VLOOKUP($T$268,'TAR FIN'!$A$1:$O$85,15,0)),0,VLOOKUP($T$268,'TAR FIN'!$A$1:$O$85,15,0))</f>
        <v>377.01</v>
      </c>
      <c r="X268" s="6">
        <f>IF(ISERROR(VLOOKUP($U$268,'TAR FIN'!$A$1:$O$85,15,0)),0,VLOOKUP($U$268,'TAR FIN'!$A$1:$O$85,15,0))</f>
        <v>141.32</v>
      </c>
      <c r="Y268" s="6"/>
      <c r="Z268" s="6">
        <f ca="1">('TUSD BE'!$AM$20+'TUSD BF'!$AM$20+'TUSD CVA'!$AM$20)*1</f>
        <v>415.67450254064073</v>
      </c>
      <c r="AA268" s="6">
        <f>('TE BE'!$AB$10+'TE BF'!$AB$10+'TE CVA'!$AB$10)*1</f>
        <v>135.80626150990429</v>
      </c>
      <c r="AB268" s="6">
        <f>$K$268*$V$268</f>
        <v>0</v>
      </c>
      <c r="AC268" s="6">
        <f>$M$268*$W$268</f>
        <v>355786.97606999998</v>
      </c>
      <c r="AD268" s="6">
        <f>$O$268*$X$268</f>
        <v>133364.67324</v>
      </c>
      <c r="AE268" s="6">
        <f>$K$268*$Y$268</f>
        <v>0</v>
      </c>
      <c r="AF268" s="6">
        <f ca="1">$M$268*$Z$268</f>
        <v>392274.93776912044</v>
      </c>
      <c r="AG268" s="6">
        <f>$O$268*$AA$268</f>
        <v>128161.31963072724</v>
      </c>
    </row>
    <row r="269" spans="1:33" ht="11.25" customHeight="1" x14ac:dyDescent="0.25">
      <c r="A269" s="4" t="s">
        <v>28</v>
      </c>
      <c r="B269" s="4" t="s">
        <v>22</v>
      </c>
      <c r="C269" s="4" t="s">
        <v>23</v>
      </c>
      <c r="D269" s="4" t="s">
        <v>24</v>
      </c>
      <c r="E269" s="4" t="s">
        <v>24</v>
      </c>
      <c r="F269" s="4" t="s">
        <v>25</v>
      </c>
      <c r="G269" s="4" t="s">
        <v>25</v>
      </c>
      <c r="H269" s="4" t="s">
        <v>25</v>
      </c>
      <c r="I269" s="5">
        <v>44682</v>
      </c>
      <c r="J269" s="6">
        <v>0</v>
      </c>
      <c r="K269" s="6">
        <v>0</v>
      </c>
      <c r="L269" s="6">
        <v>15.443</v>
      </c>
      <c r="M269" s="6">
        <v>15.443</v>
      </c>
      <c r="N269" s="6">
        <v>15.443</v>
      </c>
      <c r="O269" s="6">
        <v>15.443</v>
      </c>
      <c r="P269" s="6">
        <v>131</v>
      </c>
      <c r="Q269" s="4" t="s">
        <v>26</v>
      </c>
      <c r="R269" s="4">
        <v>0</v>
      </c>
      <c r="S269" s="6">
        <v>0</v>
      </c>
      <c r="T269" s="6">
        <v>2</v>
      </c>
      <c r="U269" s="6">
        <v>32</v>
      </c>
      <c r="V269" s="6">
        <f>IF(ISERROR(VLOOKUP($S$269,'TAR FIN'!$A$1:$O$85,15,0)),0,VLOOKUP($S$269,'TAR FIN'!$A$1:$O$85,15,0))</f>
        <v>0</v>
      </c>
      <c r="W269" s="6">
        <f>IF(ISERROR(VLOOKUP($T$269,'TAR FIN'!$A$1:$O$85,15,0)),0,VLOOKUP($T$269,'TAR FIN'!$A$1:$O$85,15,0))</f>
        <v>377.01</v>
      </c>
      <c r="X269" s="6">
        <f>IF(ISERROR(VLOOKUP($U$269,'TAR FIN'!$A$1:$O$85,15,0)),0,VLOOKUP($U$269,'TAR FIN'!$A$1:$O$85,15,0))</f>
        <v>141.32</v>
      </c>
      <c r="Y269" s="6"/>
      <c r="Z269" s="6">
        <f ca="1">('TUSD BE'!$AM$20+'TUSD BF'!$AM$20+'TUSD CVA'!$AM$20)*1</f>
        <v>415.67450254064073</v>
      </c>
      <c r="AA269" s="6">
        <f>('TE BE'!$AB$10+'TE BF'!$AB$10+'TE CVA'!$AB$10)*1</f>
        <v>135.80626150990429</v>
      </c>
      <c r="AB269" s="6">
        <f>$K$269*$V$269</f>
        <v>0</v>
      </c>
      <c r="AC269" s="6">
        <f>$M$269*$W$269</f>
        <v>5822.16543</v>
      </c>
      <c r="AD269" s="6">
        <f>$O$269*$X$269</f>
        <v>2182.4047599999999</v>
      </c>
      <c r="AE269" s="6">
        <f>$K$269*$Y$269</f>
        <v>0</v>
      </c>
      <c r="AF269" s="6">
        <f ca="1">$M$269*$Z$269</f>
        <v>6419.2613427351143</v>
      </c>
      <c r="AG269" s="6">
        <f>$O$269*$AA$269</f>
        <v>2097.2560964974518</v>
      </c>
    </row>
    <row r="270" spans="1:33" ht="11.25" customHeight="1" x14ac:dyDescent="0.25">
      <c r="A270" s="4" t="s">
        <v>21</v>
      </c>
      <c r="B270" s="4" t="s">
        <v>22</v>
      </c>
      <c r="C270" s="4" t="s">
        <v>23</v>
      </c>
      <c r="D270" s="4" t="s">
        <v>24</v>
      </c>
      <c r="E270" s="4" t="s">
        <v>24</v>
      </c>
      <c r="F270" s="4" t="s">
        <v>25</v>
      </c>
      <c r="G270" s="4" t="s">
        <v>25</v>
      </c>
      <c r="H270" s="4" t="s">
        <v>25</v>
      </c>
      <c r="I270" s="5">
        <v>44713</v>
      </c>
      <c r="J270" s="6">
        <v>0</v>
      </c>
      <c r="K270" s="6">
        <v>0</v>
      </c>
      <c r="L270" s="6">
        <v>956.46100000000001</v>
      </c>
      <c r="M270" s="6">
        <v>956.46100000000001</v>
      </c>
      <c r="N270" s="6">
        <v>956.46100000000001</v>
      </c>
      <c r="O270" s="6">
        <v>956.46100000000001</v>
      </c>
      <c r="P270" s="6">
        <v>4835</v>
      </c>
      <c r="Q270" s="4" t="s">
        <v>26</v>
      </c>
      <c r="R270" s="4">
        <v>0</v>
      </c>
      <c r="S270" s="6">
        <v>0</v>
      </c>
      <c r="T270" s="6">
        <v>2</v>
      </c>
      <c r="U270" s="6">
        <v>32</v>
      </c>
      <c r="V270" s="6">
        <f>IF(ISERROR(VLOOKUP($S$270,'TAR FIN'!$A$1:$O$85,15,0)),0,VLOOKUP($S$270,'TAR FIN'!$A$1:$O$85,15,0))</f>
        <v>0</v>
      </c>
      <c r="W270" s="6">
        <f>IF(ISERROR(VLOOKUP($T$270,'TAR FIN'!$A$1:$O$85,15,0)),0,VLOOKUP($T$270,'TAR FIN'!$A$1:$O$85,15,0))</f>
        <v>377.01</v>
      </c>
      <c r="X270" s="6">
        <f>IF(ISERROR(VLOOKUP($U$270,'TAR FIN'!$A$1:$O$85,15,0)),0,VLOOKUP($U$270,'TAR FIN'!$A$1:$O$85,15,0))</f>
        <v>141.32</v>
      </c>
      <c r="Y270" s="6"/>
      <c r="Z270" s="6">
        <f ca="1">('TUSD BE'!$AM$20+'TUSD BF'!$AM$20+'TUSD CVA'!$AM$20)*1</f>
        <v>415.67450254064073</v>
      </c>
      <c r="AA270" s="6">
        <f>('TE BE'!$AB$10+'TE BF'!$AB$10+'TE CVA'!$AB$10)*1</f>
        <v>135.80626150990429</v>
      </c>
      <c r="AB270" s="6">
        <f>$K$270*$V$270</f>
        <v>0</v>
      </c>
      <c r="AC270" s="6">
        <f>$M$270*$W$270</f>
        <v>360595.36161000002</v>
      </c>
      <c r="AD270" s="6">
        <f>$O$270*$X$270</f>
        <v>135167.06852</v>
      </c>
      <c r="AE270" s="6">
        <f>$K$270*$Y$270</f>
        <v>0</v>
      </c>
      <c r="AF270" s="6">
        <f ca="1">$M$270*$Z$270</f>
        <v>397576.45037452376</v>
      </c>
      <c r="AG270" s="6">
        <f>$O$270*$AA$270</f>
        <v>129893.39269002457</v>
      </c>
    </row>
    <row r="271" spans="1:33" ht="11.25" customHeight="1" x14ac:dyDescent="0.25">
      <c r="A271" s="4" t="s">
        <v>27</v>
      </c>
      <c r="B271" s="4" t="s">
        <v>22</v>
      </c>
      <c r="C271" s="4" t="s">
        <v>23</v>
      </c>
      <c r="D271" s="4" t="s">
        <v>24</v>
      </c>
      <c r="E271" s="4" t="s">
        <v>24</v>
      </c>
      <c r="F271" s="4" t="s">
        <v>25</v>
      </c>
      <c r="G271" s="4" t="s">
        <v>25</v>
      </c>
      <c r="H271" s="4" t="s">
        <v>25</v>
      </c>
      <c r="I271" s="5">
        <v>44713</v>
      </c>
      <c r="J271" s="6">
        <v>0</v>
      </c>
      <c r="K271" s="6">
        <v>0</v>
      </c>
      <c r="L271" s="6">
        <v>0.59099999999999997</v>
      </c>
      <c r="M271" s="6">
        <v>0.59099999999999997</v>
      </c>
      <c r="N271" s="6">
        <v>0.59099999999999997</v>
      </c>
      <c r="O271" s="6">
        <v>0.59099999999999997</v>
      </c>
      <c r="P271" s="6">
        <v>0</v>
      </c>
      <c r="Q271" s="4" t="s">
        <v>26</v>
      </c>
      <c r="R271" s="4">
        <v>0</v>
      </c>
      <c r="S271" s="6">
        <v>0</v>
      </c>
      <c r="T271" s="6">
        <v>2</v>
      </c>
      <c r="U271" s="6">
        <v>32</v>
      </c>
      <c r="V271" s="6">
        <f>IF(ISERROR(VLOOKUP($S$271,'TAR FIN'!$A$1:$O$85,15,0)),0,VLOOKUP($S$271,'TAR FIN'!$A$1:$O$85,15,0))</f>
        <v>0</v>
      </c>
      <c r="W271" s="6">
        <f>IF(ISERROR(VLOOKUP($T$271,'TAR FIN'!$A$1:$O$85,15,0)),0,VLOOKUP($T$271,'TAR FIN'!$A$1:$O$85,15,0))</f>
        <v>377.01</v>
      </c>
      <c r="X271" s="6">
        <f>IF(ISERROR(VLOOKUP($U$271,'TAR FIN'!$A$1:$O$85,15,0)),0,VLOOKUP($U$271,'TAR FIN'!$A$1:$O$85,15,0))</f>
        <v>141.32</v>
      </c>
      <c r="Y271" s="6"/>
      <c r="Z271" s="6">
        <f ca="1">('TUSD BE'!$AM$20+'TUSD BF'!$AM$20+'TUSD CVA'!$AM$20)*1</f>
        <v>415.67450254064073</v>
      </c>
      <c r="AA271" s="6">
        <f>('TE BE'!$AB$10+'TE BF'!$AB$10+'TE CVA'!$AB$10)*1</f>
        <v>135.80626150990429</v>
      </c>
      <c r="AB271" s="6">
        <f>$K$271*$V$271</f>
        <v>0</v>
      </c>
      <c r="AC271" s="6">
        <f>$M$271*$W$271</f>
        <v>222.81290999999999</v>
      </c>
      <c r="AD271" s="6">
        <f>$O$271*$X$271</f>
        <v>83.520119999999991</v>
      </c>
      <c r="AE271" s="6">
        <f>$K$271*$Y$271</f>
        <v>0</v>
      </c>
      <c r="AF271" s="6">
        <f ca="1">$M$271*$Z$271</f>
        <v>245.66363100151867</v>
      </c>
      <c r="AG271" s="6">
        <f>$O$271*$AA$271</f>
        <v>80.261500552353425</v>
      </c>
    </row>
    <row r="272" spans="1:33" ht="11.25" customHeight="1" x14ac:dyDescent="0.25">
      <c r="A272" s="4" t="s">
        <v>28</v>
      </c>
      <c r="B272" s="4" t="s">
        <v>22</v>
      </c>
      <c r="C272" s="4" t="s">
        <v>23</v>
      </c>
      <c r="D272" s="4" t="s">
        <v>24</v>
      </c>
      <c r="E272" s="4" t="s">
        <v>24</v>
      </c>
      <c r="F272" s="4" t="s">
        <v>25</v>
      </c>
      <c r="G272" s="4" t="s">
        <v>25</v>
      </c>
      <c r="H272" s="4" t="s">
        <v>25</v>
      </c>
      <c r="I272" s="5">
        <v>44713</v>
      </c>
      <c r="J272" s="6">
        <v>0</v>
      </c>
      <c r="K272" s="6">
        <v>0</v>
      </c>
      <c r="L272" s="6">
        <v>20.507999999999999</v>
      </c>
      <c r="M272" s="6">
        <v>20.507999999999999</v>
      </c>
      <c r="N272" s="6">
        <v>20.507999999999999</v>
      </c>
      <c r="O272" s="6">
        <v>20.507999999999999</v>
      </c>
      <c r="P272" s="6">
        <v>123</v>
      </c>
      <c r="Q272" s="4" t="s">
        <v>26</v>
      </c>
      <c r="R272" s="4">
        <v>0</v>
      </c>
      <c r="S272" s="6">
        <v>0</v>
      </c>
      <c r="T272" s="6">
        <v>2</v>
      </c>
      <c r="U272" s="6">
        <v>32</v>
      </c>
      <c r="V272" s="6">
        <f>IF(ISERROR(VLOOKUP($S$272,'TAR FIN'!$A$1:$O$85,15,0)),0,VLOOKUP($S$272,'TAR FIN'!$A$1:$O$85,15,0))</f>
        <v>0</v>
      </c>
      <c r="W272" s="6">
        <f>IF(ISERROR(VLOOKUP($T$272,'TAR FIN'!$A$1:$O$85,15,0)),0,VLOOKUP($T$272,'TAR FIN'!$A$1:$O$85,15,0))</f>
        <v>377.01</v>
      </c>
      <c r="X272" s="6">
        <f>IF(ISERROR(VLOOKUP($U$272,'TAR FIN'!$A$1:$O$85,15,0)),0,VLOOKUP($U$272,'TAR FIN'!$A$1:$O$85,15,0))</f>
        <v>141.32</v>
      </c>
      <c r="Y272" s="6"/>
      <c r="Z272" s="6">
        <f ca="1">('TUSD BE'!$AM$20+'TUSD BF'!$AM$20+'TUSD CVA'!$AM$20)*1</f>
        <v>415.67450254064073</v>
      </c>
      <c r="AA272" s="6">
        <f>('TE BE'!$AB$10+'TE BF'!$AB$10+'TE CVA'!$AB$10)*1</f>
        <v>135.80626150990429</v>
      </c>
      <c r="AB272" s="6">
        <f>$K$272*$V$272</f>
        <v>0</v>
      </c>
      <c r="AC272" s="6">
        <f>$M$272*$W$272</f>
        <v>7731.7210799999993</v>
      </c>
      <c r="AD272" s="6">
        <f>$O$272*$X$272</f>
        <v>2898.1905599999996</v>
      </c>
      <c r="AE272" s="6">
        <f>$K$272*$Y$272</f>
        <v>0</v>
      </c>
      <c r="AF272" s="6">
        <f ca="1">$M$272*$Z$272</f>
        <v>8524.6526981034604</v>
      </c>
      <c r="AG272" s="6">
        <f>$O$272*$AA$272</f>
        <v>2785.1148110451172</v>
      </c>
    </row>
    <row r="273" spans="1:33" ht="11.25" customHeight="1" x14ac:dyDescent="0.25">
      <c r="A273" s="4" t="s">
        <v>21</v>
      </c>
      <c r="B273" s="4" t="s">
        <v>22</v>
      </c>
      <c r="C273" s="4" t="s">
        <v>23</v>
      </c>
      <c r="D273" s="4" t="s">
        <v>24</v>
      </c>
      <c r="E273" s="4" t="s">
        <v>24</v>
      </c>
      <c r="F273" s="4" t="s">
        <v>25</v>
      </c>
      <c r="G273" s="4" t="s">
        <v>25</v>
      </c>
      <c r="H273" s="4" t="s">
        <v>25</v>
      </c>
      <c r="I273" s="5">
        <v>44743</v>
      </c>
      <c r="J273" s="6">
        <v>0</v>
      </c>
      <c r="K273" s="6">
        <v>0</v>
      </c>
      <c r="L273" s="6">
        <v>949.07600000000002</v>
      </c>
      <c r="M273" s="6">
        <v>949.07600000000002</v>
      </c>
      <c r="N273" s="6">
        <v>949.07600000000002</v>
      </c>
      <c r="O273" s="6">
        <v>949.07600000000002</v>
      </c>
      <c r="P273" s="6">
        <v>4872</v>
      </c>
      <c r="Q273" s="4" t="s">
        <v>26</v>
      </c>
      <c r="R273" s="4">
        <v>0</v>
      </c>
      <c r="S273" s="6">
        <v>0</v>
      </c>
      <c r="T273" s="6">
        <v>2</v>
      </c>
      <c r="U273" s="6">
        <v>32</v>
      </c>
      <c r="V273" s="6">
        <f>IF(ISERROR(VLOOKUP($S$273,'TAR FIN'!$A$1:$O$85,15,0)),0,VLOOKUP($S$273,'TAR FIN'!$A$1:$O$85,15,0))</f>
        <v>0</v>
      </c>
      <c r="W273" s="6">
        <f>IF(ISERROR(VLOOKUP($T$273,'TAR FIN'!$A$1:$O$85,15,0)),0,VLOOKUP($T$273,'TAR FIN'!$A$1:$O$85,15,0))</f>
        <v>377.01</v>
      </c>
      <c r="X273" s="6">
        <f>IF(ISERROR(VLOOKUP($U$273,'TAR FIN'!$A$1:$O$85,15,0)),0,VLOOKUP($U$273,'TAR FIN'!$A$1:$O$85,15,0))</f>
        <v>141.32</v>
      </c>
      <c r="Y273" s="6"/>
      <c r="Z273" s="6">
        <f ca="1">('TUSD BE'!$AM$20+'TUSD BF'!$AM$20+'TUSD CVA'!$AM$20)*1</f>
        <v>415.67450254064073</v>
      </c>
      <c r="AA273" s="6">
        <f>('TE BE'!$AB$10+'TE BF'!$AB$10+'TE CVA'!$AB$10)*1</f>
        <v>135.80626150990429</v>
      </c>
      <c r="AB273" s="6">
        <f>$K$273*$V$273</f>
        <v>0</v>
      </c>
      <c r="AC273" s="6">
        <f>$M$273*$W$273</f>
        <v>357811.14276000002</v>
      </c>
      <c r="AD273" s="6">
        <f>$O$273*$X$273</f>
        <v>134123.42032</v>
      </c>
      <c r="AE273" s="6">
        <f>$K$273*$Y$273</f>
        <v>0</v>
      </c>
      <c r="AF273" s="6">
        <f ca="1">$M$273*$Z$273</f>
        <v>394506.69417326117</v>
      </c>
      <c r="AG273" s="6">
        <f>$O$273*$AA$273</f>
        <v>128890.46344877392</v>
      </c>
    </row>
    <row r="274" spans="1:33" ht="11.25" customHeight="1" x14ac:dyDescent="0.25">
      <c r="A274" s="4" t="s">
        <v>27</v>
      </c>
      <c r="B274" s="4" t="s">
        <v>22</v>
      </c>
      <c r="C274" s="4" t="s">
        <v>23</v>
      </c>
      <c r="D274" s="4" t="s">
        <v>24</v>
      </c>
      <c r="E274" s="4" t="s">
        <v>24</v>
      </c>
      <c r="F274" s="4" t="s">
        <v>25</v>
      </c>
      <c r="G274" s="4" t="s">
        <v>25</v>
      </c>
      <c r="H274" s="4" t="s">
        <v>25</v>
      </c>
      <c r="I274" s="5">
        <v>44743</v>
      </c>
      <c r="J274" s="6">
        <v>0</v>
      </c>
      <c r="K274" s="6">
        <v>0</v>
      </c>
      <c r="L274" s="6">
        <v>-1.8740000000000001</v>
      </c>
      <c r="M274" s="6">
        <v>-1.8740000000000001</v>
      </c>
      <c r="N274" s="6">
        <v>-1.8740000000000001</v>
      </c>
      <c r="O274" s="6">
        <v>-1.8740000000000001</v>
      </c>
      <c r="P274" s="6">
        <v>0</v>
      </c>
      <c r="Q274" s="4" t="s">
        <v>26</v>
      </c>
      <c r="R274" s="4">
        <v>0</v>
      </c>
      <c r="S274" s="6">
        <v>0</v>
      </c>
      <c r="T274" s="6">
        <v>2</v>
      </c>
      <c r="U274" s="6">
        <v>32</v>
      </c>
      <c r="V274" s="6">
        <f>IF(ISERROR(VLOOKUP($S$274,'TAR FIN'!$A$1:$O$85,15,0)),0,VLOOKUP($S$274,'TAR FIN'!$A$1:$O$85,15,0))</f>
        <v>0</v>
      </c>
      <c r="W274" s="6">
        <f>IF(ISERROR(VLOOKUP($T$274,'TAR FIN'!$A$1:$O$85,15,0)),0,VLOOKUP($T$274,'TAR FIN'!$A$1:$O$85,15,0))</f>
        <v>377.01</v>
      </c>
      <c r="X274" s="6">
        <f>IF(ISERROR(VLOOKUP($U$274,'TAR FIN'!$A$1:$O$85,15,0)),0,VLOOKUP($U$274,'TAR FIN'!$A$1:$O$85,15,0))</f>
        <v>141.32</v>
      </c>
      <c r="Y274" s="6"/>
      <c r="Z274" s="6">
        <f ca="1">('TUSD BE'!$AM$20+'TUSD BF'!$AM$20+'TUSD CVA'!$AM$20)*1</f>
        <v>415.67450254064073</v>
      </c>
      <c r="AA274" s="6">
        <f>('TE BE'!$AB$10+'TE BF'!$AB$10+'TE CVA'!$AB$10)*1</f>
        <v>135.80626150990429</v>
      </c>
      <c r="AB274" s="6">
        <f>$K$274*$V$274</f>
        <v>0</v>
      </c>
      <c r="AC274" s="6">
        <f>$M$274*$W$274</f>
        <v>-706.51674000000003</v>
      </c>
      <c r="AD274" s="6">
        <f>$O$274*$X$274</f>
        <v>-264.83368000000002</v>
      </c>
      <c r="AE274" s="6">
        <f>$K$274*$Y$274</f>
        <v>0</v>
      </c>
      <c r="AF274" s="6">
        <f ca="1">$M$274*$Z$274</f>
        <v>-778.97401776116078</v>
      </c>
      <c r="AG274" s="6">
        <f>$O$274*$AA$274</f>
        <v>-254.50093406956066</v>
      </c>
    </row>
    <row r="275" spans="1:33" ht="11.25" customHeight="1" x14ac:dyDescent="0.25">
      <c r="A275" s="4" t="s">
        <v>28</v>
      </c>
      <c r="B275" s="4" t="s">
        <v>22</v>
      </c>
      <c r="C275" s="4" t="s">
        <v>23</v>
      </c>
      <c r="D275" s="4" t="s">
        <v>24</v>
      </c>
      <c r="E275" s="4" t="s">
        <v>24</v>
      </c>
      <c r="F275" s="4" t="s">
        <v>25</v>
      </c>
      <c r="G275" s="4" t="s">
        <v>25</v>
      </c>
      <c r="H275" s="4" t="s">
        <v>25</v>
      </c>
      <c r="I275" s="5">
        <v>44743</v>
      </c>
      <c r="J275" s="6">
        <v>0</v>
      </c>
      <c r="K275" s="6">
        <v>0</v>
      </c>
      <c r="L275" s="6">
        <v>16.646000000000001</v>
      </c>
      <c r="M275" s="6">
        <v>16.646000000000001</v>
      </c>
      <c r="N275" s="6">
        <v>16.646000000000001</v>
      </c>
      <c r="O275" s="6">
        <v>16.646000000000001</v>
      </c>
      <c r="P275" s="6">
        <v>138</v>
      </c>
      <c r="Q275" s="4" t="s">
        <v>26</v>
      </c>
      <c r="R275" s="4">
        <v>0</v>
      </c>
      <c r="S275" s="6">
        <v>0</v>
      </c>
      <c r="T275" s="6">
        <v>2</v>
      </c>
      <c r="U275" s="6">
        <v>32</v>
      </c>
      <c r="V275" s="6">
        <f>IF(ISERROR(VLOOKUP($S$275,'TAR FIN'!$A$1:$O$85,15,0)),0,VLOOKUP($S$275,'TAR FIN'!$A$1:$O$85,15,0))</f>
        <v>0</v>
      </c>
      <c r="W275" s="6">
        <f>IF(ISERROR(VLOOKUP($T$275,'TAR FIN'!$A$1:$O$85,15,0)),0,VLOOKUP($T$275,'TAR FIN'!$A$1:$O$85,15,0))</f>
        <v>377.01</v>
      </c>
      <c r="X275" s="6">
        <f>IF(ISERROR(VLOOKUP($U$275,'TAR FIN'!$A$1:$O$85,15,0)),0,VLOOKUP($U$275,'TAR FIN'!$A$1:$O$85,15,0))</f>
        <v>141.32</v>
      </c>
      <c r="Y275" s="6"/>
      <c r="Z275" s="6">
        <f ca="1">('TUSD BE'!$AM$20+'TUSD BF'!$AM$20+'TUSD CVA'!$AM$20)*1</f>
        <v>415.67450254064073</v>
      </c>
      <c r="AA275" s="6">
        <f>('TE BE'!$AB$10+'TE BF'!$AB$10+'TE CVA'!$AB$10)*1</f>
        <v>135.80626150990429</v>
      </c>
      <c r="AB275" s="6">
        <f>$K$275*$V$275</f>
        <v>0</v>
      </c>
      <c r="AC275" s="6">
        <f>$M$275*$W$275</f>
        <v>6275.7084599999998</v>
      </c>
      <c r="AD275" s="6">
        <f>$O$275*$X$275</f>
        <v>2352.4127199999998</v>
      </c>
      <c r="AE275" s="6">
        <f>$K$275*$Y$275</f>
        <v>0</v>
      </c>
      <c r="AF275" s="6">
        <f ca="1">$M$275*$Z$275</f>
        <v>6919.317769291506</v>
      </c>
      <c r="AG275" s="6">
        <f>$O$275*$AA$275</f>
        <v>2260.6310290938668</v>
      </c>
    </row>
    <row r="276" spans="1:33" ht="11.25" customHeight="1" x14ac:dyDescent="0.25">
      <c r="A276" s="4" t="s">
        <v>21</v>
      </c>
      <c r="B276" s="4" t="s">
        <v>22</v>
      </c>
      <c r="C276" s="4" t="s">
        <v>23</v>
      </c>
      <c r="D276" s="4" t="s">
        <v>24</v>
      </c>
      <c r="E276" s="4" t="s">
        <v>24</v>
      </c>
      <c r="F276" s="4" t="s">
        <v>25</v>
      </c>
      <c r="G276" s="4" t="s">
        <v>25</v>
      </c>
      <c r="H276" s="4" t="s">
        <v>25</v>
      </c>
      <c r="I276" s="5">
        <v>44774</v>
      </c>
      <c r="J276" s="6">
        <v>0</v>
      </c>
      <c r="K276" s="6">
        <v>0</v>
      </c>
      <c r="L276" s="6">
        <v>903.13300000000004</v>
      </c>
      <c r="M276" s="6">
        <v>903.13300000000004</v>
      </c>
      <c r="N276" s="6">
        <v>903.13300000000004</v>
      </c>
      <c r="O276" s="6">
        <v>903.13300000000004</v>
      </c>
      <c r="P276" s="6">
        <v>4881</v>
      </c>
      <c r="Q276" s="4" t="s">
        <v>26</v>
      </c>
      <c r="R276" s="4">
        <v>0</v>
      </c>
      <c r="S276" s="6">
        <v>0</v>
      </c>
      <c r="T276" s="6">
        <v>2</v>
      </c>
      <c r="U276" s="6">
        <v>32</v>
      </c>
      <c r="V276" s="6">
        <f>IF(ISERROR(VLOOKUP($S$276,'TAR FIN'!$A$1:$O$85,15,0)),0,VLOOKUP($S$276,'TAR FIN'!$A$1:$O$85,15,0))</f>
        <v>0</v>
      </c>
      <c r="W276" s="6">
        <f>IF(ISERROR(VLOOKUP($T$276,'TAR FIN'!$A$1:$O$85,15,0)),0,VLOOKUP($T$276,'TAR FIN'!$A$1:$O$85,15,0))</f>
        <v>377.01</v>
      </c>
      <c r="X276" s="6">
        <f>IF(ISERROR(VLOOKUP($U$276,'TAR FIN'!$A$1:$O$85,15,0)),0,VLOOKUP($U$276,'TAR FIN'!$A$1:$O$85,15,0))</f>
        <v>141.32</v>
      </c>
      <c r="Y276" s="6"/>
      <c r="Z276" s="6">
        <f ca="1">('TUSD BE'!$AM$20+'TUSD BF'!$AM$20+'TUSD CVA'!$AM$20)*1</f>
        <v>415.67450254064073</v>
      </c>
      <c r="AA276" s="6">
        <f>('TE BE'!$AB$10+'TE BF'!$AB$10+'TE CVA'!$AB$10)*1</f>
        <v>135.80626150990429</v>
      </c>
      <c r="AB276" s="6">
        <f>$K$276*$V$276</f>
        <v>0</v>
      </c>
      <c r="AC276" s="6">
        <f>$M$276*$W$276</f>
        <v>340490.17233000003</v>
      </c>
      <c r="AD276" s="6">
        <f>$O$276*$X$276</f>
        <v>127630.75556000001</v>
      </c>
      <c r="AE276" s="6">
        <f>$K$276*$Y$276</f>
        <v>0</v>
      </c>
      <c r="AF276" s="6">
        <f ca="1">$M$276*$Z$276</f>
        <v>375409.36050303653</v>
      </c>
      <c r="AG276" s="6">
        <f>$O$276*$AA$276</f>
        <v>122651.1163762244</v>
      </c>
    </row>
    <row r="277" spans="1:33" ht="11.25" customHeight="1" x14ac:dyDescent="0.25">
      <c r="A277" s="4" t="s">
        <v>27</v>
      </c>
      <c r="B277" s="4" t="s">
        <v>22</v>
      </c>
      <c r="C277" s="4" t="s">
        <v>23</v>
      </c>
      <c r="D277" s="4" t="s">
        <v>24</v>
      </c>
      <c r="E277" s="4" t="s">
        <v>24</v>
      </c>
      <c r="F277" s="4" t="s">
        <v>25</v>
      </c>
      <c r="G277" s="4" t="s">
        <v>25</v>
      </c>
      <c r="H277" s="4" t="s">
        <v>25</v>
      </c>
      <c r="I277" s="5">
        <v>44774</v>
      </c>
      <c r="J277" s="6">
        <v>0</v>
      </c>
      <c r="K277" s="6">
        <v>0</v>
      </c>
      <c r="L277" s="6">
        <v>-0.26</v>
      </c>
      <c r="M277" s="6">
        <v>-0.26</v>
      </c>
      <c r="N277" s="6">
        <v>-0.26</v>
      </c>
      <c r="O277" s="6">
        <v>-0.26</v>
      </c>
      <c r="P277" s="6">
        <v>0</v>
      </c>
      <c r="Q277" s="4" t="s">
        <v>26</v>
      </c>
      <c r="R277" s="4">
        <v>0</v>
      </c>
      <c r="S277" s="6">
        <v>0</v>
      </c>
      <c r="T277" s="6">
        <v>2</v>
      </c>
      <c r="U277" s="6">
        <v>32</v>
      </c>
      <c r="V277" s="6">
        <f>IF(ISERROR(VLOOKUP($S$277,'TAR FIN'!$A$1:$O$85,15,0)),0,VLOOKUP($S$277,'TAR FIN'!$A$1:$O$85,15,0))</f>
        <v>0</v>
      </c>
      <c r="W277" s="6">
        <f>IF(ISERROR(VLOOKUP($T$277,'TAR FIN'!$A$1:$O$85,15,0)),0,VLOOKUP($T$277,'TAR FIN'!$A$1:$O$85,15,0))</f>
        <v>377.01</v>
      </c>
      <c r="X277" s="6">
        <f>IF(ISERROR(VLOOKUP($U$277,'TAR FIN'!$A$1:$O$85,15,0)),0,VLOOKUP($U$277,'TAR FIN'!$A$1:$O$85,15,0))</f>
        <v>141.32</v>
      </c>
      <c r="Y277" s="6"/>
      <c r="Z277" s="6">
        <f ca="1">('TUSD BE'!$AM$20+'TUSD BF'!$AM$20+'TUSD CVA'!$AM$20)*1</f>
        <v>415.67450254064073</v>
      </c>
      <c r="AA277" s="6">
        <f>('TE BE'!$AB$10+'TE BF'!$AB$10+'TE CVA'!$AB$10)*1</f>
        <v>135.80626150990429</v>
      </c>
      <c r="AB277" s="6">
        <f>$K$277*$V$277</f>
        <v>0</v>
      </c>
      <c r="AC277" s="6">
        <f>$M$277*$W$277</f>
        <v>-98.022599999999997</v>
      </c>
      <c r="AD277" s="6">
        <f>$O$277*$X$277</f>
        <v>-36.743200000000002</v>
      </c>
      <c r="AE277" s="6">
        <f>$K$277*$Y$277</f>
        <v>0</v>
      </c>
      <c r="AF277" s="6">
        <f ca="1">$M$277*$Z$277</f>
        <v>-108.07537066056659</v>
      </c>
      <c r="AG277" s="6">
        <f>$O$277*$AA$277</f>
        <v>-35.309627992575116</v>
      </c>
    </row>
    <row r="278" spans="1:33" ht="11.25" customHeight="1" x14ac:dyDescent="0.25">
      <c r="A278" s="4" t="s">
        <v>28</v>
      </c>
      <c r="B278" s="4" t="s">
        <v>22</v>
      </c>
      <c r="C278" s="4" t="s">
        <v>23</v>
      </c>
      <c r="D278" s="4" t="s">
        <v>24</v>
      </c>
      <c r="E278" s="4" t="s">
        <v>24</v>
      </c>
      <c r="F278" s="4" t="s">
        <v>25</v>
      </c>
      <c r="G278" s="4" t="s">
        <v>25</v>
      </c>
      <c r="H278" s="4" t="s">
        <v>25</v>
      </c>
      <c r="I278" s="5">
        <v>44774</v>
      </c>
      <c r="J278" s="6">
        <v>0</v>
      </c>
      <c r="K278" s="6">
        <v>0</v>
      </c>
      <c r="L278" s="6">
        <v>14.824</v>
      </c>
      <c r="M278" s="6">
        <v>14.824</v>
      </c>
      <c r="N278" s="6">
        <v>14.824</v>
      </c>
      <c r="O278" s="6">
        <v>14.824</v>
      </c>
      <c r="P278" s="6">
        <v>152</v>
      </c>
      <c r="Q278" s="4" t="s">
        <v>26</v>
      </c>
      <c r="R278" s="4">
        <v>0</v>
      </c>
      <c r="S278" s="6">
        <v>0</v>
      </c>
      <c r="T278" s="6">
        <v>2</v>
      </c>
      <c r="U278" s="6">
        <v>32</v>
      </c>
      <c r="V278" s="6">
        <f>IF(ISERROR(VLOOKUP($S$278,'TAR FIN'!$A$1:$O$85,15,0)),0,VLOOKUP($S$278,'TAR FIN'!$A$1:$O$85,15,0))</f>
        <v>0</v>
      </c>
      <c r="W278" s="6">
        <f>IF(ISERROR(VLOOKUP($T$278,'TAR FIN'!$A$1:$O$85,15,0)),0,VLOOKUP($T$278,'TAR FIN'!$A$1:$O$85,15,0))</f>
        <v>377.01</v>
      </c>
      <c r="X278" s="6">
        <f>IF(ISERROR(VLOOKUP($U$278,'TAR FIN'!$A$1:$O$85,15,0)),0,VLOOKUP($U$278,'TAR FIN'!$A$1:$O$85,15,0))</f>
        <v>141.32</v>
      </c>
      <c r="Y278" s="6"/>
      <c r="Z278" s="6">
        <f ca="1">('TUSD BE'!$AM$20+'TUSD BF'!$AM$20+'TUSD CVA'!$AM$20)*1</f>
        <v>415.67450254064073</v>
      </c>
      <c r="AA278" s="6">
        <f>('TE BE'!$AB$10+'TE BF'!$AB$10+'TE CVA'!$AB$10)*1</f>
        <v>135.80626150990429</v>
      </c>
      <c r="AB278" s="6">
        <f>$K$278*$V$278</f>
        <v>0</v>
      </c>
      <c r="AC278" s="6">
        <f>$M$278*$W$278</f>
        <v>5588.7962399999997</v>
      </c>
      <c r="AD278" s="6">
        <f>$O$278*$X$278</f>
        <v>2094.9276799999998</v>
      </c>
      <c r="AE278" s="6">
        <f>$K$278*$Y$278</f>
        <v>0</v>
      </c>
      <c r="AF278" s="6">
        <f ca="1">$M$278*$Z$278</f>
        <v>6161.9588256624584</v>
      </c>
      <c r="AG278" s="6">
        <f>$O$278*$AA$278</f>
        <v>2013.1920206228212</v>
      </c>
    </row>
    <row r="279" spans="1:33" ht="11.25" customHeight="1" x14ac:dyDescent="0.25">
      <c r="A279" s="4" t="s">
        <v>28</v>
      </c>
      <c r="B279" s="4" t="s">
        <v>22</v>
      </c>
      <c r="C279" s="4" t="s">
        <v>23</v>
      </c>
      <c r="D279" s="4" t="s">
        <v>24</v>
      </c>
      <c r="E279" s="4" t="s">
        <v>24</v>
      </c>
      <c r="F279" s="4" t="s">
        <v>25</v>
      </c>
      <c r="G279" s="4" t="s">
        <v>25</v>
      </c>
      <c r="H279" s="4" t="s">
        <v>25</v>
      </c>
      <c r="I279" s="5">
        <v>44774</v>
      </c>
      <c r="J279" s="6">
        <v>0</v>
      </c>
      <c r="K279" s="6">
        <v>0</v>
      </c>
      <c r="L279" s="6">
        <v>-0.41299999999999998</v>
      </c>
      <c r="M279" s="6">
        <v>-0.41299999999999998</v>
      </c>
      <c r="N279" s="6">
        <v>-0.41299999999999998</v>
      </c>
      <c r="O279" s="6">
        <v>-0.41299999999999998</v>
      </c>
      <c r="P279" s="6">
        <v>2</v>
      </c>
      <c r="Q279" s="4" t="s">
        <v>26</v>
      </c>
      <c r="R279" s="4">
        <v>0</v>
      </c>
      <c r="S279" s="6">
        <v>0</v>
      </c>
      <c r="T279" s="6">
        <v>2</v>
      </c>
      <c r="U279" s="6">
        <v>32</v>
      </c>
      <c r="V279" s="6">
        <f>IF(ISERROR(VLOOKUP($S$279,'TAR FIN'!$A$1:$O$85,15,0)),0,VLOOKUP($S$279,'TAR FIN'!$A$1:$O$85,15,0))</f>
        <v>0</v>
      </c>
      <c r="W279" s="6">
        <f>IF(ISERROR(VLOOKUP($T$279,'TAR FIN'!$A$1:$O$85,15,0)),0,VLOOKUP($T$279,'TAR FIN'!$A$1:$O$85,15,0))</f>
        <v>377.01</v>
      </c>
      <c r="X279" s="6">
        <f>IF(ISERROR(VLOOKUP($U$279,'TAR FIN'!$A$1:$O$85,15,0)),0,VLOOKUP($U$279,'TAR FIN'!$A$1:$O$85,15,0))</f>
        <v>141.32</v>
      </c>
      <c r="Y279" s="6"/>
      <c r="Z279" s="6">
        <f ca="1">('TUSD BE'!$AM$20+'TUSD BF'!$AM$20+'TUSD CVA'!$AM$20)*1</f>
        <v>415.67450254064073</v>
      </c>
      <c r="AA279" s="6">
        <f>('TE BE'!$AB$10+'TE BF'!$AB$10+'TE CVA'!$AB$10)*1</f>
        <v>135.80626150990429</v>
      </c>
      <c r="AB279" s="6">
        <f>$K$279*$V$279</f>
        <v>0</v>
      </c>
      <c r="AC279" s="6">
        <f>$M$279*$W$279</f>
        <v>-155.70513</v>
      </c>
      <c r="AD279" s="6">
        <f>$O$279*$X$279</f>
        <v>-58.365159999999996</v>
      </c>
      <c r="AE279" s="6">
        <f>$K$279*$Y$279</f>
        <v>0</v>
      </c>
      <c r="AF279" s="6">
        <f ca="1">$M$279*$Z$279</f>
        <v>-171.67356954928462</v>
      </c>
      <c r="AG279" s="6">
        <f>$O$279*$AA$279</f>
        <v>-56.087986003590466</v>
      </c>
    </row>
    <row r="280" spans="1:33" ht="11.25" customHeight="1" x14ac:dyDescent="0.25">
      <c r="A280" s="4" t="s">
        <v>21</v>
      </c>
      <c r="B280" s="4" t="s">
        <v>22</v>
      </c>
      <c r="C280" s="4" t="s">
        <v>23</v>
      </c>
      <c r="D280" s="4" t="s">
        <v>24</v>
      </c>
      <c r="E280" s="4" t="s">
        <v>29</v>
      </c>
      <c r="F280" s="4" t="s">
        <v>25</v>
      </c>
      <c r="G280" s="4" t="s">
        <v>25</v>
      </c>
      <c r="H280" s="4" t="s">
        <v>25</v>
      </c>
      <c r="I280" s="5">
        <v>44440</v>
      </c>
      <c r="J280" s="6">
        <v>0</v>
      </c>
      <c r="K280" s="6">
        <v>0</v>
      </c>
      <c r="L280" s="6">
        <v>1.0249999999999999</v>
      </c>
      <c r="M280" s="6">
        <v>1.0249999999999999</v>
      </c>
      <c r="N280" s="6">
        <v>1.0249999999999999</v>
      </c>
      <c r="O280" s="6">
        <v>1.0249999999999999</v>
      </c>
      <c r="P280" s="6">
        <v>3</v>
      </c>
      <c r="Q280" s="4" t="s">
        <v>26</v>
      </c>
      <c r="R280" s="4">
        <v>0</v>
      </c>
      <c r="S280" s="6">
        <v>0</v>
      </c>
      <c r="T280" s="6">
        <v>21</v>
      </c>
      <c r="U280" s="6">
        <v>39</v>
      </c>
      <c r="V280" s="6">
        <f>IF(ISERROR(VLOOKUP($S$280,'TAR FIN'!$A$1:$O$85,15,0)),0,VLOOKUP($S$280,'TAR FIN'!$A$1:$O$85,15,0))</f>
        <v>0</v>
      </c>
      <c r="W280" s="6">
        <f>IF(ISERROR(VLOOKUP($T$280,'TAR FIN'!$A$1:$O$85,15,0)),0,VLOOKUP($T$280,'TAR FIN'!$A$1:$O$85,15,0))</f>
        <v>108.8</v>
      </c>
      <c r="X280" s="6">
        <f>IF(ISERROR(VLOOKUP($U$280,'TAR FIN'!$A$1:$O$85,15,0)),0,VLOOKUP($U$280,'TAR FIN'!$A$1:$O$85,15,0))</f>
        <v>49.46</v>
      </c>
      <c r="Y280" s="6"/>
      <c r="Z280" s="6">
        <f ca="1">('TUSD BE'!$AM$21+'TUSD BF'!$AM$21+'TUSD CVA'!$AM$21-('TUSD BE'!$P$21+'TUSD BF'!$P$21+'TUSD CVA'!$P$21)-('TUSD BE'!$Q$21+'TUSD BF'!$Q$21+'TUSD CVA'!$Q$21)-('TUSD BE'!$R$21+'TUSD BF'!$R$21+'TUSD CVA'!$R$21))*(1-CUSTOS!$M$34)</f>
        <v>108.24753272667745</v>
      </c>
      <c r="AA280" s="6">
        <f>('TE BE'!$AB$11+'TE BF'!$AB$11+'TE CVA'!$AB$11)*(1-CUSTOS!$M$34)</f>
        <v>47.532191528466498</v>
      </c>
      <c r="AB280" s="6">
        <f>$K$280*$V$280</f>
        <v>0</v>
      </c>
      <c r="AC280" s="6">
        <f>$M$280*$W$280</f>
        <v>111.51999999999998</v>
      </c>
      <c r="AD280" s="6">
        <f>$O$280*$X$280</f>
        <v>50.696499999999993</v>
      </c>
      <c r="AE280" s="6">
        <f>$K$280*$Y$280</f>
        <v>0</v>
      </c>
      <c r="AF280" s="6">
        <f ca="1">$M$280*$Z$280</f>
        <v>110.95372104484437</v>
      </c>
      <c r="AG280" s="6">
        <f>$O$280*$AA$280</f>
        <v>48.720496316678158</v>
      </c>
    </row>
    <row r="281" spans="1:33" ht="11.25" customHeight="1" x14ac:dyDescent="0.25">
      <c r="A281" s="4" t="s">
        <v>21</v>
      </c>
      <c r="B281" s="4" t="s">
        <v>22</v>
      </c>
      <c r="C281" s="4" t="s">
        <v>23</v>
      </c>
      <c r="D281" s="4" t="s">
        <v>24</v>
      </c>
      <c r="E281" s="4" t="s">
        <v>29</v>
      </c>
      <c r="F281" s="4" t="s">
        <v>25</v>
      </c>
      <c r="G281" s="4" t="s">
        <v>25</v>
      </c>
      <c r="H281" s="4" t="s">
        <v>25</v>
      </c>
      <c r="I281" s="5">
        <v>44470</v>
      </c>
      <c r="J281" s="6">
        <v>0</v>
      </c>
      <c r="K281" s="6">
        <v>0</v>
      </c>
      <c r="L281" s="6">
        <v>1.05</v>
      </c>
      <c r="M281" s="6">
        <v>1.05</v>
      </c>
      <c r="N281" s="6">
        <v>1.05</v>
      </c>
      <c r="O281" s="6">
        <v>1.05</v>
      </c>
      <c r="P281" s="6">
        <v>0</v>
      </c>
      <c r="Q281" s="4" t="s">
        <v>26</v>
      </c>
      <c r="R281" s="4">
        <v>0</v>
      </c>
      <c r="S281" s="6">
        <v>0</v>
      </c>
      <c r="T281" s="6">
        <v>21</v>
      </c>
      <c r="U281" s="6">
        <v>39</v>
      </c>
      <c r="V281" s="6">
        <f>IF(ISERROR(VLOOKUP($S$281,'TAR FIN'!$A$1:$O$85,15,0)),0,VLOOKUP($S$281,'TAR FIN'!$A$1:$O$85,15,0))</f>
        <v>0</v>
      </c>
      <c r="W281" s="6">
        <f>IF(ISERROR(VLOOKUP($T$281,'TAR FIN'!$A$1:$O$85,15,0)),0,VLOOKUP($T$281,'TAR FIN'!$A$1:$O$85,15,0))</f>
        <v>108.8</v>
      </c>
      <c r="X281" s="6">
        <f>IF(ISERROR(VLOOKUP($U$281,'TAR FIN'!$A$1:$O$85,15,0)),0,VLOOKUP($U$281,'TAR FIN'!$A$1:$O$85,15,0))</f>
        <v>49.46</v>
      </c>
      <c r="Y281" s="6"/>
      <c r="Z281" s="6">
        <f ca="1">('TUSD BE'!$AM$21+'TUSD BF'!$AM$21+'TUSD CVA'!$AM$21-('TUSD BE'!$P$21+'TUSD BF'!$P$21+'TUSD CVA'!$P$21)-('TUSD BE'!$Q$21+'TUSD BF'!$Q$21+'TUSD CVA'!$Q$21)-('TUSD BE'!$R$21+'TUSD BF'!$R$21+'TUSD CVA'!$R$21))*(1-CUSTOS!$M$34)</f>
        <v>108.24753272667745</v>
      </c>
      <c r="AA281" s="6">
        <f>('TE BE'!$AB$11+'TE BF'!$AB$11+'TE CVA'!$AB$11)*(1-CUSTOS!$M$34)</f>
        <v>47.532191528466498</v>
      </c>
      <c r="AB281" s="6">
        <f>$K$281*$V$281</f>
        <v>0</v>
      </c>
      <c r="AC281" s="6">
        <f>$M$281*$W$281</f>
        <v>114.24</v>
      </c>
      <c r="AD281" s="6">
        <f>$O$281*$X$281</f>
        <v>51.933</v>
      </c>
      <c r="AE281" s="6">
        <f>$K$281*$Y$281</f>
        <v>0</v>
      </c>
      <c r="AF281" s="6">
        <f ca="1">$M$281*$Z$281</f>
        <v>113.65990936301132</v>
      </c>
      <c r="AG281" s="6">
        <f>$O$281*$AA$281</f>
        <v>49.908801104889825</v>
      </c>
    </row>
    <row r="282" spans="1:33" ht="11.25" customHeight="1" x14ac:dyDescent="0.25">
      <c r="A282" s="4" t="s">
        <v>21</v>
      </c>
      <c r="B282" s="4" t="s">
        <v>22</v>
      </c>
      <c r="C282" s="4" t="s">
        <v>23</v>
      </c>
      <c r="D282" s="4" t="s">
        <v>24</v>
      </c>
      <c r="E282" s="4" t="s">
        <v>29</v>
      </c>
      <c r="F282" s="4" t="s">
        <v>25</v>
      </c>
      <c r="G282" s="4" t="s">
        <v>25</v>
      </c>
      <c r="H282" s="4" t="s">
        <v>25</v>
      </c>
      <c r="I282" s="5">
        <v>44501</v>
      </c>
      <c r="J282" s="6">
        <v>0</v>
      </c>
      <c r="K282" s="6">
        <v>0</v>
      </c>
      <c r="L282" s="6">
        <v>1.1399999999999999</v>
      </c>
      <c r="M282" s="6">
        <v>1.1399999999999999</v>
      </c>
      <c r="N282" s="6">
        <v>1.1399999999999999</v>
      </c>
      <c r="O282" s="6">
        <v>1.1399999999999999</v>
      </c>
      <c r="P282" s="6">
        <v>1</v>
      </c>
      <c r="Q282" s="4" t="s">
        <v>26</v>
      </c>
      <c r="R282" s="4">
        <v>0</v>
      </c>
      <c r="S282" s="6">
        <v>0</v>
      </c>
      <c r="T282" s="6">
        <v>21</v>
      </c>
      <c r="U282" s="6">
        <v>39</v>
      </c>
      <c r="V282" s="6">
        <f>IF(ISERROR(VLOOKUP($S$282,'TAR FIN'!$A$1:$O$85,15,0)),0,VLOOKUP($S$282,'TAR FIN'!$A$1:$O$85,15,0))</f>
        <v>0</v>
      </c>
      <c r="W282" s="6">
        <f>IF(ISERROR(VLOOKUP($T$282,'TAR FIN'!$A$1:$O$85,15,0)),0,VLOOKUP($T$282,'TAR FIN'!$A$1:$O$85,15,0))</f>
        <v>108.8</v>
      </c>
      <c r="X282" s="6">
        <f>IF(ISERROR(VLOOKUP($U$282,'TAR FIN'!$A$1:$O$85,15,0)),0,VLOOKUP($U$282,'TAR FIN'!$A$1:$O$85,15,0))</f>
        <v>49.46</v>
      </c>
      <c r="Y282" s="6"/>
      <c r="Z282" s="6">
        <f ca="1">('TUSD BE'!$AM$21+'TUSD BF'!$AM$21+'TUSD CVA'!$AM$21-('TUSD BE'!$P$21+'TUSD BF'!$P$21+'TUSD CVA'!$P$21)-('TUSD BE'!$Q$21+'TUSD BF'!$Q$21+'TUSD CVA'!$Q$21)-('TUSD BE'!$R$21+'TUSD BF'!$R$21+'TUSD CVA'!$R$21))*(1-CUSTOS!$M$34)</f>
        <v>108.24753272667745</v>
      </c>
      <c r="AA282" s="6">
        <f>('TE BE'!$AB$11+'TE BF'!$AB$11+'TE CVA'!$AB$11)*(1-CUSTOS!$M$34)</f>
        <v>47.532191528466498</v>
      </c>
      <c r="AB282" s="6">
        <f>$K$282*$V$282</f>
        <v>0</v>
      </c>
      <c r="AC282" s="6">
        <f>$M$282*$W$282</f>
        <v>124.03199999999998</v>
      </c>
      <c r="AD282" s="6">
        <f>$O$282*$X$282</f>
        <v>56.384399999999999</v>
      </c>
      <c r="AE282" s="6">
        <f>$K$282*$Y$282</f>
        <v>0</v>
      </c>
      <c r="AF282" s="6">
        <f ca="1">$M$282*$Z$282</f>
        <v>123.40218730841228</v>
      </c>
      <c r="AG282" s="6">
        <f>$O$282*$AA$282</f>
        <v>54.186698342451805</v>
      </c>
    </row>
    <row r="283" spans="1:33" ht="11.25" customHeight="1" x14ac:dyDescent="0.25">
      <c r="A283" s="4" t="s">
        <v>21</v>
      </c>
      <c r="B283" s="4" t="s">
        <v>22</v>
      </c>
      <c r="C283" s="4" t="s">
        <v>23</v>
      </c>
      <c r="D283" s="4" t="s">
        <v>24</v>
      </c>
      <c r="E283" s="4" t="s">
        <v>29</v>
      </c>
      <c r="F283" s="4" t="s">
        <v>25</v>
      </c>
      <c r="G283" s="4" t="s">
        <v>25</v>
      </c>
      <c r="H283" s="4" t="s">
        <v>25</v>
      </c>
      <c r="I283" s="5">
        <v>44531</v>
      </c>
      <c r="J283" s="6">
        <v>0</v>
      </c>
      <c r="K283" s="6">
        <v>0</v>
      </c>
      <c r="L283" s="6">
        <v>1.1399999999999999</v>
      </c>
      <c r="M283" s="6">
        <v>1.1399999999999999</v>
      </c>
      <c r="N283" s="6">
        <v>1.1399999999999999</v>
      </c>
      <c r="O283" s="6">
        <v>1.1399999999999999</v>
      </c>
      <c r="P283" s="6">
        <v>1</v>
      </c>
      <c r="Q283" s="4" t="s">
        <v>26</v>
      </c>
      <c r="R283" s="4">
        <v>0</v>
      </c>
      <c r="S283" s="6">
        <v>0</v>
      </c>
      <c r="T283" s="6">
        <v>21</v>
      </c>
      <c r="U283" s="6">
        <v>39</v>
      </c>
      <c r="V283" s="6">
        <f>IF(ISERROR(VLOOKUP($S$283,'TAR FIN'!$A$1:$O$85,15,0)),0,VLOOKUP($S$283,'TAR FIN'!$A$1:$O$85,15,0))</f>
        <v>0</v>
      </c>
      <c r="W283" s="6">
        <f>IF(ISERROR(VLOOKUP($T$283,'TAR FIN'!$A$1:$O$85,15,0)),0,VLOOKUP($T$283,'TAR FIN'!$A$1:$O$85,15,0))</f>
        <v>108.8</v>
      </c>
      <c r="X283" s="6">
        <f>IF(ISERROR(VLOOKUP($U$283,'TAR FIN'!$A$1:$O$85,15,0)),0,VLOOKUP($U$283,'TAR FIN'!$A$1:$O$85,15,0))</f>
        <v>49.46</v>
      </c>
      <c r="Y283" s="6"/>
      <c r="Z283" s="6">
        <f ca="1">('TUSD BE'!$AM$21+'TUSD BF'!$AM$21+'TUSD CVA'!$AM$21-('TUSD BE'!$P$21+'TUSD BF'!$P$21+'TUSD CVA'!$P$21)-('TUSD BE'!$Q$21+'TUSD BF'!$Q$21+'TUSD CVA'!$Q$21)-('TUSD BE'!$R$21+'TUSD BF'!$R$21+'TUSD CVA'!$R$21))*(1-CUSTOS!$M$34)</f>
        <v>108.24753272667745</v>
      </c>
      <c r="AA283" s="6">
        <f>('TE BE'!$AB$11+'TE BF'!$AB$11+'TE CVA'!$AB$11)*(1-CUSTOS!$M$34)</f>
        <v>47.532191528466498</v>
      </c>
      <c r="AB283" s="6">
        <f>$K$283*$V$283</f>
        <v>0</v>
      </c>
      <c r="AC283" s="6">
        <f>$M$283*$W$283</f>
        <v>124.03199999999998</v>
      </c>
      <c r="AD283" s="6">
        <f>$O$283*$X$283</f>
        <v>56.384399999999999</v>
      </c>
      <c r="AE283" s="6">
        <f>$K$283*$Y$283</f>
        <v>0</v>
      </c>
      <c r="AF283" s="6">
        <f ca="1">$M$283*$Z$283</f>
        <v>123.40218730841228</v>
      </c>
      <c r="AG283" s="6">
        <f>$O$283*$AA$283</f>
        <v>54.186698342451805</v>
      </c>
    </row>
    <row r="284" spans="1:33" ht="11.25" customHeight="1" x14ac:dyDescent="0.25">
      <c r="A284" s="4" t="s">
        <v>21</v>
      </c>
      <c r="B284" s="4" t="s">
        <v>22</v>
      </c>
      <c r="C284" s="4" t="s">
        <v>23</v>
      </c>
      <c r="D284" s="4" t="s">
        <v>24</v>
      </c>
      <c r="E284" s="4" t="s">
        <v>29</v>
      </c>
      <c r="F284" s="4" t="s">
        <v>25</v>
      </c>
      <c r="G284" s="4" t="s">
        <v>25</v>
      </c>
      <c r="H284" s="4" t="s">
        <v>25</v>
      </c>
      <c r="I284" s="5">
        <v>44562</v>
      </c>
      <c r="J284" s="6">
        <v>0</v>
      </c>
      <c r="K284" s="6">
        <v>0</v>
      </c>
      <c r="L284" s="6">
        <v>1.17</v>
      </c>
      <c r="M284" s="6">
        <v>1.17</v>
      </c>
      <c r="N284" s="6">
        <v>1.17</v>
      </c>
      <c r="O284" s="6">
        <v>1.17</v>
      </c>
      <c r="P284" s="6">
        <v>1</v>
      </c>
      <c r="Q284" s="4" t="s">
        <v>26</v>
      </c>
      <c r="R284" s="4">
        <v>0</v>
      </c>
      <c r="S284" s="6">
        <v>0</v>
      </c>
      <c r="T284" s="6">
        <v>21</v>
      </c>
      <c r="U284" s="6">
        <v>39</v>
      </c>
      <c r="V284" s="6">
        <f>IF(ISERROR(VLOOKUP($S$284,'TAR FIN'!$A$1:$O$85,15,0)),0,VLOOKUP($S$284,'TAR FIN'!$A$1:$O$85,15,0))</f>
        <v>0</v>
      </c>
      <c r="W284" s="6">
        <f>IF(ISERROR(VLOOKUP($T$284,'TAR FIN'!$A$1:$O$85,15,0)),0,VLOOKUP($T$284,'TAR FIN'!$A$1:$O$85,15,0))</f>
        <v>108.8</v>
      </c>
      <c r="X284" s="6">
        <f>IF(ISERROR(VLOOKUP($U$284,'TAR FIN'!$A$1:$O$85,15,0)),0,VLOOKUP($U$284,'TAR FIN'!$A$1:$O$85,15,0))</f>
        <v>49.46</v>
      </c>
      <c r="Y284" s="6"/>
      <c r="Z284" s="6">
        <f ca="1">('TUSD BE'!$AM$21+'TUSD BF'!$AM$21+'TUSD CVA'!$AM$21-('TUSD BE'!$P$21+'TUSD BF'!$P$21+'TUSD CVA'!$P$21)-('TUSD BE'!$Q$21+'TUSD BF'!$Q$21+'TUSD CVA'!$Q$21)-('TUSD BE'!$R$21+'TUSD BF'!$R$21+'TUSD CVA'!$R$21))*(1-CUSTOS!$M$34)</f>
        <v>108.24753272667745</v>
      </c>
      <c r="AA284" s="6">
        <f>('TE BE'!$AB$11+'TE BF'!$AB$11+'TE CVA'!$AB$11)*(1-CUSTOS!$M$34)</f>
        <v>47.532191528466498</v>
      </c>
      <c r="AB284" s="6">
        <f>$K$284*$V$284</f>
        <v>0</v>
      </c>
      <c r="AC284" s="6">
        <f>$M$284*$W$284</f>
        <v>127.29599999999999</v>
      </c>
      <c r="AD284" s="6">
        <f>$O$284*$X$284</f>
        <v>57.868199999999995</v>
      </c>
      <c r="AE284" s="6">
        <f>$K$284*$Y$284</f>
        <v>0</v>
      </c>
      <c r="AF284" s="6">
        <f ca="1">$M$284*$Z$284</f>
        <v>126.64961329021261</v>
      </c>
      <c r="AG284" s="6">
        <f>$O$284*$AA$284</f>
        <v>55.612664088305799</v>
      </c>
    </row>
    <row r="285" spans="1:33" ht="11.25" customHeight="1" x14ac:dyDescent="0.25">
      <c r="A285" s="4" t="s">
        <v>21</v>
      </c>
      <c r="B285" s="4" t="s">
        <v>22</v>
      </c>
      <c r="C285" s="4" t="s">
        <v>23</v>
      </c>
      <c r="D285" s="4" t="s">
        <v>24</v>
      </c>
      <c r="E285" s="4" t="s">
        <v>29</v>
      </c>
      <c r="F285" s="4" t="s">
        <v>25</v>
      </c>
      <c r="G285" s="4" t="s">
        <v>25</v>
      </c>
      <c r="H285" s="4" t="s">
        <v>25</v>
      </c>
      <c r="I285" s="5">
        <v>44593</v>
      </c>
      <c r="J285" s="6">
        <v>0</v>
      </c>
      <c r="K285" s="6">
        <v>0</v>
      </c>
      <c r="L285" s="6">
        <v>2.25</v>
      </c>
      <c r="M285" s="6">
        <v>2.25</v>
      </c>
      <c r="N285" s="6">
        <v>2.25</v>
      </c>
      <c r="O285" s="6">
        <v>2.25</v>
      </c>
      <c r="P285" s="6">
        <v>0</v>
      </c>
      <c r="Q285" s="4" t="s">
        <v>26</v>
      </c>
      <c r="R285" s="4">
        <v>0</v>
      </c>
      <c r="S285" s="6">
        <v>0</v>
      </c>
      <c r="T285" s="6">
        <v>21</v>
      </c>
      <c r="U285" s="6">
        <v>39</v>
      </c>
      <c r="V285" s="6">
        <f>IF(ISERROR(VLOOKUP($S$285,'TAR FIN'!$A$1:$O$85,15,0)),0,VLOOKUP($S$285,'TAR FIN'!$A$1:$O$85,15,0))</f>
        <v>0</v>
      </c>
      <c r="W285" s="6">
        <f>IF(ISERROR(VLOOKUP($T$285,'TAR FIN'!$A$1:$O$85,15,0)),0,VLOOKUP($T$285,'TAR FIN'!$A$1:$O$85,15,0))</f>
        <v>108.8</v>
      </c>
      <c r="X285" s="6">
        <f>IF(ISERROR(VLOOKUP($U$285,'TAR FIN'!$A$1:$O$85,15,0)),0,VLOOKUP($U$285,'TAR FIN'!$A$1:$O$85,15,0))</f>
        <v>49.46</v>
      </c>
      <c r="Y285" s="6"/>
      <c r="Z285" s="6">
        <f ca="1">('TUSD BE'!$AM$21+'TUSD BF'!$AM$21+'TUSD CVA'!$AM$21-('TUSD BE'!$P$21+'TUSD BF'!$P$21+'TUSD CVA'!$P$21)-('TUSD BE'!$Q$21+'TUSD BF'!$Q$21+'TUSD CVA'!$Q$21)-('TUSD BE'!$R$21+'TUSD BF'!$R$21+'TUSD CVA'!$R$21))*(1-CUSTOS!$M$34)</f>
        <v>108.24753272667745</v>
      </c>
      <c r="AA285" s="6">
        <f>('TE BE'!$AB$11+'TE BF'!$AB$11+'TE CVA'!$AB$11)*(1-CUSTOS!$M$34)</f>
        <v>47.532191528466498</v>
      </c>
      <c r="AB285" s="6">
        <f>$K$285*$V$285</f>
        <v>0</v>
      </c>
      <c r="AC285" s="6">
        <f>$M$285*$W$285</f>
        <v>244.79999999999998</v>
      </c>
      <c r="AD285" s="6">
        <f>$O$285*$X$285</f>
        <v>111.285</v>
      </c>
      <c r="AE285" s="6">
        <f>$K$285*$Y$285</f>
        <v>0</v>
      </c>
      <c r="AF285" s="6">
        <f ca="1">$M$285*$Z$285</f>
        <v>243.55694863502427</v>
      </c>
      <c r="AG285" s="6">
        <f>$O$285*$AA$285</f>
        <v>106.94743093904962</v>
      </c>
    </row>
    <row r="286" spans="1:33" ht="11.25" customHeight="1" x14ac:dyDescent="0.25">
      <c r="A286" s="4" t="s">
        <v>28</v>
      </c>
      <c r="B286" s="4" t="s">
        <v>22</v>
      </c>
      <c r="C286" s="4" t="s">
        <v>23</v>
      </c>
      <c r="D286" s="4" t="s">
        <v>24</v>
      </c>
      <c r="E286" s="4" t="s">
        <v>29</v>
      </c>
      <c r="F286" s="4" t="s">
        <v>25</v>
      </c>
      <c r="G286" s="4" t="s">
        <v>25</v>
      </c>
      <c r="H286" s="4" t="s">
        <v>25</v>
      </c>
      <c r="I286" s="5">
        <v>44593</v>
      </c>
      <c r="J286" s="6">
        <v>0</v>
      </c>
      <c r="K286" s="6">
        <v>0</v>
      </c>
      <c r="L286" s="6">
        <v>0.01</v>
      </c>
      <c r="M286" s="6">
        <v>3.5000000000000001E-3</v>
      </c>
      <c r="N286" s="6">
        <v>0.01</v>
      </c>
      <c r="O286" s="6">
        <v>3.5000000000000001E-3</v>
      </c>
      <c r="P286" s="6">
        <v>0</v>
      </c>
      <c r="Q286" s="4" t="s">
        <v>26</v>
      </c>
      <c r="R286" s="4">
        <v>0</v>
      </c>
      <c r="S286" s="6">
        <v>0</v>
      </c>
      <c r="T286" s="6">
        <v>21</v>
      </c>
      <c r="U286" s="6">
        <v>39</v>
      </c>
      <c r="V286" s="6">
        <f>IF(ISERROR(VLOOKUP($S$286,'TAR FIN'!$A$1:$O$85,15,0)),0,VLOOKUP($S$286,'TAR FIN'!$A$1:$O$85,15,0))</f>
        <v>0</v>
      </c>
      <c r="W286" s="6">
        <f>IF(ISERROR(VLOOKUP($T$286,'TAR FIN'!$A$1:$O$85,15,0)),0,VLOOKUP($T$286,'TAR FIN'!$A$1:$O$85,15,0))</f>
        <v>108.8</v>
      </c>
      <c r="X286" s="6">
        <f>IF(ISERROR(VLOOKUP($U$286,'TAR FIN'!$A$1:$O$85,15,0)),0,VLOOKUP($U$286,'TAR FIN'!$A$1:$O$85,15,0))</f>
        <v>49.46</v>
      </c>
      <c r="Y286" s="6"/>
      <c r="Z286" s="6">
        <f ca="1">('TUSD BE'!$AM$21+'TUSD BF'!$AM$21+'TUSD CVA'!$AM$21-('TUSD BE'!$P$21+'TUSD BF'!$P$21+'TUSD CVA'!$P$21)-('TUSD BE'!$Q$21+'TUSD BF'!$Q$21+'TUSD CVA'!$Q$21)-('TUSD BE'!$R$21+'TUSD BF'!$R$21+'TUSD CVA'!$R$21))*(1-CUSTOS!$M$34)</f>
        <v>108.24753272667745</v>
      </c>
      <c r="AA286" s="6">
        <f>('TE BE'!$AB$11+'TE BF'!$AB$11+'TE CVA'!$AB$11)*(1-CUSTOS!$M$34)</f>
        <v>47.532191528466498</v>
      </c>
      <c r="AB286" s="6">
        <f>$K$286*$V$286</f>
        <v>0</v>
      </c>
      <c r="AC286" s="6">
        <f>$M$286*$W$286</f>
        <v>0.38079999999999997</v>
      </c>
      <c r="AD286" s="6">
        <f>$O$286*$X$286</f>
        <v>0.17311000000000001</v>
      </c>
      <c r="AE286" s="6">
        <f>$K$286*$Y$286</f>
        <v>0</v>
      </c>
      <c r="AF286" s="6">
        <f ca="1">$M$286*$Z$286</f>
        <v>0.37886636454337108</v>
      </c>
      <c r="AG286" s="6">
        <f>$O$286*$AA$286</f>
        <v>0.16636267034963276</v>
      </c>
    </row>
    <row r="287" spans="1:33" ht="11.25" customHeight="1" x14ac:dyDescent="0.25">
      <c r="A287" s="4" t="s">
        <v>21</v>
      </c>
      <c r="B287" s="4" t="s">
        <v>22</v>
      </c>
      <c r="C287" s="4" t="s">
        <v>23</v>
      </c>
      <c r="D287" s="4" t="s">
        <v>24</v>
      </c>
      <c r="E287" s="4" t="s">
        <v>29</v>
      </c>
      <c r="F287" s="4" t="s">
        <v>25</v>
      </c>
      <c r="G287" s="4" t="s">
        <v>25</v>
      </c>
      <c r="H287" s="4" t="s">
        <v>25</v>
      </c>
      <c r="I287" s="5">
        <v>44621</v>
      </c>
      <c r="J287" s="6">
        <v>0</v>
      </c>
      <c r="K287" s="6">
        <v>0</v>
      </c>
      <c r="L287" s="6">
        <v>2.34</v>
      </c>
      <c r="M287" s="6">
        <v>2.34</v>
      </c>
      <c r="N287" s="6">
        <v>2.34</v>
      </c>
      <c r="O287" s="6">
        <v>2.34</v>
      </c>
      <c r="P287" s="6">
        <v>0</v>
      </c>
      <c r="Q287" s="4" t="s">
        <v>26</v>
      </c>
      <c r="R287" s="4">
        <v>0</v>
      </c>
      <c r="S287" s="6">
        <v>0</v>
      </c>
      <c r="T287" s="6">
        <v>21</v>
      </c>
      <c r="U287" s="6">
        <v>39</v>
      </c>
      <c r="V287" s="6">
        <f>IF(ISERROR(VLOOKUP($S$287,'TAR FIN'!$A$1:$O$85,15,0)),0,VLOOKUP($S$287,'TAR FIN'!$A$1:$O$85,15,0))</f>
        <v>0</v>
      </c>
      <c r="W287" s="6">
        <f>IF(ISERROR(VLOOKUP($T$287,'TAR FIN'!$A$1:$O$85,15,0)),0,VLOOKUP($T$287,'TAR FIN'!$A$1:$O$85,15,0))</f>
        <v>108.8</v>
      </c>
      <c r="X287" s="6">
        <f>IF(ISERROR(VLOOKUP($U$287,'TAR FIN'!$A$1:$O$85,15,0)),0,VLOOKUP($U$287,'TAR FIN'!$A$1:$O$85,15,0))</f>
        <v>49.46</v>
      </c>
      <c r="Y287" s="6"/>
      <c r="Z287" s="6">
        <f ca="1">('TUSD BE'!$AM$21+'TUSD BF'!$AM$21+'TUSD CVA'!$AM$21-('TUSD BE'!$P$21+'TUSD BF'!$P$21+'TUSD CVA'!$P$21)-('TUSD BE'!$Q$21+'TUSD BF'!$Q$21+'TUSD CVA'!$Q$21)-('TUSD BE'!$R$21+'TUSD BF'!$R$21+'TUSD CVA'!$R$21))*(1-CUSTOS!$M$34)</f>
        <v>108.24753272667745</v>
      </c>
      <c r="AA287" s="6">
        <f>('TE BE'!$AB$11+'TE BF'!$AB$11+'TE CVA'!$AB$11)*(1-CUSTOS!$M$34)</f>
        <v>47.532191528466498</v>
      </c>
      <c r="AB287" s="6">
        <f>$K$287*$V$287</f>
        <v>0</v>
      </c>
      <c r="AC287" s="6">
        <f>$M$287*$W$287</f>
        <v>254.59199999999998</v>
      </c>
      <c r="AD287" s="6">
        <f>$O$287*$X$287</f>
        <v>115.73639999999999</v>
      </c>
      <c r="AE287" s="6">
        <f>$K$287*$Y$287</f>
        <v>0</v>
      </c>
      <c r="AF287" s="6">
        <f ca="1">$M$287*$Z$287</f>
        <v>253.29922658042523</v>
      </c>
      <c r="AG287" s="6">
        <f>$O$287*$AA$287</f>
        <v>111.2253281766116</v>
      </c>
    </row>
    <row r="288" spans="1:33" ht="11.25" customHeight="1" x14ac:dyDescent="0.25">
      <c r="A288" s="4" t="s">
        <v>21</v>
      </c>
      <c r="B288" s="4" t="s">
        <v>22</v>
      </c>
      <c r="C288" s="4" t="s">
        <v>23</v>
      </c>
      <c r="D288" s="4" t="s">
        <v>24</v>
      </c>
      <c r="E288" s="4" t="s">
        <v>29</v>
      </c>
      <c r="F288" s="4" t="s">
        <v>25</v>
      </c>
      <c r="G288" s="4" t="s">
        <v>25</v>
      </c>
      <c r="H288" s="4" t="s">
        <v>25</v>
      </c>
      <c r="I288" s="5">
        <v>44652</v>
      </c>
      <c r="J288" s="6">
        <v>0</v>
      </c>
      <c r="K288" s="6">
        <v>0</v>
      </c>
      <c r="L288" s="6">
        <v>4.08</v>
      </c>
      <c r="M288" s="6">
        <v>4.08</v>
      </c>
      <c r="N288" s="6">
        <v>4.08</v>
      </c>
      <c r="O288" s="6">
        <v>4.08</v>
      </c>
      <c r="P288" s="6">
        <v>3</v>
      </c>
      <c r="Q288" s="4" t="s">
        <v>26</v>
      </c>
      <c r="R288" s="4">
        <v>0</v>
      </c>
      <c r="S288" s="6">
        <v>0</v>
      </c>
      <c r="T288" s="6">
        <v>21</v>
      </c>
      <c r="U288" s="6">
        <v>39</v>
      </c>
      <c r="V288" s="6">
        <f>IF(ISERROR(VLOOKUP($S$288,'TAR FIN'!$A$1:$O$85,15,0)),0,VLOOKUP($S$288,'TAR FIN'!$A$1:$O$85,15,0))</f>
        <v>0</v>
      </c>
      <c r="W288" s="6">
        <f>IF(ISERROR(VLOOKUP($T$288,'TAR FIN'!$A$1:$O$85,15,0)),0,VLOOKUP($T$288,'TAR FIN'!$A$1:$O$85,15,0))</f>
        <v>108.8</v>
      </c>
      <c r="X288" s="6">
        <f>IF(ISERROR(VLOOKUP($U$288,'TAR FIN'!$A$1:$O$85,15,0)),0,VLOOKUP($U$288,'TAR FIN'!$A$1:$O$85,15,0))</f>
        <v>49.46</v>
      </c>
      <c r="Y288" s="6"/>
      <c r="Z288" s="6">
        <f ca="1">('TUSD BE'!$AM$21+'TUSD BF'!$AM$21+'TUSD CVA'!$AM$21-('TUSD BE'!$P$21+'TUSD BF'!$P$21+'TUSD CVA'!$P$21)-('TUSD BE'!$Q$21+'TUSD BF'!$Q$21+'TUSD CVA'!$Q$21)-('TUSD BE'!$R$21+'TUSD BF'!$R$21+'TUSD CVA'!$R$21))*(1-CUSTOS!$M$34)</f>
        <v>108.24753272667745</v>
      </c>
      <c r="AA288" s="6">
        <f>('TE BE'!$AB$11+'TE BF'!$AB$11+'TE CVA'!$AB$11)*(1-CUSTOS!$M$34)</f>
        <v>47.532191528466498</v>
      </c>
      <c r="AB288" s="6">
        <f>$K$288*$V$288</f>
        <v>0</v>
      </c>
      <c r="AC288" s="6">
        <f>$M$288*$W$288</f>
        <v>443.904</v>
      </c>
      <c r="AD288" s="6">
        <f>$O$288*$X$288</f>
        <v>201.79680000000002</v>
      </c>
      <c r="AE288" s="6">
        <f>$K$288*$Y$288</f>
        <v>0</v>
      </c>
      <c r="AF288" s="6">
        <f ca="1">$M$288*$Z$288</f>
        <v>441.64993352484402</v>
      </c>
      <c r="AG288" s="6">
        <f>$O$288*$AA$288</f>
        <v>193.93134143614333</v>
      </c>
    </row>
    <row r="289" spans="1:33" ht="11.25" customHeight="1" x14ac:dyDescent="0.25">
      <c r="A289" s="4" t="s">
        <v>21</v>
      </c>
      <c r="B289" s="4" t="s">
        <v>22</v>
      </c>
      <c r="C289" s="4" t="s">
        <v>23</v>
      </c>
      <c r="D289" s="4" t="s">
        <v>24</v>
      </c>
      <c r="E289" s="4" t="s">
        <v>29</v>
      </c>
      <c r="F289" s="4" t="s">
        <v>25</v>
      </c>
      <c r="G289" s="4" t="s">
        <v>25</v>
      </c>
      <c r="H289" s="4" t="s">
        <v>25</v>
      </c>
      <c r="I289" s="5">
        <v>44682</v>
      </c>
      <c r="J289" s="6">
        <v>0</v>
      </c>
      <c r="K289" s="6">
        <v>0</v>
      </c>
      <c r="L289" s="6">
        <v>4.1399999999999997</v>
      </c>
      <c r="M289" s="6">
        <v>4.1399999999999997</v>
      </c>
      <c r="N289" s="6">
        <v>4.1399999999999997</v>
      </c>
      <c r="O289" s="6">
        <v>4.1399999999999997</v>
      </c>
      <c r="P289" s="6">
        <v>1</v>
      </c>
      <c r="Q289" s="4" t="s">
        <v>26</v>
      </c>
      <c r="R289" s="4">
        <v>0</v>
      </c>
      <c r="S289" s="6">
        <v>0</v>
      </c>
      <c r="T289" s="6">
        <v>21</v>
      </c>
      <c r="U289" s="6">
        <v>39</v>
      </c>
      <c r="V289" s="6">
        <f>IF(ISERROR(VLOOKUP($S$289,'TAR FIN'!$A$1:$O$85,15,0)),0,VLOOKUP($S$289,'TAR FIN'!$A$1:$O$85,15,0))</f>
        <v>0</v>
      </c>
      <c r="W289" s="6">
        <f>IF(ISERROR(VLOOKUP($T$289,'TAR FIN'!$A$1:$O$85,15,0)),0,VLOOKUP($T$289,'TAR FIN'!$A$1:$O$85,15,0))</f>
        <v>108.8</v>
      </c>
      <c r="X289" s="6">
        <f>IF(ISERROR(VLOOKUP($U$289,'TAR FIN'!$A$1:$O$85,15,0)),0,VLOOKUP($U$289,'TAR FIN'!$A$1:$O$85,15,0))</f>
        <v>49.46</v>
      </c>
      <c r="Y289" s="6"/>
      <c r="Z289" s="6">
        <f ca="1">('TUSD BE'!$AM$21+'TUSD BF'!$AM$21+'TUSD CVA'!$AM$21-('TUSD BE'!$P$21+'TUSD BF'!$P$21+'TUSD CVA'!$P$21)-('TUSD BE'!$Q$21+'TUSD BF'!$Q$21+'TUSD CVA'!$Q$21)-('TUSD BE'!$R$21+'TUSD BF'!$R$21+'TUSD CVA'!$R$21))*(1-CUSTOS!$M$34)</f>
        <v>108.24753272667745</v>
      </c>
      <c r="AA289" s="6">
        <f>('TE BE'!$AB$11+'TE BF'!$AB$11+'TE CVA'!$AB$11)*(1-CUSTOS!$M$34)</f>
        <v>47.532191528466498</v>
      </c>
      <c r="AB289" s="6">
        <f>$K$289*$V$289</f>
        <v>0</v>
      </c>
      <c r="AC289" s="6">
        <f>$M$289*$W$289</f>
        <v>450.43199999999996</v>
      </c>
      <c r="AD289" s="6">
        <f>$O$289*$X$289</f>
        <v>204.76439999999999</v>
      </c>
      <c r="AE289" s="6">
        <f>$K$289*$Y$289</f>
        <v>0</v>
      </c>
      <c r="AF289" s="6">
        <f ca="1">$M$289*$Z$289</f>
        <v>448.1447854884446</v>
      </c>
      <c r="AG289" s="6">
        <f>$O$289*$AA$289</f>
        <v>196.7832729278513</v>
      </c>
    </row>
    <row r="290" spans="1:33" ht="11.25" customHeight="1" x14ac:dyDescent="0.25">
      <c r="A290" s="4" t="s">
        <v>28</v>
      </c>
      <c r="B290" s="4" t="s">
        <v>22</v>
      </c>
      <c r="C290" s="4" t="s">
        <v>23</v>
      </c>
      <c r="D290" s="4" t="s">
        <v>24</v>
      </c>
      <c r="E290" s="4" t="s">
        <v>29</v>
      </c>
      <c r="F290" s="4" t="s">
        <v>25</v>
      </c>
      <c r="G290" s="4" t="s">
        <v>25</v>
      </c>
      <c r="H290" s="4" t="s">
        <v>25</v>
      </c>
      <c r="I290" s="5">
        <v>44682</v>
      </c>
      <c r="J290" s="6">
        <v>0</v>
      </c>
      <c r="K290" s="6">
        <v>0</v>
      </c>
      <c r="L290" s="6">
        <v>1.0999999999999999E-2</v>
      </c>
      <c r="M290" s="6">
        <v>3.8500000000000001E-3</v>
      </c>
      <c r="N290" s="6">
        <v>1.0999999999999999E-2</v>
      </c>
      <c r="O290" s="6">
        <v>3.8500000000000001E-3</v>
      </c>
      <c r="P290" s="6">
        <v>0</v>
      </c>
      <c r="Q290" s="4" t="s">
        <v>26</v>
      </c>
      <c r="R290" s="4">
        <v>0</v>
      </c>
      <c r="S290" s="6">
        <v>0</v>
      </c>
      <c r="T290" s="6">
        <v>21</v>
      </c>
      <c r="U290" s="6">
        <v>39</v>
      </c>
      <c r="V290" s="6">
        <f>IF(ISERROR(VLOOKUP($S$290,'TAR FIN'!$A$1:$O$85,15,0)),0,VLOOKUP($S$290,'TAR FIN'!$A$1:$O$85,15,0))</f>
        <v>0</v>
      </c>
      <c r="W290" s="6">
        <f>IF(ISERROR(VLOOKUP($T$290,'TAR FIN'!$A$1:$O$85,15,0)),0,VLOOKUP($T$290,'TAR FIN'!$A$1:$O$85,15,0))</f>
        <v>108.8</v>
      </c>
      <c r="X290" s="6">
        <f>IF(ISERROR(VLOOKUP($U$290,'TAR FIN'!$A$1:$O$85,15,0)),0,VLOOKUP($U$290,'TAR FIN'!$A$1:$O$85,15,0))</f>
        <v>49.46</v>
      </c>
      <c r="Y290" s="6"/>
      <c r="Z290" s="6">
        <f ca="1">('TUSD BE'!$AM$21+'TUSD BF'!$AM$21+'TUSD CVA'!$AM$21-('TUSD BE'!$P$21+'TUSD BF'!$P$21+'TUSD CVA'!$P$21)-('TUSD BE'!$Q$21+'TUSD BF'!$Q$21+'TUSD CVA'!$Q$21)-('TUSD BE'!$R$21+'TUSD BF'!$R$21+'TUSD CVA'!$R$21))*(1-CUSTOS!$M$34)</f>
        <v>108.24753272667745</v>
      </c>
      <c r="AA290" s="6">
        <f>('TE BE'!$AB$11+'TE BF'!$AB$11+'TE CVA'!$AB$11)*(1-CUSTOS!$M$34)</f>
        <v>47.532191528466498</v>
      </c>
      <c r="AB290" s="6">
        <f>$K$290*$V$290</f>
        <v>0</v>
      </c>
      <c r="AC290" s="6">
        <f>$M$290*$W$290</f>
        <v>0.41888000000000003</v>
      </c>
      <c r="AD290" s="6">
        <f>$O$290*$X$290</f>
        <v>0.19042100000000001</v>
      </c>
      <c r="AE290" s="6">
        <f>$K$290*$Y$290</f>
        <v>0</v>
      </c>
      <c r="AF290" s="6">
        <f ca="1">$M$290*$Z$290</f>
        <v>0.41675300099770818</v>
      </c>
      <c r="AG290" s="6">
        <f>$O$290*$AA$290</f>
        <v>0.18299893738459602</v>
      </c>
    </row>
    <row r="291" spans="1:33" ht="11.25" customHeight="1" x14ac:dyDescent="0.25">
      <c r="A291" s="4" t="s">
        <v>21</v>
      </c>
      <c r="B291" s="4" t="s">
        <v>22</v>
      </c>
      <c r="C291" s="4" t="s">
        <v>23</v>
      </c>
      <c r="D291" s="4" t="s">
        <v>24</v>
      </c>
      <c r="E291" s="4" t="s">
        <v>29</v>
      </c>
      <c r="F291" s="4" t="s">
        <v>25</v>
      </c>
      <c r="G291" s="4" t="s">
        <v>25</v>
      </c>
      <c r="H291" s="4" t="s">
        <v>25</v>
      </c>
      <c r="I291" s="5">
        <v>44713</v>
      </c>
      <c r="J291" s="6">
        <v>0</v>
      </c>
      <c r="K291" s="6">
        <v>0</v>
      </c>
      <c r="L291" s="6">
        <v>4.2</v>
      </c>
      <c r="M291" s="6">
        <v>4.2</v>
      </c>
      <c r="N291" s="6">
        <v>4.2</v>
      </c>
      <c r="O291" s="6">
        <v>4.2</v>
      </c>
      <c r="P291" s="6">
        <v>4</v>
      </c>
      <c r="Q291" s="4" t="s">
        <v>26</v>
      </c>
      <c r="R291" s="4">
        <v>0</v>
      </c>
      <c r="S291" s="6">
        <v>0</v>
      </c>
      <c r="T291" s="6">
        <v>21</v>
      </c>
      <c r="U291" s="6">
        <v>39</v>
      </c>
      <c r="V291" s="6">
        <f>IF(ISERROR(VLOOKUP($S$291,'TAR FIN'!$A$1:$O$85,15,0)),0,VLOOKUP($S$291,'TAR FIN'!$A$1:$O$85,15,0))</f>
        <v>0</v>
      </c>
      <c r="W291" s="6">
        <f>IF(ISERROR(VLOOKUP($T$291,'TAR FIN'!$A$1:$O$85,15,0)),0,VLOOKUP($T$291,'TAR FIN'!$A$1:$O$85,15,0))</f>
        <v>108.8</v>
      </c>
      <c r="X291" s="6">
        <f>IF(ISERROR(VLOOKUP($U$291,'TAR FIN'!$A$1:$O$85,15,0)),0,VLOOKUP($U$291,'TAR FIN'!$A$1:$O$85,15,0))</f>
        <v>49.46</v>
      </c>
      <c r="Y291" s="6"/>
      <c r="Z291" s="6">
        <f ca="1">('TUSD BE'!$AM$21+'TUSD BF'!$AM$21+'TUSD CVA'!$AM$21-('TUSD BE'!$P$21+'TUSD BF'!$P$21+'TUSD CVA'!$P$21)-('TUSD BE'!$Q$21+'TUSD BF'!$Q$21+'TUSD CVA'!$Q$21)-('TUSD BE'!$R$21+'TUSD BF'!$R$21+'TUSD CVA'!$R$21))*(1-CUSTOS!$M$34)</f>
        <v>108.24753272667745</v>
      </c>
      <c r="AA291" s="6">
        <f>('TE BE'!$AB$11+'TE BF'!$AB$11+'TE CVA'!$AB$11)*(1-CUSTOS!$M$34)</f>
        <v>47.532191528466498</v>
      </c>
      <c r="AB291" s="6">
        <f>$K$291*$V$291</f>
        <v>0</v>
      </c>
      <c r="AC291" s="6">
        <f>$M$291*$W$291</f>
        <v>456.96</v>
      </c>
      <c r="AD291" s="6">
        <f>$O$291*$X$291</f>
        <v>207.732</v>
      </c>
      <c r="AE291" s="6">
        <f>$K$291*$Y$291</f>
        <v>0</v>
      </c>
      <c r="AF291" s="6">
        <f ca="1">$M$291*$Z$291</f>
        <v>454.63963745204529</v>
      </c>
      <c r="AG291" s="6">
        <f>$O$291*$AA$291</f>
        <v>199.6352044195593</v>
      </c>
    </row>
    <row r="292" spans="1:33" ht="11.25" customHeight="1" x14ac:dyDescent="0.25">
      <c r="A292" s="4" t="s">
        <v>28</v>
      </c>
      <c r="B292" s="4" t="s">
        <v>22</v>
      </c>
      <c r="C292" s="4" t="s">
        <v>23</v>
      </c>
      <c r="D292" s="4" t="s">
        <v>24</v>
      </c>
      <c r="E292" s="4" t="s">
        <v>29</v>
      </c>
      <c r="F292" s="4" t="s">
        <v>25</v>
      </c>
      <c r="G292" s="4" t="s">
        <v>25</v>
      </c>
      <c r="H292" s="4" t="s">
        <v>25</v>
      </c>
      <c r="I292" s="5">
        <v>44713</v>
      </c>
      <c r="J292" s="6">
        <v>0</v>
      </c>
      <c r="K292" s="6">
        <v>0</v>
      </c>
      <c r="L292" s="6">
        <v>0.03</v>
      </c>
      <c r="M292" s="6">
        <v>1.0500000000000001E-2</v>
      </c>
      <c r="N292" s="6">
        <v>0.03</v>
      </c>
      <c r="O292" s="6">
        <v>1.0500000000000001E-2</v>
      </c>
      <c r="P292" s="6">
        <v>0</v>
      </c>
      <c r="Q292" s="4" t="s">
        <v>26</v>
      </c>
      <c r="R292" s="4">
        <v>0</v>
      </c>
      <c r="S292" s="6">
        <v>0</v>
      </c>
      <c r="T292" s="6">
        <v>21</v>
      </c>
      <c r="U292" s="6">
        <v>39</v>
      </c>
      <c r="V292" s="6">
        <f>IF(ISERROR(VLOOKUP($S$292,'TAR FIN'!$A$1:$O$85,15,0)),0,VLOOKUP($S$292,'TAR FIN'!$A$1:$O$85,15,0))</f>
        <v>0</v>
      </c>
      <c r="W292" s="6">
        <f>IF(ISERROR(VLOOKUP($T$292,'TAR FIN'!$A$1:$O$85,15,0)),0,VLOOKUP($T$292,'TAR FIN'!$A$1:$O$85,15,0))</f>
        <v>108.8</v>
      </c>
      <c r="X292" s="6">
        <f>IF(ISERROR(VLOOKUP($U$292,'TAR FIN'!$A$1:$O$85,15,0)),0,VLOOKUP($U$292,'TAR FIN'!$A$1:$O$85,15,0))</f>
        <v>49.46</v>
      </c>
      <c r="Y292" s="6"/>
      <c r="Z292" s="6">
        <f ca="1">('TUSD BE'!$AM$21+'TUSD BF'!$AM$21+'TUSD CVA'!$AM$21-('TUSD BE'!$P$21+'TUSD BF'!$P$21+'TUSD CVA'!$P$21)-('TUSD BE'!$Q$21+'TUSD BF'!$Q$21+'TUSD CVA'!$Q$21)-('TUSD BE'!$R$21+'TUSD BF'!$R$21+'TUSD CVA'!$R$21))*(1-CUSTOS!$M$34)</f>
        <v>108.24753272667745</v>
      </c>
      <c r="AA292" s="6">
        <f>('TE BE'!$AB$11+'TE BF'!$AB$11+'TE CVA'!$AB$11)*(1-CUSTOS!$M$34)</f>
        <v>47.532191528466498</v>
      </c>
      <c r="AB292" s="6">
        <f>$K$292*$V$292</f>
        <v>0</v>
      </c>
      <c r="AC292" s="6">
        <f>$M$292*$W$292</f>
        <v>1.1424000000000001</v>
      </c>
      <c r="AD292" s="6">
        <f>$O$292*$X$292</f>
        <v>0.51933000000000007</v>
      </c>
      <c r="AE292" s="6">
        <f>$K$292*$Y$292</f>
        <v>0</v>
      </c>
      <c r="AF292" s="6">
        <f ca="1">$M$292*$Z$292</f>
        <v>1.1365990936301134</v>
      </c>
      <c r="AG292" s="6">
        <f>$O$292*$AA$292</f>
        <v>0.49908801104889827</v>
      </c>
    </row>
    <row r="293" spans="1:33" ht="11.25" customHeight="1" x14ac:dyDescent="0.25">
      <c r="A293" s="4" t="s">
        <v>21</v>
      </c>
      <c r="B293" s="4" t="s">
        <v>22</v>
      </c>
      <c r="C293" s="4" t="s">
        <v>23</v>
      </c>
      <c r="D293" s="4" t="s">
        <v>24</v>
      </c>
      <c r="E293" s="4" t="s">
        <v>29</v>
      </c>
      <c r="F293" s="4" t="s">
        <v>25</v>
      </c>
      <c r="G293" s="4" t="s">
        <v>25</v>
      </c>
      <c r="H293" s="4" t="s">
        <v>25</v>
      </c>
      <c r="I293" s="5">
        <v>44743</v>
      </c>
      <c r="J293" s="6">
        <v>0</v>
      </c>
      <c r="K293" s="6">
        <v>0</v>
      </c>
      <c r="L293" s="6">
        <v>3.87</v>
      </c>
      <c r="M293" s="6">
        <v>3.87</v>
      </c>
      <c r="N293" s="6">
        <v>3.87</v>
      </c>
      <c r="O293" s="6">
        <v>3.87</v>
      </c>
      <c r="P293" s="6">
        <v>4</v>
      </c>
      <c r="Q293" s="4" t="s">
        <v>26</v>
      </c>
      <c r="R293" s="4">
        <v>0</v>
      </c>
      <c r="S293" s="6">
        <v>0</v>
      </c>
      <c r="T293" s="6">
        <v>21</v>
      </c>
      <c r="U293" s="6">
        <v>39</v>
      </c>
      <c r="V293" s="6">
        <f>IF(ISERROR(VLOOKUP($S$293,'TAR FIN'!$A$1:$O$85,15,0)),0,VLOOKUP($S$293,'TAR FIN'!$A$1:$O$85,15,0))</f>
        <v>0</v>
      </c>
      <c r="W293" s="6">
        <f>IF(ISERROR(VLOOKUP($T$293,'TAR FIN'!$A$1:$O$85,15,0)),0,VLOOKUP($T$293,'TAR FIN'!$A$1:$O$85,15,0))</f>
        <v>108.8</v>
      </c>
      <c r="X293" s="6">
        <f>IF(ISERROR(VLOOKUP($U$293,'TAR FIN'!$A$1:$O$85,15,0)),0,VLOOKUP($U$293,'TAR FIN'!$A$1:$O$85,15,0))</f>
        <v>49.46</v>
      </c>
      <c r="Y293" s="6"/>
      <c r="Z293" s="6">
        <f ca="1">('TUSD BE'!$AM$21+'TUSD BF'!$AM$21+'TUSD CVA'!$AM$21-('TUSD BE'!$P$21+'TUSD BF'!$P$21+'TUSD CVA'!$P$21)-('TUSD BE'!$Q$21+'TUSD BF'!$Q$21+'TUSD CVA'!$Q$21)-('TUSD BE'!$R$21+'TUSD BF'!$R$21+'TUSD CVA'!$R$21))*(1-CUSTOS!$M$34)</f>
        <v>108.24753272667745</v>
      </c>
      <c r="AA293" s="6">
        <f>('TE BE'!$AB$11+'TE BF'!$AB$11+'TE CVA'!$AB$11)*(1-CUSTOS!$M$34)</f>
        <v>47.532191528466498</v>
      </c>
      <c r="AB293" s="6">
        <f>$K$293*$V$293</f>
        <v>0</v>
      </c>
      <c r="AC293" s="6">
        <f>$M$293*$W$293</f>
        <v>421.05599999999998</v>
      </c>
      <c r="AD293" s="6">
        <f>$O$293*$X$293</f>
        <v>191.4102</v>
      </c>
      <c r="AE293" s="6">
        <f>$K$293*$Y$293</f>
        <v>0</v>
      </c>
      <c r="AF293" s="6">
        <f ca="1">$M$293*$Z$293</f>
        <v>418.91795165224175</v>
      </c>
      <c r="AG293" s="6">
        <f>$O$293*$AA$293</f>
        <v>183.94958121516535</v>
      </c>
    </row>
    <row r="294" spans="1:33" ht="11.25" customHeight="1" x14ac:dyDescent="0.25">
      <c r="A294" s="4" t="s">
        <v>28</v>
      </c>
      <c r="B294" s="4" t="s">
        <v>22</v>
      </c>
      <c r="C294" s="4" t="s">
        <v>23</v>
      </c>
      <c r="D294" s="4" t="s">
        <v>24</v>
      </c>
      <c r="E294" s="4" t="s">
        <v>29</v>
      </c>
      <c r="F294" s="4" t="s">
        <v>25</v>
      </c>
      <c r="G294" s="4" t="s">
        <v>25</v>
      </c>
      <c r="H294" s="4" t="s">
        <v>25</v>
      </c>
      <c r="I294" s="5">
        <v>44743</v>
      </c>
      <c r="J294" s="6">
        <v>0</v>
      </c>
      <c r="K294" s="6">
        <v>0</v>
      </c>
      <c r="L294" s="6">
        <v>0.03</v>
      </c>
      <c r="M294" s="6">
        <v>0.03</v>
      </c>
      <c r="N294" s="6">
        <v>0.03</v>
      </c>
      <c r="O294" s="6">
        <v>0.03</v>
      </c>
      <c r="P294" s="6">
        <v>1</v>
      </c>
      <c r="Q294" s="4" t="s">
        <v>26</v>
      </c>
      <c r="R294" s="4">
        <v>0</v>
      </c>
      <c r="S294" s="6">
        <v>0</v>
      </c>
      <c r="T294" s="6">
        <v>21</v>
      </c>
      <c r="U294" s="6">
        <v>39</v>
      </c>
      <c r="V294" s="6">
        <f>IF(ISERROR(VLOOKUP($S$294,'TAR FIN'!$A$1:$O$85,15,0)),0,VLOOKUP($S$294,'TAR FIN'!$A$1:$O$85,15,0))</f>
        <v>0</v>
      </c>
      <c r="W294" s="6">
        <f>IF(ISERROR(VLOOKUP($T$294,'TAR FIN'!$A$1:$O$85,15,0)),0,VLOOKUP($T$294,'TAR FIN'!$A$1:$O$85,15,0))</f>
        <v>108.8</v>
      </c>
      <c r="X294" s="6">
        <f>IF(ISERROR(VLOOKUP($U$294,'TAR FIN'!$A$1:$O$85,15,0)),0,VLOOKUP($U$294,'TAR FIN'!$A$1:$O$85,15,0))</f>
        <v>49.46</v>
      </c>
      <c r="Y294" s="6"/>
      <c r="Z294" s="6">
        <f ca="1">('TUSD BE'!$AM$21+'TUSD BF'!$AM$21+'TUSD CVA'!$AM$21-('TUSD BE'!$P$21+'TUSD BF'!$P$21+'TUSD CVA'!$P$21)-('TUSD BE'!$Q$21+'TUSD BF'!$Q$21+'TUSD CVA'!$Q$21)-('TUSD BE'!$R$21+'TUSD BF'!$R$21+'TUSD CVA'!$R$21))*(1-CUSTOS!$M$34)</f>
        <v>108.24753272667745</v>
      </c>
      <c r="AA294" s="6">
        <f>('TE BE'!$AB$11+'TE BF'!$AB$11+'TE CVA'!$AB$11)*(1-CUSTOS!$M$34)</f>
        <v>47.532191528466498</v>
      </c>
      <c r="AB294" s="6">
        <f>$K$294*$V$294</f>
        <v>0</v>
      </c>
      <c r="AC294" s="6">
        <f>$M$294*$W$294</f>
        <v>3.2639999999999998</v>
      </c>
      <c r="AD294" s="6">
        <f>$O$294*$X$294</f>
        <v>1.4838</v>
      </c>
      <c r="AE294" s="6">
        <f>$K$294*$Y$294</f>
        <v>0</v>
      </c>
      <c r="AF294" s="6">
        <f ca="1">$M$294*$Z$294</f>
        <v>3.2474259818003235</v>
      </c>
      <c r="AG294" s="6">
        <f>$O$294*$AA$294</f>
        <v>1.4259657458539949</v>
      </c>
    </row>
    <row r="295" spans="1:33" ht="11.25" customHeight="1" x14ac:dyDescent="0.25">
      <c r="A295" s="4" t="s">
        <v>21</v>
      </c>
      <c r="B295" s="4" t="s">
        <v>22</v>
      </c>
      <c r="C295" s="4" t="s">
        <v>23</v>
      </c>
      <c r="D295" s="4" t="s">
        <v>24</v>
      </c>
      <c r="E295" s="4" t="s">
        <v>29</v>
      </c>
      <c r="F295" s="4" t="s">
        <v>25</v>
      </c>
      <c r="G295" s="4" t="s">
        <v>25</v>
      </c>
      <c r="H295" s="4" t="s">
        <v>25</v>
      </c>
      <c r="I295" s="5">
        <v>44774</v>
      </c>
      <c r="J295" s="6">
        <v>0</v>
      </c>
      <c r="K295" s="6">
        <v>0</v>
      </c>
      <c r="L295" s="6">
        <v>3.93</v>
      </c>
      <c r="M295" s="6">
        <v>3.93</v>
      </c>
      <c r="N295" s="6">
        <v>3.93</v>
      </c>
      <c r="O295" s="6">
        <v>3.93</v>
      </c>
      <c r="P295" s="6">
        <v>7</v>
      </c>
      <c r="Q295" s="4" t="s">
        <v>26</v>
      </c>
      <c r="R295" s="4">
        <v>0</v>
      </c>
      <c r="S295" s="6">
        <v>0</v>
      </c>
      <c r="T295" s="6">
        <v>21</v>
      </c>
      <c r="U295" s="6">
        <v>39</v>
      </c>
      <c r="V295" s="6">
        <f>IF(ISERROR(VLOOKUP($S$295,'TAR FIN'!$A$1:$O$85,15,0)),0,VLOOKUP($S$295,'TAR FIN'!$A$1:$O$85,15,0))</f>
        <v>0</v>
      </c>
      <c r="W295" s="6">
        <f>IF(ISERROR(VLOOKUP($T$295,'TAR FIN'!$A$1:$O$85,15,0)),0,VLOOKUP($T$295,'TAR FIN'!$A$1:$O$85,15,0))</f>
        <v>108.8</v>
      </c>
      <c r="X295" s="6">
        <f>IF(ISERROR(VLOOKUP($U$295,'TAR FIN'!$A$1:$O$85,15,0)),0,VLOOKUP($U$295,'TAR FIN'!$A$1:$O$85,15,0))</f>
        <v>49.46</v>
      </c>
      <c r="Y295" s="6"/>
      <c r="Z295" s="6">
        <f ca="1">('TUSD BE'!$AM$21+'TUSD BF'!$AM$21+'TUSD CVA'!$AM$21-('TUSD BE'!$P$21+'TUSD BF'!$P$21+'TUSD CVA'!$P$21)-('TUSD BE'!$Q$21+'TUSD BF'!$Q$21+'TUSD CVA'!$Q$21)-('TUSD BE'!$R$21+'TUSD BF'!$R$21+'TUSD CVA'!$R$21))*(1-CUSTOS!$M$34)</f>
        <v>108.24753272667745</v>
      </c>
      <c r="AA295" s="6">
        <f>('TE BE'!$AB$11+'TE BF'!$AB$11+'TE CVA'!$AB$11)*(1-CUSTOS!$M$34)</f>
        <v>47.532191528466498</v>
      </c>
      <c r="AB295" s="6">
        <f>$K$295*$V$295</f>
        <v>0</v>
      </c>
      <c r="AC295" s="6">
        <f>$M$295*$W$295</f>
        <v>427.584</v>
      </c>
      <c r="AD295" s="6">
        <f>$O$295*$X$295</f>
        <v>194.37780000000001</v>
      </c>
      <c r="AE295" s="6">
        <f>$K$295*$Y$295</f>
        <v>0</v>
      </c>
      <c r="AF295" s="6">
        <f ca="1">$M$295*$Z$295</f>
        <v>425.41280361584239</v>
      </c>
      <c r="AG295" s="6">
        <f>$O$295*$AA$295</f>
        <v>186.80151270687335</v>
      </c>
    </row>
    <row r="296" spans="1:33" ht="11.25" customHeight="1" x14ac:dyDescent="0.25">
      <c r="A296" s="4" t="s">
        <v>21</v>
      </c>
      <c r="B296" s="4" t="s">
        <v>22</v>
      </c>
      <c r="C296" s="4" t="s">
        <v>23</v>
      </c>
      <c r="D296" s="4" t="s">
        <v>24</v>
      </c>
      <c r="E296" s="4" t="s">
        <v>30</v>
      </c>
      <c r="F296" s="4" t="s">
        <v>25</v>
      </c>
      <c r="G296" s="4" t="s">
        <v>25</v>
      </c>
      <c r="H296" s="4" t="s">
        <v>25</v>
      </c>
      <c r="I296" s="5">
        <v>44440</v>
      </c>
      <c r="J296" s="6">
        <v>0</v>
      </c>
      <c r="K296" s="6">
        <v>0</v>
      </c>
      <c r="L296" s="6">
        <v>2.0699999999999998</v>
      </c>
      <c r="M296" s="6">
        <v>2.0699999999999998</v>
      </c>
      <c r="N296" s="6">
        <v>2.0699999999999998</v>
      </c>
      <c r="O296" s="6">
        <v>2.0699999999999998</v>
      </c>
      <c r="P296" s="6">
        <v>5</v>
      </c>
      <c r="Q296" s="4" t="s">
        <v>26</v>
      </c>
      <c r="R296" s="4">
        <v>0</v>
      </c>
      <c r="S296" s="6">
        <v>0</v>
      </c>
      <c r="T296" s="6">
        <v>9</v>
      </c>
      <c r="U296" s="6">
        <v>52</v>
      </c>
      <c r="V296" s="6">
        <f>IF(ISERROR(VLOOKUP($S$296,'TAR FIN'!$A$1:$O$85,15,0)),0,VLOOKUP($S$296,'TAR FIN'!$A$1:$O$85,15,0))</f>
        <v>0</v>
      </c>
      <c r="W296" s="6">
        <f>IF(ISERROR(VLOOKUP($T$296,'TAR FIN'!$A$1:$O$85,15,0)),0,VLOOKUP($T$296,'TAR FIN'!$A$1:$O$85,15,0))</f>
        <v>186.51</v>
      </c>
      <c r="X296" s="6">
        <f>IF(ISERROR(VLOOKUP($U$296,'TAR FIN'!$A$1:$O$85,15,0)),0,VLOOKUP($U$296,'TAR FIN'!$A$1:$O$85,15,0))</f>
        <v>84.79</v>
      </c>
      <c r="Y296" s="6"/>
      <c r="Z296" s="6">
        <f ca="1">('TUSD BE'!$AM$22+'TUSD BF'!$AM$22+'TUSD CVA'!$AM$22-('TUSD BE'!$P$22+'TUSD BF'!$P$22+'TUSD CVA'!$P$22)-('TUSD BE'!$Q$22+'TUSD BF'!$Q$22+'TUSD CVA'!$Q$22)-('TUSD BE'!$R$22+'TUSD BF'!$R$22+'TUSD CVA'!$R$22))*(1-CUSTOS!$M$35)</f>
        <v>185.56719896001849</v>
      </c>
      <c r="AA296" s="6">
        <f>('TE BE'!$AB$12+'TE BF'!$AB$12+'TE CVA'!$AB$12)*(1-CUSTOS!$M$35)</f>
        <v>81.48375690594257</v>
      </c>
      <c r="AB296" s="6">
        <f>$K$296*$V$296</f>
        <v>0</v>
      </c>
      <c r="AC296" s="6">
        <f>$M$296*$W$296</f>
        <v>386.07569999999993</v>
      </c>
      <c r="AD296" s="6">
        <f>$O$296*$X$296</f>
        <v>175.5153</v>
      </c>
      <c r="AE296" s="6">
        <f>$K$296*$Y$296</f>
        <v>0</v>
      </c>
      <c r="AF296" s="6">
        <f ca="1">$M$296*$Z$296</f>
        <v>384.12410184723825</v>
      </c>
      <c r="AG296" s="6">
        <f>$O$296*$AA$296</f>
        <v>168.67137679530111</v>
      </c>
    </row>
    <row r="297" spans="1:33" ht="11.25" customHeight="1" x14ac:dyDescent="0.25">
      <c r="A297" s="4" t="s">
        <v>21</v>
      </c>
      <c r="B297" s="4" t="s">
        <v>22</v>
      </c>
      <c r="C297" s="4" t="s">
        <v>23</v>
      </c>
      <c r="D297" s="4" t="s">
        <v>24</v>
      </c>
      <c r="E297" s="4" t="s">
        <v>30</v>
      </c>
      <c r="F297" s="4" t="s">
        <v>25</v>
      </c>
      <c r="G297" s="4" t="s">
        <v>25</v>
      </c>
      <c r="H297" s="4" t="s">
        <v>25</v>
      </c>
      <c r="I297" s="5">
        <v>44470</v>
      </c>
      <c r="J297" s="6">
        <v>0</v>
      </c>
      <c r="K297" s="6">
        <v>0</v>
      </c>
      <c r="L297" s="6">
        <v>2.2440000000000002</v>
      </c>
      <c r="M297" s="6">
        <v>2.2440000000000002</v>
      </c>
      <c r="N297" s="6">
        <v>2.2440000000000002</v>
      </c>
      <c r="O297" s="6">
        <v>2.2440000000000002</v>
      </c>
      <c r="P297" s="6">
        <v>9</v>
      </c>
      <c r="Q297" s="4" t="s">
        <v>26</v>
      </c>
      <c r="R297" s="4">
        <v>0</v>
      </c>
      <c r="S297" s="6">
        <v>0</v>
      </c>
      <c r="T297" s="6">
        <v>9</v>
      </c>
      <c r="U297" s="6">
        <v>52</v>
      </c>
      <c r="V297" s="6">
        <f>IF(ISERROR(VLOOKUP($S$297,'TAR FIN'!$A$1:$O$85,15,0)),0,VLOOKUP($S$297,'TAR FIN'!$A$1:$O$85,15,0))</f>
        <v>0</v>
      </c>
      <c r="W297" s="6">
        <f>IF(ISERROR(VLOOKUP($T$297,'TAR FIN'!$A$1:$O$85,15,0)),0,VLOOKUP($T$297,'TAR FIN'!$A$1:$O$85,15,0))</f>
        <v>186.51</v>
      </c>
      <c r="X297" s="6">
        <f>IF(ISERROR(VLOOKUP($U$297,'TAR FIN'!$A$1:$O$85,15,0)),0,VLOOKUP($U$297,'TAR FIN'!$A$1:$O$85,15,0))</f>
        <v>84.79</v>
      </c>
      <c r="Y297" s="6"/>
      <c r="Z297" s="6">
        <f ca="1">('TUSD BE'!$AM$22+'TUSD BF'!$AM$22+'TUSD CVA'!$AM$22-('TUSD BE'!$P$22+'TUSD BF'!$P$22+'TUSD CVA'!$P$22)-('TUSD BE'!$Q$22+'TUSD BF'!$Q$22+'TUSD CVA'!$Q$22)-('TUSD BE'!$R$22+'TUSD BF'!$R$22+'TUSD CVA'!$R$22))*(1-CUSTOS!$M$35)</f>
        <v>185.56719896001849</v>
      </c>
      <c r="AA297" s="6">
        <f>('TE BE'!$AB$12+'TE BF'!$AB$12+'TE CVA'!$AB$12)*(1-CUSTOS!$M$35)</f>
        <v>81.48375690594257</v>
      </c>
      <c r="AB297" s="6">
        <f>$K$297*$V$297</f>
        <v>0</v>
      </c>
      <c r="AC297" s="6">
        <f>$M$297*$W$297</f>
        <v>418.52844000000005</v>
      </c>
      <c r="AD297" s="6">
        <f>$O$297*$X$297</f>
        <v>190.26876000000004</v>
      </c>
      <c r="AE297" s="6">
        <f>$K$297*$Y$297</f>
        <v>0</v>
      </c>
      <c r="AF297" s="6">
        <f ca="1">$M$297*$Z$297</f>
        <v>416.41279446628153</v>
      </c>
      <c r="AG297" s="6">
        <f>$O$297*$AA$297</f>
        <v>182.84955049693514</v>
      </c>
    </row>
    <row r="298" spans="1:33" ht="11.25" customHeight="1" x14ac:dyDescent="0.25">
      <c r="A298" s="4" t="s">
        <v>21</v>
      </c>
      <c r="B298" s="4" t="s">
        <v>22</v>
      </c>
      <c r="C298" s="4" t="s">
        <v>23</v>
      </c>
      <c r="D298" s="4" t="s">
        <v>24</v>
      </c>
      <c r="E298" s="4" t="s">
        <v>30</v>
      </c>
      <c r="F298" s="4" t="s">
        <v>25</v>
      </c>
      <c r="G298" s="4" t="s">
        <v>25</v>
      </c>
      <c r="H298" s="4" t="s">
        <v>25</v>
      </c>
      <c r="I298" s="5">
        <v>44501</v>
      </c>
      <c r="J298" s="6">
        <v>0</v>
      </c>
      <c r="K298" s="6">
        <v>0</v>
      </c>
      <c r="L298" s="6">
        <v>2.5049999999999999</v>
      </c>
      <c r="M298" s="6">
        <v>2.5049999999999999</v>
      </c>
      <c r="N298" s="6">
        <v>2.5049999999999999</v>
      </c>
      <c r="O298" s="6">
        <v>2.5049999999999999</v>
      </c>
      <c r="P298" s="6">
        <v>5</v>
      </c>
      <c r="Q298" s="4" t="s">
        <v>26</v>
      </c>
      <c r="R298" s="4">
        <v>0</v>
      </c>
      <c r="S298" s="6">
        <v>0</v>
      </c>
      <c r="T298" s="6">
        <v>9</v>
      </c>
      <c r="U298" s="6">
        <v>52</v>
      </c>
      <c r="V298" s="6">
        <f>IF(ISERROR(VLOOKUP($S$298,'TAR FIN'!$A$1:$O$85,15,0)),0,VLOOKUP($S$298,'TAR FIN'!$A$1:$O$85,15,0))</f>
        <v>0</v>
      </c>
      <c r="W298" s="6">
        <f>IF(ISERROR(VLOOKUP($T$298,'TAR FIN'!$A$1:$O$85,15,0)),0,VLOOKUP($T$298,'TAR FIN'!$A$1:$O$85,15,0))</f>
        <v>186.51</v>
      </c>
      <c r="X298" s="6">
        <f>IF(ISERROR(VLOOKUP($U$298,'TAR FIN'!$A$1:$O$85,15,0)),0,VLOOKUP($U$298,'TAR FIN'!$A$1:$O$85,15,0))</f>
        <v>84.79</v>
      </c>
      <c r="Y298" s="6"/>
      <c r="Z298" s="6">
        <f ca="1">('TUSD BE'!$AM$22+'TUSD BF'!$AM$22+'TUSD CVA'!$AM$22-('TUSD BE'!$P$22+'TUSD BF'!$P$22+'TUSD CVA'!$P$22)-('TUSD BE'!$Q$22+'TUSD BF'!$Q$22+'TUSD CVA'!$Q$22)-('TUSD BE'!$R$22+'TUSD BF'!$R$22+'TUSD CVA'!$R$22))*(1-CUSTOS!$M$35)</f>
        <v>185.56719896001849</v>
      </c>
      <c r="AA298" s="6">
        <f>('TE BE'!$AB$12+'TE BF'!$AB$12+'TE CVA'!$AB$12)*(1-CUSTOS!$M$35)</f>
        <v>81.48375690594257</v>
      </c>
      <c r="AB298" s="6">
        <f>$K$298*$V$298</f>
        <v>0</v>
      </c>
      <c r="AC298" s="6">
        <f>$M$298*$W$298</f>
        <v>467.20754999999997</v>
      </c>
      <c r="AD298" s="6">
        <f>$O$298*$X$298</f>
        <v>212.39895000000001</v>
      </c>
      <c r="AE298" s="6">
        <f>$K$298*$Y$298</f>
        <v>0</v>
      </c>
      <c r="AF298" s="6">
        <f ca="1">$M$298*$Z$298</f>
        <v>464.8458333948463</v>
      </c>
      <c r="AG298" s="6">
        <f>$O$298*$AA$298</f>
        <v>204.11681104938614</v>
      </c>
    </row>
    <row r="299" spans="1:33" ht="11.25" customHeight="1" x14ac:dyDescent="0.25">
      <c r="A299" s="4" t="s">
        <v>21</v>
      </c>
      <c r="B299" s="4" t="s">
        <v>22</v>
      </c>
      <c r="C299" s="4" t="s">
        <v>23</v>
      </c>
      <c r="D299" s="4" t="s">
        <v>24</v>
      </c>
      <c r="E299" s="4" t="s">
        <v>30</v>
      </c>
      <c r="F299" s="4" t="s">
        <v>25</v>
      </c>
      <c r="G299" s="4" t="s">
        <v>25</v>
      </c>
      <c r="H299" s="4" t="s">
        <v>25</v>
      </c>
      <c r="I299" s="5">
        <v>44531</v>
      </c>
      <c r="J299" s="6">
        <v>0</v>
      </c>
      <c r="K299" s="6">
        <v>0</v>
      </c>
      <c r="L299" s="6">
        <v>2.444</v>
      </c>
      <c r="M299" s="6">
        <v>2.444</v>
      </c>
      <c r="N299" s="6">
        <v>2.444</v>
      </c>
      <c r="O299" s="6">
        <v>2.444</v>
      </c>
      <c r="P299" s="6">
        <v>3</v>
      </c>
      <c r="Q299" s="4" t="s">
        <v>26</v>
      </c>
      <c r="R299" s="4">
        <v>0</v>
      </c>
      <c r="S299" s="6">
        <v>0</v>
      </c>
      <c r="T299" s="6">
        <v>9</v>
      </c>
      <c r="U299" s="6">
        <v>52</v>
      </c>
      <c r="V299" s="6">
        <f>IF(ISERROR(VLOOKUP($S$299,'TAR FIN'!$A$1:$O$85,15,0)),0,VLOOKUP($S$299,'TAR FIN'!$A$1:$O$85,15,0))</f>
        <v>0</v>
      </c>
      <c r="W299" s="6">
        <f>IF(ISERROR(VLOOKUP($T$299,'TAR FIN'!$A$1:$O$85,15,0)),0,VLOOKUP($T$299,'TAR FIN'!$A$1:$O$85,15,0))</f>
        <v>186.51</v>
      </c>
      <c r="X299" s="6">
        <f>IF(ISERROR(VLOOKUP($U$299,'TAR FIN'!$A$1:$O$85,15,0)),0,VLOOKUP($U$299,'TAR FIN'!$A$1:$O$85,15,0))</f>
        <v>84.79</v>
      </c>
      <c r="Y299" s="6"/>
      <c r="Z299" s="6">
        <f ca="1">('TUSD BE'!$AM$22+'TUSD BF'!$AM$22+'TUSD CVA'!$AM$22-('TUSD BE'!$P$22+'TUSD BF'!$P$22+'TUSD CVA'!$P$22)-('TUSD BE'!$Q$22+'TUSD BF'!$Q$22+'TUSD CVA'!$Q$22)-('TUSD BE'!$R$22+'TUSD BF'!$R$22+'TUSD CVA'!$R$22))*(1-CUSTOS!$M$35)</f>
        <v>185.56719896001849</v>
      </c>
      <c r="AA299" s="6">
        <f>('TE BE'!$AB$12+'TE BF'!$AB$12+'TE CVA'!$AB$12)*(1-CUSTOS!$M$35)</f>
        <v>81.48375690594257</v>
      </c>
      <c r="AB299" s="6">
        <f>$K$299*$V$299</f>
        <v>0</v>
      </c>
      <c r="AC299" s="6">
        <f>$M$299*$W$299</f>
        <v>455.83043999999995</v>
      </c>
      <c r="AD299" s="6">
        <f>$O$299*$X$299</f>
        <v>207.22676000000001</v>
      </c>
      <c r="AE299" s="6">
        <f>$K$299*$Y$299</f>
        <v>0</v>
      </c>
      <c r="AF299" s="6">
        <f ca="1">$M$299*$Z$299</f>
        <v>453.52623425828517</v>
      </c>
      <c r="AG299" s="6">
        <f>$O$299*$AA$299</f>
        <v>199.14630187812364</v>
      </c>
    </row>
    <row r="300" spans="1:33" ht="11.25" customHeight="1" x14ac:dyDescent="0.25">
      <c r="A300" s="4" t="s">
        <v>21</v>
      </c>
      <c r="B300" s="4" t="s">
        <v>22</v>
      </c>
      <c r="C300" s="4" t="s">
        <v>23</v>
      </c>
      <c r="D300" s="4" t="s">
        <v>24</v>
      </c>
      <c r="E300" s="4" t="s">
        <v>30</v>
      </c>
      <c r="F300" s="4" t="s">
        <v>25</v>
      </c>
      <c r="G300" s="4" t="s">
        <v>25</v>
      </c>
      <c r="H300" s="4" t="s">
        <v>25</v>
      </c>
      <c r="I300" s="5">
        <v>44562</v>
      </c>
      <c r="J300" s="6">
        <v>0</v>
      </c>
      <c r="K300" s="6">
        <v>0</v>
      </c>
      <c r="L300" s="6">
        <v>2.5230000000000001</v>
      </c>
      <c r="M300" s="6">
        <v>2.5230000000000001</v>
      </c>
      <c r="N300" s="6">
        <v>2.5230000000000001</v>
      </c>
      <c r="O300" s="6">
        <v>2.5230000000000001</v>
      </c>
      <c r="P300" s="6">
        <v>5</v>
      </c>
      <c r="Q300" s="4" t="s">
        <v>26</v>
      </c>
      <c r="R300" s="4">
        <v>0</v>
      </c>
      <c r="S300" s="6">
        <v>0</v>
      </c>
      <c r="T300" s="6">
        <v>9</v>
      </c>
      <c r="U300" s="6">
        <v>52</v>
      </c>
      <c r="V300" s="6">
        <f>IF(ISERROR(VLOOKUP($S$300,'TAR FIN'!$A$1:$O$85,15,0)),0,VLOOKUP($S$300,'TAR FIN'!$A$1:$O$85,15,0))</f>
        <v>0</v>
      </c>
      <c r="W300" s="6">
        <f>IF(ISERROR(VLOOKUP($T$300,'TAR FIN'!$A$1:$O$85,15,0)),0,VLOOKUP($T$300,'TAR FIN'!$A$1:$O$85,15,0))</f>
        <v>186.51</v>
      </c>
      <c r="X300" s="6">
        <f>IF(ISERROR(VLOOKUP($U$300,'TAR FIN'!$A$1:$O$85,15,0)),0,VLOOKUP($U$300,'TAR FIN'!$A$1:$O$85,15,0))</f>
        <v>84.79</v>
      </c>
      <c r="Y300" s="6"/>
      <c r="Z300" s="6">
        <f ca="1">('TUSD BE'!$AM$22+'TUSD BF'!$AM$22+'TUSD CVA'!$AM$22-('TUSD BE'!$P$22+'TUSD BF'!$P$22+'TUSD CVA'!$P$22)-('TUSD BE'!$Q$22+'TUSD BF'!$Q$22+'TUSD CVA'!$Q$22)-('TUSD BE'!$R$22+'TUSD BF'!$R$22+'TUSD CVA'!$R$22))*(1-CUSTOS!$M$35)</f>
        <v>185.56719896001849</v>
      </c>
      <c r="AA300" s="6">
        <f>('TE BE'!$AB$12+'TE BF'!$AB$12+'TE CVA'!$AB$12)*(1-CUSTOS!$M$35)</f>
        <v>81.48375690594257</v>
      </c>
      <c r="AB300" s="6">
        <f>$K$300*$V$300</f>
        <v>0</v>
      </c>
      <c r="AC300" s="6">
        <f>$M$300*$W$300</f>
        <v>470.56473</v>
      </c>
      <c r="AD300" s="6">
        <f>$O$300*$X$300</f>
        <v>213.92517000000004</v>
      </c>
      <c r="AE300" s="6">
        <f>$K$300*$Y$300</f>
        <v>0</v>
      </c>
      <c r="AF300" s="6">
        <f ca="1">$M$300*$Z$300</f>
        <v>468.18604297612666</v>
      </c>
      <c r="AG300" s="6">
        <f>$O$300*$AA$300</f>
        <v>205.58351867369311</v>
      </c>
    </row>
    <row r="301" spans="1:33" ht="11.25" customHeight="1" x14ac:dyDescent="0.25">
      <c r="A301" s="4" t="s">
        <v>21</v>
      </c>
      <c r="B301" s="4" t="s">
        <v>22</v>
      </c>
      <c r="C301" s="4" t="s">
        <v>23</v>
      </c>
      <c r="D301" s="4" t="s">
        <v>24</v>
      </c>
      <c r="E301" s="4" t="s">
        <v>30</v>
      </c>
      <c r="F301" s="4" t="s">
        <v>25</v>
      </c>
      <c r="G301" s="4" t="s">
        <v>25</v>
      </c>
      <c r="H301" s="4" t="s">
        <v>25</v>
      </c>
      <c r="I301" s="5">
        <v>44593</v>
      </c>
      <c r="J301" s="6">
        <v>0</v>
      </c>
      <c r="K301" s="6">
        <v>0</v>
      </c>
      <c r="L301" s="6">
        <v>4.7779999999999996</v>
      </c>
      <c r="M301" s="6">
        <v>4.7779999999999996</v>
      </c>
      <c r="N301" s="6">
        <v>4.7779999999999996</v>
      </c>
      <c r="O301" s="6">
        <v>4.7779999999999996</v>
      </c>
      <c r="P301" s="6">
        <v>17</v>
      </c>
      <c r="Q301" s="4" t="s">
        <v>26</v>
      </c>
      <c r="R301" s="4">
        <v>0</v>
      </c>
      <c r="S301" s="6">
        <v>0</v>
      </c>
      <c r="T301" s="6">
        <v>9</v>
      </c>
      <c r="U301" s="6">
        <v>52</v>
      </c>
      <c r="V301" s="6">
        <f>IF(ISERROR(VLOOKUP($S$301,'TAR FIN'!$A$1:$O$85,15,0)),0,VLOOKUP($S$301,'TAR FIN'!$A$1:$O$85,15,0))</f>
        <v>0</v>
      </c>
      <c r="W301" s="6">
        <f>IF(ISERROR(VLOOKUP($T$301,'TAR FIN'!$A$1:$O$85,15,0)),0,VLOOKUP($T$301,'TAR FIN'!$A$1:$O$85,15,0))</f>
        <v>186.51</v>
      </c>
      <c r="X301" s="6">
        <f>IF(ISERROR(VLOOKUP($U$301,'TAR FIN'!$A$1:$O$85,15,0)),0,VLOOKUP($U$301,'TAR FIN'!$A$1:$O$85,15,0))</f>
        <v>84.79</v>
      </c>
      <c r="Y301" s="6"/>
      <c r="Z301" s="6">
        <f ca="1">('TUSD BE'!$AM$22+'TUSD BF'!$AM$22+'TUSD CVA'!$AM$22-('TUSD BE'!$P$22+'TUSD BF'!$P$22+'TUSD CVA'!$P$22)-('TUSD BE'!$Q$22+'TUSD BF'!$Q$22+'TUSD CVA'!$Q$22)-('TUSD BE'!$R$22+'TUSD BF'!$R$22+'TUSD CVA'!$R$22))*(1-CUSTOS!$M$35)</f>
        <v>185.56719896001849</v>
      </c>
      <c r="AA301" s="6">
        <f>('TE BE'!$AB$12+'TE BF'!$AB$12+'TE CVA'!$AB$12)*(1-CUSTOS!$M$35)</f>
        <v>81.48375690594257</v>
      </c>
      <c r="AB301" s="6">
        <f>$K$301*$V$301</f>
        <v>0</v>
      </c>
      <c r="AC301" s="6">
        <f>$M$301*$W$301</f>
        <v>891.14477999999986</v>
      </c>
      <c r="AD301" s="6">
        <f>$O$301*$X$301</f>
        <v>405.12662</v>
      </c>
      <c r="AE301" s="6">
        <f>$K$301*$Y$301</f>
        <v>0</v>
      </c>
      <c r="AF301" s="6">
        <f ca="1">$M$301*$Z$301</f>
        <v>886.64007663096822</v>
      </c>
      <c r="AG301" s="6">
        <f>$O$301*$AA$301</f>
        <v>389.32939049659359</v>
      </c>
    </row>
    <row r="302" spans="1:33" ht="11.25" customHeight="1" x14ac:dyDescent="0.25">
      <c r="A302" s="4" t="s">
        <v>21</v>
      </c>
      <c r="B302" s="4" t="s">
        <v>22</v>
      </c>
      <c r="C302" s="4" t="s">
        <v>23</v>
      </c>
      <c r="D302" s="4" t="s">
        <v>24</v>
      </c>
      <c r="E302" s="4" t="s">
        <v>30</v>
      </c>
      <c r="F302" s="4" t="s">
        <v>25</v>
      </c>
      <c r="G302" s="4" t="s">
        <v>25</v>
      </c>
      <c r="H302" s="4" t="s">
        <v>25</v>
      </c>
      <c r="I302" s="5">
        <v>44621</v>
      </c>
      <c r="J302" s="6">
        <v>0</v>
      </c>
      <c r="K302" s="6">
        <v>0</v>
      </c>
      <c r="L302" s="6">
        <v>4.8440000000000003</v>
      </c>
      <c r="M302" s="6">
        <v>4.8440000000000003</v>
      </c>
      <c r="N302" s="6">
        <v>4.8440000000000003</v>
      </c>
      <c r="O302" s="6">
        <v>4.8440000000000003</v>
      </c>
      <c r="P302" s="6">
        <v>22</v>
      </c>
      <c r="Q302" s="4" t="s">
        <v>26</v>
      </c>
      <c r="R302" s="4">
        <v>0</v>
      </c>
      <c r="S302" s="6">
        <v>0</v>
      </c>
      <c r="T302" s="6">
        <v>9</v>
      </c>
      <c r="U302" s="6">
        <v>52</v>
      </c>
      <c r="V302" s="6">
        <f>IF(ISERROR(VLOOKUP($S$302,'TAR FIN'!$A$1:$O$85,15,0)),0,VLOOKUP($S$302,'TAR FIN'!$A$1:$O$85,15,0))</f>
        <v>0</v>
      </c>
      <c r="W302" s="6">
        <f>IF(ISERROR(VLOOKUP($T$302,'TAR FIN'!$A$1:$O$85,15,0)),0,VLOOKUP($T$302,'TAR FIN'!$A$1:$O$85,15,0))</f>
        <v>186.51</v>
      </c>
      <c r="X302" s="6">
        <f>IF(ISERROR(VLOOKUP($U$302,'TAR FIN'!$A$1:$O$85,15,0)),0,VLOOKUP($U$302,'TAR FIN'!$A$1:$O$85,15,0))</f>
        <v>84.79</v>
      </c>
      <c r="Y302" s="6"/>
      <c r="Z302" s="6">
        <f ca="1">('TUSD BE'!$AM$22+'TUSD BF'!$AM$22+'TUSD CVA'!$AM$22-('TUSD BE'!$P$22+'TUSD BF'!$P$22+'TUSD CVA'!$P$22)-('TUSD BE'!$Q$22+'TUSD BF'!$Q$22+'TUSD CVA'!$Q$22)-('TUSD BE'!$R$22+'TUSD BF'!$R$22+'TUSD CVA'!$R$22))*(1-CUSTOS!$M$35)</f>
        <v>185.56719896001849</v>
      </c>
      <c r="AA302" s="6">
        <f>('TE BE'!$AB$12+'TE BF'!$AB$12+'TE CVA'!$AB$12)*(1-CUSTOS!$M$35)</f>
        <v>81.48375690594257</v>
      </c>
      <c r="AB302" s="6">
        <f>$K$302*$V$302</f>
        <v>0</v>
      </c>
      <c r="AC302" s="6">
        <f>$M$302*$W$302</f>
        <v>903.45443999999998</v>
      </c>
      <c r="AD302" s="6">
        <f>$O$302*$X$302</f>
        <v>410.72276000000005</v>
      </c>
      <c r="AE302" s="6">
        <f>$K$302*$Y$302</f>
        <v>0</v>
      </c>
      <c r="AF302" s="6">
        <f ca="1">$M$302*$Z$302</f>
        <v>898.88751176232961</v>
      </c>
      <c r="AG302" s="6">
        <f>$O$302*$AA$302</f>
        <v>394.70731845238583</v>
      </c>
    </row>
    <row r="303" spans="1:33" ht="11.25" customHeight="1" x14ac:dyDescent="0.25">
      <c r="A303" s="4" t="s">
        <v>21</v>
      </c>
      <c r="B303" s="4" t="s">
        <v>22</v>
      </c>
      <c r="C303" s="4" t="s">
        <v>23</v>
      </c>
      <c r="D303" s="4" t="s">
        <v>24</v>
      </c>
      <c r="E303" s="4" t="s">
        <v>30</v>
      </c>
      <c r="F303" s="4" t="s">
        <v>25</v>
      </c>
      <c r="G303" s="4" t="s">
        <v>25</v>
      </c>
      <c r="H303" s="4" t="s">
        <v>25</v>
      </c>
      <c r="I303" s="5">
        <v>44652</v>
      </c>
      <c r="J303" s="6">
        <v>0</v>
      </c>
      <c r="K303" s="6">
        <v>0</v>
      </c>
      <c r="L303" s="6">
        <v>8.1080000000000005</v>
      </c>
      <c r="M303" s="6">
        <v>8.1080000000000005</v>
      </c>
      <c r="N303" s="6">
        <v>8.1080000000000005</v>
      </c>
      <c r="O303" s="6">
        <v>8.1080000000000005</v>
      </c>
      <c r="P303" s="6">
        <v>34</v>
      </c>
      <c r="Q303" s="4" t="s">
        <v>26</v>
      </c>
      <c r="R303" s="4">
        <v>0</v>
      </c>
      <c r="S303" s="6">
        <v>0</v>
      </c>
      <c r="T303" s="6">
        <v>9</v>
      </c>
      <c r="U303" s="6">
        <v>52</v>
      </c>
      <c r="V303" s="6">
        <f>IF(ISERROR(VLOOKUP($S$303,'TAR FIN'!$A$1:$O$85,15,0)),0,VLOOKUP($S$303,'TAR FIN'!$A$1:$O$85,15,0))</f>
        <v>0</v>
      </c>
      <c r="W303" s="6">
        <f>IF(ISERROR(VLOOKUP($T$303,'TAR FIN'!$A$1:$O$85,15,0)),0,VLOOKUP($T$303,'TAR FIN'!$A$1:$O$85,15,0))</f>
        <v>186.51</v>
      </c>
      <c r="X303" s="6">
        <f>IF(ISERROR(VLOOKUP($U$303,'TAR FIN'!$A$1:$O$85,15,0)),0,VLOOKUP($U$303,'TAR FIN'!$A$1:$O$85,15,0))</f>
        <v>84.79</v>
      </c>
      <c r="Y303" s="6"/>
      <c r="Z303" s="6">
        <f ca="1">('TUSD BE'!$AM$22+'TUSD BF'!$AM$22+'TUSD CVA'!$AM$22-('TUSD BE'!$P$22+'TUSD BF'!$P$22+'TUSD CVA'!$P$22)-('TUSD BE'!$Q$22+'TUSD BF'!$Q$22+'TUSD CVA'!$Q$22)-('TUSD BE'!$R$22+'TUSD BF'!$R$22+'TUSD CVA'!$R$22))*(1-CUSTOS!$M$35)</f>
        <v>185.56719896001849</v>
      </c>
      <c r="AA303" s="6">
        <f>('TE BE'!$AB$12+'TE BF'!$AB$12+'TE CVA'!$AB$12)*(1-CUSTOS!$M$35)</f>
        <v>81.48375690594257</v>
      </c>
      <c r="AB303" s="6">
        <f>$K$303*$V$303</f>
        <v>0</v>
      </c>
      <c r="AC303" s="6">
        <f>$M$303*$W$303</f>
        <v>1512.22308</v>
      </c>
      <c r="AD303" s="6">
        <f>$O$303*$X$303</f>
        <v>687.47732000000008</v>
      </c>
      <c r="AE303" s="6">
        <f>$K$303*$Y$303</f>
        <v>0</v>
      </c>
      <c r="AF303" s="6">
        <f ca="1">$M$303*$Z$303</f>
        <v>1504.57884916783</v>
      </c>
      <c r="AG303" s="6">
        <f>$O$303*$AA$303</f>
        <v>660.6703009933824</v>
      </c>
    </row>
    <row r="304" spans="1:33" ht="11.25" customHeight="1" x14ac:dyDescent="0.25">
      <c r="A304" s="4" t="s">
        <v>21</v>
      </c>
      <c r="B304" s="4" t="s">
        <v>22</v>
      </c>
      <c r="C304" s="4" t="s">
        <v>23</v>
      </c>
      <c r="D304" s="4" t="s">
        <v>24</v>
      </c>
      <c r="E304" s="4" t="s">
        <v>30</v>
      </c>
      <c r="F304" s="4" t="s">
        <v>25</v>
      </c>
      <c r="G304" s="4" t="s">
        <v>25</v>
      </c>
      <c r="H304" s="4" t="s">
        <v>25</v>
      </c>
      <c r="I304" s="5">
        <v>44682</v>
      </c>
      <c r="J304" s="6">
        <v>0</v>
      </c>
      <c r="K304" s="6">
        <v>0</v>
      </c>
      <c r="L304" s="6">
        <v>8.173</v>
      </c>
      <c r="M304" s="6">
        <v>8.173</v>
      </c>
      <c r="N304" s="6">
        <v>8.173</v>
      </c>
      <c r="O304" s="6">
        <v>8.173</v>
      </c>
      <c r="P304" s="6">
        <v>38</v>
      </c>
      <c r="Q304" s="4" t="s">
        <v>26</v>
      </c>
      <c r="R304" s="4">
        <v>0</v>
      </c>
      <c r="S304" s="6">
        <v>0</v>
      </c>
      <c r="T304" s="6">
        <v>9</v>
      </c>
      <c r="U304" s="6">
        <v>52</v>
      </c>
      <c r="V304" s="6">
        <f>IF(ISERROR(VLOOKUP($S$304,'TAR FIN'!$A$1:$O$85,15,0)),0,VLOOKUP($S$304,'TAR FIN'!$A$1:$O$85,15,0))</f>
        <v>0</v>
      </c>
      <c r="W304" s="6">
        <f>IF(ISERROR(VLOOKUP($T$304,'TAR FIN'!$A$1:$O$85,15,0)),0,VLOOKUP($T$304,'TAR FIN'!$A$1:$O$85,15,0))</f>
        <v>186.51</v>
      </c>
      <c r="X304" s="6">
        <f>IF(ISERROR(VLOOKUP($U$304,'TAR FIN'!$A$1:$O$85,15,0)),0,VLOOKUP($U$304,'TAR FIN'!$A$1:$O$85,15,0))</f>
        <v>84.79</v>
      </c>
      <c r="Y304" s="6"/>
      <c r="Z304" s="6">
        <f ca="1">('TUSD BE'!$AM$22+'TUSD BF'!$AM$22+'TUSD CVA'!$AM$22-('TUSD BE'!$P$22+'TUSD BF'!$P$22+'TUSD CVA'!$P$22)-('TUSD BE'!$Q$22+'TUSD BF'!$Q$22+'TUSD CVA'!$Q$22)-('TUSD BE'!$R$22+'TUSD BF'!$R$22+'TUSD CVA'!$R$22))*(1-CUSTOS!$M$35)</f>
        <v>185.56719896001849</v>
      </c>
      <c r="AA304" s="6">
        <f>('TE BE'!$AB$12+'TE BF'!$AB$12+'TE CVA'!$AB$12)*(1-CUSTOS!$M$35)</f>
        <v>81.48375690594257</v>
      </c>
      <c r="AB304" s="6">
        <f>$K$304*$V$304</f>
        <v>0</v>
      </c>
      <c r="AC304" s="6">
        <f>$M$304*$W$304</f>
        <v>1524.3462299999999</v>
      </c>
      <c r="AD304" s="6">
        <f>$O$304*$X$304</f>
        <v>692.98867000000007</v>
      </c>
      <c r="AE304" s="6">
        <f>$K$304*$Y$304</f>
        <v>0</v>
      </c>
      <c r="AF304" s="6">
        <f ca="1">$M$304*$Z$304</f>
        <v>1516.6407171002311</v>
      </c>
      <c r="AG304" s="6">
        <f>$O$304*$AA$304</f>
        <v>665.9667451922686</v>
      </c>
    </row>
    <row r="305" spans="1:33" ht="11.25" customHeight="1" x14ac:dyDescent="0.25">
      <c r="A305" s="4" t="s">
        <v>21</v>
      </c>
      <c r="B305" s="4" t="s">
        <v>22</v>
      </c>
      <c r="C305" s="4" t="s">
        <v>23</v>
      </c>
      <c r="D305" s="4" t="s">
        <v>24</v>
      </c>
      <c r="E305" s="4" t="s">
        <v>30</v>
      </c>
      <c r="F305" s="4" t="s">
        <v>25</v>
      </c>
      <c r="G305" s="4" t="s">
        <v>25</v>
      </c>
      <c r="H305" s="4" t="s">
        <v>25</v>
      </c>
      <c r="I305" s="5">
        <v>44713</v>
      </c>
      <c r="J305" s="6">
        <v>0</v>
      </c>
      <c r="K305" s="6">
        <v>0</v>
      </c>
      <c r="L305" s="6">
        <v>8.3079999999999998</v>
      </c>
      <c r="M305" s="6">
        <v>8.3079999999999998</v>
      </c>
      <c r="N305" s="6">
        <v>8.3079999999999998</v>
      </c>
      <c r="O305" s="6">
        <v>8.3079999999999998</v>
      </c>
      <c r="P305" s="6">
        <v>38</v>
      </c>
      <c r="Q305" s="4" t="s">
        <v>26</v>
      </c>
      <c r="R305" s="4">
        <v>0</v>
      </c>
      <c r="S305" s="6">
        <v>0</v>
      </c>
      <c r="T305" s="6">
        <v>9</v>
      </c>
      <c r="U305" s="6">
        <v>52</v>
      </c>
      <c r="V305" s="6">
        <f>IF(ISERROR(VLOOKUP($S$305,'TAR FIN'!$A$1:$O$85,15,0)),0,VLOOKUP($S$305,'TAR FIN'!$A$1:$O$85,15,0))</f>
        <v>0</v>
      </c>
      <c r="W305" s="6">
        <f>IF(ISERROR(VLOOKUP($T$305,'TAR FIN'!$A$1:$O$85,15,0)),0,VLOOKUP($T$305,'TAR FIN'!$A$1:$O$85,15,0))</f>
        <v>186.51</v>
      </c>
      <c r="X305" s="6">
        <f>IF(ISERROR(VLOOKUP($U$305,'TAR FIN'!$A$1:$O$85,15,0)),0,VLOOKUP($U$305,'TAR FIN'!$A$1:$O$85,15,0))</f>
        <v>84.79</v>
      </c>
      <c r="Y305" s="6"/>
      <c r="Z305" s="6">
        <f ca="1">('TUSD BE'!$AM$22+'TUSD BF'!$AM$22+'TUSD CVA'!$AM$22-('TUSD BE'!$P$22+'TUSD BF'!$P$22+'TUSD CVA'!$P$22)-('TUSD BE'!$Q$22+'TUSD BF'!$Q$22+'TUSD CVA'!$Q$22)-('TUSD BE'!$R$22+'TUSD BF'!$R$22+'TUSD CVA'!$R$22))*(1-CUSTOS!$M$35)</f>
        <v>185.56719896001849</v>
      </c>
      <c r="AA305" s="6">
        <f>('TE BE'!$AB$12+'TE BF'!$AB$12+'TE CVA'!$AB$12)*(1-CUSTOS!$M$35)</f>
        <v>81.48375690594257</v>
      </c>
      <c r="AB305" s="6">
        <f>$K$305*$V$305</f>
        <v>0</v>
      </c>
      <c r="AC305" s="6">
        <f>$M$305*$W$305</f>
        <v>1549.5250799999999</v>
      </c>
      <c r="AD305" s="6">
        <f>$O$305*$X$305</f>
        <v>704.43532000000005</v>
      </c>
      <c r="AE305" s="6">
        <f>$K$305*$Y$305</f>
        <v>0</v>
      </c>
      <c r="AF305" s="6">
        <f ca="1">$M$305*$Z$305</f>
        <v>1541.6922889598336</v>
      </c>
      <c r="AG305" s="6">
        <f>$O$305*$AA$305</f>
        <v>676.96705237457081</v>
      </c>
    </row>
    <row r="306" spans="1:33" ht="11.25" customHeight="1" x14ac:dyDescent="0.25">
      <c r="A306" s="4" t="s">
        <v>21</v>
      </c>
      <c r="B306" s="4" t="s">
        <v>22</v>
      </c>
      <c r="C306" s="4" t="s">
        <v>23</v>
      </c>
      <c r="D306" s="4" t="s">
        <v>24</v>
      </c>
      <c r="E306" s="4" t="s">
        <v>30</v>
      </c>
      <c r="F306" s="4" t="s">
        <v>25</v>
      </c>
      <c r="G306" s="4" t="s">
        <v>25</v>
      </c>
      <c r="H306" s="4" t="s">
        <v>25</v>
      </c>
      <c r="I306" s="5">
        <v>44743</v>
      </c>
      <c r="J306" s="6">
        <v>0</v>
      </c>
      <c r="K306" s="6">
        <v>0</v>
      </c>
      <c r="L306" s="6">
        <v>7.3650000000000002</v>
      </c>
      <c r="M306" s="6">
        <v>7.3650000000000002</v>
      </c>
      <c r="N306" s="6">
        <v>7.3650000000000002</v>
      </c>
      <c r="O306" s="6">
        <v>7.3650000000000002</v>
      </c>
      <c r="P306" s="6">
        <v>35</v>
      </c>
      <c r="Q306" s="4" t="s">
        <v>26</v>
      </c>
      <c r="R306" s="4">
        <v>0</v>
      </c>
      <c r="S306" s="6">
        <v>0</v>
      </c>
      <c r="T306" s="6">
        <v>9</v>
      </c>
      <c r="U306" s="6">
        <v>52</v>
      </c>
      <c r="V306" s="6">
        <f>IF(ISERROR(VLOOKUP($S$306,'TAR FIN'!$A$1:$O$85,15,0)),0,VLOOKUP($S$306,'TAR FIN'!$A$1:$O$85,15,0))</f>
        <v>0</v>
      </c>
      <c r="W306" s="6">
        <f>IF(ISERROR(VLOOKUP($T$306,'TAR FIN'!$A$1:$O$85,15,0)),0,VLOOKUP($T$306,'TAR FIN'!$A$1:$O$85,15,0))</f>
        <v>186.51</v>
      </c>
      <c r="X306" s="6">
        <f>IF(ISERROR(VLOOKUP($U$306,'TAR FIN'!$A$1:$O$85,15,0)),0,VLOOKUP($U$306,'TAR FIN'!$A$1:$O$85,15,0))</f>
        <v>84.79</v>
      </c>
      <c r="Y306" s="6"/>
      <c r="Z306" s="6">
        <f ca="1">('TUSD BE'!$AM$22+'TUSD BF'!$AM$22+'TUSD CVA'!$AM$22-('TUSD BE'!$P$22+'TUSD BF'!$P$22+'TUSD CVA'!$P$22)-('TUSD BE'!$Q$22+'TUSD BF'!$Q$22+'TUSD CVA'!$Q$22)-('TUSD BE'!$R$22+'TUSD BF'!$R$22+'TUSD CVA'!$R$22))*(1-CUSTOS!$M$35)</f>
        <v>185.56719896001849</v>
      </c>
      <c r="AA306" s="6">
        <f>('TE BE'!$AB$12+'TE BF'!$AB$12+'TE CVA'!$AB$12)*(1-CUSTOS!$M$35)</f>
        <v>81.48375690594257</v>
      </c>
      <c r="AB306" s="6">
        <f>$K$306*$V$306</f>
        <v>0</v>
      </c>
      <c r="AC306" s="6">
        <f>$M$306*$W$306</f>
        <v>1373.64615</v>
      </c>
      <c r="AD306" s="6">
        <f>$O$306*$X$306</f>
        <v>624.47835000000009</v>
      </c>
      <c r="AE306" s="6">
        <f>$K$306*$Y$306</f>
        <v>0</v>
      </c>
      <c r="AF306" s="6">
        <f ca="1">$M$306*$Z$306</f>
        <v>1366.7024203405363</v>
      </c>
      <c r="AG306" s="6">
        <f>$O$306*$AA$306</f>
        <v>600.12786961226709</v>
      </c>
    </row>
    <row r="307" spans="1:33" ht="11.25" customHeight="1" x14ac:dyDescent="0.25">
      <c r="A307" s="4" t="s">
        <v>21</v>
      </c>
      <c r="B307" s="4" t="s">
        <v>22</v>
      </c>
      <c r="C307" s="4" t="s">
        <v>23</v>
      </c>
      <c r="D307" s="4" t="s">
        <v>24</v>
      </c>
      <c r="E307" s="4" t="s">
        <v>30</v>
      </c>
      <c r="F307" s="4" t="s">
        <v>25</v>
      </c>
      <c r="G307" s="4" t="s">
        <v>25</v>
      </c>
      <c r="H307" s="4" t="s">
        <v>25</v>
      </c>
      <c r="I307" s="5">
        <v>44774</v>
      </c>
      <c r="J307" s="6">
        <v>0</v>
      </c>
      <c r="K307" s="6">
        <v>0</v>
      </c>
      <c r="L307" s="6">
        <v>7.5730000000000004</v>
      </c>
      <c r="M307" s="6">
        <v>7.5730000000000004</v>
      </c>
      <c r="N307" s="6">
        <v>7.5730000000000004</v>
      </c>
      <c r="O307" s="6">
        <v>7.5730000000000004</v>
      </c>
      <c r="P307" s="6">
        <v>32</v>
      </c>
      <c r="Q307" s="4" t="s">
        <v>26</v>
      </c>
      <c r="R307" s="4">
        <v>0</v>
      </c>
      <c r="S307" s="6">
        <v>0</v>
      </c>
      <c r="T307" s="6">
        <v>9</v>
      </c>
      <c r="U307" s="6">
        <v>52</v>
      </c>
      <c r="V307" s="6">
        <f>IF(ISERROR(VLOOKUP($S$307,'TAR FIN'!$A$1:$O$85,15,0)),0,VLOOKUP($S$307,'TAR FIN'!$A$1:$O$85,15,0))</f>
        <v>0</v>
      </c>
      <c r="W307" s="6">
        <f>IF(ISERROR(VLOOKUP($T$307,'TAR FIN'!$A$1:$O$85,15,0)),0,VLOOKUP($T$307,'TAR FIN'!$A$1:$O$85,15,0))</f>
        <v>186.51</v>
      </c>
      <c r="X307" s="6">
        <f>IF(ISERROR(VLOOKUP($U$307,'TAR FIN'!$A$1:$O$85,15,0)),0,VLOOKUP($U$307,'TAR FIN'!$A$1:$O$85,15,0))</f>
        <v>84.79</v>
      </c>
      <c r="Y307" s="6"/>
      <c r="Z307" s="6">
        <f ca="1">('TUSD BE'!$AM$22+'TUSD BF'!$AM$22+'TUSD CVA'!$AM$22-('TUSD BE'!$P$22+'TUSD BF'!$P$22+'TUSD CVA'!$P$22)-('TUSD BE'!$Q$22+'TUSD BF'!$Q$22+'TUSD CVA'!$Q$22)-('TUSD BE'!$R$22+'TUSD BF'!$R$22+'TUSD CVA'!$R$22))*(1-CUSTOS!$M$35)</f>
        <v>185.56719896001849</v>
      </c>
      <c r="AA307" s="6">
        <f>('TE BE'!$AB$12+'TE BF'!$AB$12+'TE CVA'!$AB$12)*(1-CUSTOS!$M$35)</f>
        <v>81.48375690594257</v>
      </c>
      <c r="AB307" s="6">
        <f>$K$307*$V$307</f>
        <v>0</v>
      </c>
      <c r="AC307" s="6">
        <f>$M$307*$W$307</f>
        <v>1412.4402299999999</v>
      </c>
      <c r="AD307" s="6">
        <f>$O$307*$X$307</f>
        <v>642.11467000000005</v>
      </c>
      <c r="AE307" s="6">
        <f>$K$307*$Y$307</f>
        <v>0</v>
      </c>
      <c r="AF307" s="6">
        <f ca="1">$M$307*$Z$307</f>
        <v>1405.3003977242201</v>
      </c>
      <c r="AG307" s="6">
        <f>$O$307*$AA$307</f>
        <v>617.07649104870313</v>
      </c>
    </row>
    <row r="308" spans="1:33" ht="11.25" customHeight="1" x14ac:dyDescent="0.25">
      <c r="A308" s="4" t="s">
        <v>21</v>
      </c>
      <c r="B308" s="4" t="s">
        <v>22</v>
      </c>
      <c r="C308" s="4" t="s">
        <v>23</v>
      </c>
      <c r="D308" s="4" t="s">
        <v>24</v>
      </c>
      <c r="E308" s="4" t="s">
        <v>31</v>
      </c>
      <c r="F308" s="4" t="s">
        <v>25</v>
      </c>
      <c r="G308" s="4" t="s">
        <v>25</v>
      </c>
      <c r="H308" s="4" t="s">
        <v>25</v>
      </c>
      <c r="I308" s="5">
        <v>44440</v>
      </c>
      <c r="J308" s="6">
        <v>0</v>
      </c>
      <c r="K308" s="6">
        <v>0</v>
      </c>
      <c r="L308" s="6">
        <v>2.093</v>
      </c>
      <c r="M308" s="6">
        <v>2.093</v>
      </c>
      <c r="N308" s="6">
        <v>2.093</v>
      </c>
      <c r="O308" s="6">
        <v>2.093</v>
      </c>
      <c r="P308" s="6">
        <v>19</v>
      </c>
      <c r="Q308" s="4" t="s">
        <v>26</v>
      </c>
      <c r="R308" s="4">
        <v>0</v>
      </c>
      <c r="S308" s="6">
        <v>0</v>
      </c>
      <c r="T308" s="6">
        <v>8</v>
      </c>
      <c r="U308" s="6">
        <v>61</v>
      </c>
      <c r="V308" s="6">
        <f>IF(ISERROR(VLOOKUP($S$308,'TAR FIN'!$A$1:$O$85,15,0)),0,VLOOKUP($S$308,'TAR FIN'!$A$1:$O$85,15,0))</f>
        <v>0</v>
      </c>
      <c r="W308" s="6">
        <f>IF(ISERROR(VLOOKUP($T$308,'TAR FIN'!$A$1:$O$85,15,0)),0,VLOOKUP($T$308,'TAR FIN'!$A$1:$O$85,15,0))</f>
        <v>279.76</v>
      </c>
      <c r="X308" s="6">
        <f>IF(ISERROR(VLOOKUP($U$308,'TAR FIN'!$A$1:$O$85,15,0)),0,VLOOKUP($U$308,'TAR FIN'!$A$1:$O$85,15,0))</f>
        <v>127.19</v>
      </c>
      <c r="Y308" s="6"/>
      <c r="Z308" s="6">
        <f ca="1">('TUSD BE'!$AM$23+'TUSD BF'!$AM$23+'TUSD CVA'!$AM$23-('TUSD BE'!$P$23+'TUSD BF'!$P$23+'TUSD CVA'!$P$23)-('TUSD BE'!$Q$23+'TUSD BF'!$Q$23+'TUSD CVA'!$Q$23)-('TUSD BE'!$R$23+'TUSD BF'!$R$23+'TUSD CVA'!$R$23))*(1-CUSTOS!$M$36)</f>
        <v>278.35079844002775</v>
      </c>
      <c r="AA308" s="6">
        <f>('TE BE'!$AB$13+'TE BF'!$AB$13+'TE CVA'!$AB$13)*(1-CUSTOS!$M$36)</f>
        <v>122.22563535891386</v>
      </c>
      <c r="AB308" s="6">
        <f>$K$308*$V$308</f>
        <v>0</v>
      </c>
      <c r="AC308" s="6">
        <f>$M$308*$W$308</f>
        <v>585.53768000000002</v>
      </c>
      <c r="AD308" s="6">
        <f>$O$308*$X$308</f>
        <v>266.20866999999998</v>
      </c>
      <c r="AE308" s="6">
        <f>$K$308*$Y$308</f>
        <v>0</v>
      </c>
      <c r="AF308" s="6">
        <f ca="1">$M$308*$Z$308</f>
        <v>582.58822113497808</v>
      </c>
      <c r="AG308" s="6">
        <f>$O$308*$AA$308</f>
        <v>255.81825480620671</v>
      </c>
    </row>
    <row r="309" spans="1:33" ht="11.25" customHeight="1" x14ac:dyDescent="0.25">
      <c r="A309" s="4" t="s">
        <v>21</v>
      </c>
      <c r="B309" s="4" t="s">
        <v>22</v>
      </c>
      <c r="C309" s="4" t="s">
        <v>23</v>
      </c>
      <c r="D309" s="4" t="s">
        <v>24</v>
      </c>
      <c r="E309" s="4" t="s">
        <v>31</v>
      </c>
      <c r="F309" s="4" t="s">
        <v>25</v>
      </c>
      <c r="G309" s="4" t="s">
        <v>25</v>
      </c>
      <c r="H309" s="4" t="s">
        <v>25</v>
      </c>
      <c r="I309" s="5">
        <v>44470</v>
      </c>
      <c r="J309" s="6">
        <v>0</v>
      </c>
      <c r="K309" s="6">
        <v>0</v>
      </c>
      <c r="L309" s="6">
        <v>2.202</v>
      </c>
      <c r="M309" s="6">
        <v>2.202</v>
      </c>
      <c r="N309" s="6">
        <v>2.202</v>
      </c>
      <c r="O309" s="6">
        <v>2.202</v>
      </c>
      <c r="P309" s="6">
        <v>18</v>
      </c>
      <c r="Q309" s="4" t="s">
        <v>26</v>
      </c>
      <c r="R309" s="4">
        <v>0</v>
      </c>
      <c r="S309" s="6">
        <v>0</v>
      </c>
      <c r="T309" s="6">
        <v>8</v>
      </c>
      <c r="U309" s="6">
        <v>61</v>
      </c>
      <c r="V309" s="6">
        <f>IF(ISERROR(VLOOKUP($S$309,'TAR FIN'!$A$1:$O$85,15,0)),0,VLOOKUP($S$309,'TAR FIN'!$A$1:$O$85,15,0))</f>
        <v>0</v>
      </c>
      <c r="W309" s="6">
        <f>IF(ISERROR(VLOOKUP($T$309,'TAR FIN'!$A$1:$O$85,15,0)),0,VLOOKUP($T$309,'TAR FIN'!$A$1:$O$85,15,0))</f>
        <v>279.76</v>
      </c>
      <c r="X309" s="6">
        <f>IF(ISERROR(VLOOKUP($U$309,'TAR FIN'!$A$1:$O$85,15,0)),0,VLOOKUP($U$309,'TAR FIN'!$A$1:$O$85,15,0))</f>
        <v>127.19</v>
      </c>
      <c r="Y309" s="6"/>
      <c r="Z309" s="6">
        <f ca="1">('TUSD BE'!$AM$23+'TUSD BF'!$AM$23+'TUSD CVA'!$AM$23-('TUSD BE'!$P$23+'TUSD BF'!$P$23+'TUSD CVA'!$P$23)-('TUSD BE'!$Q$23+'TUSD BF'!$Q$23+'TUSD CVA'!$Q$23)-('TUSD BE'!$R$23+'TUSD BF'!$R$23+'TUSD CVA'!$R$23))*(1-CUSTOS!$M$36)</f>
        <v>278.35079844002775</v>
      </c>
      <c r="AA309" s="6">
        <f>('TE BE'!$AB$13+'TE BF'!$AB$13+'TE CVA'!$AB$13)*(1-CUSTOS!$M$36)</f>
        <v>122.22563535891386</v>
      </c>
      <c r="AB309" s="6">
        <f>$K$309*$V$309</f>
        <v>0</v>
      </c>
      <c r="AC309" s="6">
        <f>$M$309*$W$309</f>
        <v>616.03152</v>
      </c>
      <c r="AD309" s="6">
        <f>$O$309*$X$309</f>
        <v>280.07238000000001</v>
      </c>
      <c r="AE309" s="6">
        <f>$K$309*$Y$309</f>
        <v>0</v>
      </c>
      <c r="AF309" s="6">
        <f ca="1">$M$309*$Z$309</f>
        <v>612.92845816494105</v>
      </c>
      <c r="AG309" s="6">
        <f>$O$309*$AA$309</f>
        <v>269.14084906032832</v>
      </c>
    </row>
    <row r="310" spans="1:33" ht="11.25" customHeight="1" x14ac:dyDescent="0.25">
      <c r="A310" s="4" t="s">
        <v>21</v>
      </c>
      <c r="B310" s="4" t="s">
        <v>22</v>
      </c>
      <c r="C310" s="4" t="s">
        <v>23</v>
      </c>
      <c r="D310" s="4" t="s">
        <v>24</v>
      </c>
      <c r="E310" s="4" t="s">
        <v>31</v>
      </c>
      <c r="F310" s="4" t="s">
        <v>25</v>
      </c>
      <c r="G310" s="4" t="s">
        <v>25</v>
      </c>
      <c r="H310" s="4" t="s">
        <v>25</v>
      </c>
      <c r="I310" s="5">
        <v>44501</v>
      </c>
      <c r="J310" s="6">
        <v>0</v>
      </c>
      <c r="K310" s="6">
        <v>0</v>
      </c>
      <c r="L310" s="6">
        <v>2.254</v>
      </c>
      <c r="M310" s="6">
        <v>2.254</v>
      </c>
      <c r="N310" s="6">
        <v>2.254</v>
      </c>
      <c r="O310" s="6">
        <v>2.254</v>
      </c>
      <c r="P310" s="6">
        <v>23</v>
      </c>
      <c r="Q310" s="4" t="s">
        <v>26</v>
      </c>
      <c r="R310" s="4">
        <v>0</v>
      </c>
      <c r="S310" s="6">
        <v>0</v>
      </c>
      <c r="T310" s="6">
        <v>8</v>
      </c>
      <c r="U310" s="6">
        <v>61</v>
      </c>
      <c r="V310" s="6">
        <f>IF(ISERROR(VLOOKUP($S$310,'TAR FIN'!$A$1:$O$85,15,0)),0,VLOOKUP($S$310,'TAR FIN'!$A$1:$O$85,15,0))</f>
        <v>0</v>
      </c>
      <c r="W310" s="6">
        <f>IF(ISERROR(VLOOKUP($T$310,'TAR FIN'!$A$1:$O$85,15,0)),0,VLOOKUP($T$310,'TAR FIN'!$A$1:$O$85,15,0))</f>
        <v>279.76</v>
      </c>
      <c r="X310" s="6">
        <f>IF(ISERROR(VLOOKUP($U$310,'TAR FIN'!$A$1:$O$85,15,0)),0,VLOOKUP($U$310,'TAR FIN'!$A$1:$O$85,15,0))</f>
        <v>127.19</v>
      </c>
      <c r="Y310" s="6"/>
      <c r="Z310" s="6">
        <f ca="1">('TUSD BE'!$AM$23+'TUSD BF'!$AM$23+'TUSD CVA'!$AM$23-('TUSD BE'!$P$23+'TUSD BF'!$P$23+'TUSD CVA'!$P$23)-('TUSD BE'!$Q$23+'TUSD BF'!$Q$23+'TUSD CVA'!$Q$23)-('TUSD BE'!$R$23+'TUSD BF'!$R$23+'TUSD CVA'!$R$23))*(1-CUSTOS!$M$36)</f>
        <v>278.35079844002775</v>
      </c>
      <c r="AA310" s="6">
        <f>('TE BE'!$AB$13+'TE BF'!$AB$13+'TE CVA'!$AB$13)*(1-CUSTOS!$M$36)</f>
        <v>122.22563535891386</v>
      </c>
      <c r="AB310" s="6">
        <f>$K$310*$V$310</f>
        <v>0</v>
      </c>
      <c r="AC310" s="6">
        <f>$M$310*$W$310</f>
        <v>630.57903999999996</v>
      </c>
      <c r="AD310" s="6">
        <f>$O$310*$X$310</f>
        <v>286.68626</v>
      </c>
      <c r="AE310" s="6">
        <f>$K$310*$Y$310</f>
        <v>0</v>
      </c>
      <c r="AF310" s="6">
        <f ca="1">$M$310*$Z$310</f>
        <v>627.40269968382256</v>
      </c>
      <c r="AG310" s="6">
        <f>$O$310*$AA$310</f>
        <v>275.49658209899184</v>
      </c>
    </row>
    <row r="311" spans="1:33" ht="11.25" customHeight="1" x14ac:dyDescent="0.25">
      <c r="A311" s="4" t="s">
        <v>21</v>
      </c>
      <c r="B311" s="4" t="s">
        <v>22</v>
      </c>
      <c r="C311" s="4" t="s">
        <v>23</v>
      </c>
      <c r="D311" s="4" t="s">
        <v>24</v>
      </c>
      <c r="E311" s="4" t="s">
        <v>31</v>
      </c>
      <c r="F311" s="4" t="s">
        <v>25</v>
      </c>
      <c r="G311" s="4" t="s">
        <v>25</v>
      </c>
      <c r="H311" s="4" t="s">
        <v>25</v>
      </c>
      <c r="I311" s="5">
        <v>44531</v>
      </c>
      <c r="J311" s="6">
        <v>0</v>
      </c>
      <c r="K311" s="6">
        <v>0</v>
      </c>
      <c r="L311" s="6">
        <v>2.601</v>
      </c>
      <c r="M311" s="6">
        <v>2.601</v>
      </c>
      <c r="N311" s="6">
        <v>2.601</v>
      </c>
      <c r="O311" s="6">
        <v>2.601</v>
      </c>
      <c r="P311" s="6">
        <v>23</v>
      </c>
      <c r="Q311" s="4" t="s">
        <v>26</v>
      </c>
      <c r="R311" s="4">
        <v>0</v>
      </c>
      <c r="S311" s="6">
        <v>0</v>
      </c>
      <c r="T311" s="6">
        <v>8</v>
      </c>
      <c r="U311" s="6">
        <v>61</v>
      </c>
      <c r="V311" s="6">
        <f>IF(ISERROR(VLOOKUP($S$311,'TAR FIN'!$A$1:$O$85,15,0)),0,VLOOKUP($S$311,'TAR FIN'!$A$1:$O$85,15,0))</f>
        <v>0</v>
      </c>
      <c r="W311" s="6">
        <f>IF(ISERROR(VLOOKUP($T$311,'TAR FIN'!$A$1:$O$85,15,0)),0,VLOOKUP($T$311,'TAR FIN'!$A$1:$O$85,15,0))</f>
        <v>279.76</v>
      </c>
      <c r="X311" s="6">
        <f>IF(ISERROR(VLOOKUP($U$311,'TAR FIN'!$A$1:$O$85,15,0)),0,VLOOKUP($U$311,'TAR FIN'!$A$1:$O$85,15,0))</f>
        <v>127.19</v>
      </c>
      <c r="Y311" s="6"/>
      <c r="Z311" s="6">
        <f ca="1">('TUSD BE'!$AM$23+'TUSD BF'!$AM$23+'TUSD CVA'!$AM$23-('TUSD BE'!$P$23+'TUSD BF'!$P$23+'TUSD CVA'!$P$23)-('TUSD BE'!$Q$23+'TUSD BF'!$Q$23+'TUSD CVA'!$Q$23)-('TUSD BE'!$R$23+'TUSD BF'!$R$23+'TUSD CVA'!$R$23))*(1-CUSTOS!$M$36)</f>
        <v>278.35079844002775</v>
      </c>
      <c r="AA311" s="6">
        <f>('TE BE'!$AB$13+'TE BF'!$AB$13+'TE CVA'!$AB$13)*(1-CUSTOS!$M$36)</f>
        <v>122.22563535891386</v>
      </c>
      <c r="AB311" s="6">
        <f>$K$311*$V$311</f>
        <v>0</v>
      </c>
      <c r="AC311" s="6">
        <f>$M$311*$W$311</f>
        <v>727.65575999999999</v>
      </c>
      <c r="AD311" s="6">
        <f>$O$311*$X$311</f>
        <v>330.82119</v>
      </c>
      <c r="AE311" s="6">
        <f>$K$311*$Y$311</f>
        <v>0</v>
      </c>
      <c r="AF311" s="6">
        <f ca="1">$M$311*$Z$311</f>
        <v>723.99042674251211</v>
      </c>
      <c r="AG311" s="6">
        <f>$O$311*$AA$311</f>
        <v>317.90887756853493</v>
      </c>
    </row>
    <row r="312" spans="1:33" ht="11.25" customHeight="1" x14ac:dyDescent="0.25">
      <c r="A312" s="4" t="s">
        <v>21</v>
      </c>
      <c r="B312" s="4" t="s">
        <v>22</v>
      </c>
      <c r="C312" s="4" t="s">
        <v>23</v>
      </c>
      <c r="D312" s="4" t="s">
        <v>24</v>
      </c>
      <c r="E312" s="4" t="s">
        <v>31</v>
      </c>
      <c r="F312" s="4" t="s">
        <v>25</v>
      </c>
      <c r="G312" s="4" t="s">
        <v>25</v>
      </c>
      <c r="H312" s="4" t="s">
        <v>25</v>
      </c>
      <c r="I312" s="5">
        <v>44562</v>
      </c>
      <c r="J312" s="6">
        <v>0</v>
      </c>
      <c r="K312" s="6">
        <v>0</v>
      </c>
      <c r="L312" s="6">
        <v>2.4950000000000001</v>
      </c>
      <c r="M312" s="6">
        <v>2.4950000000000001</v>
      </c>
      <c r="N312" s="6">
        <v>2.4950000000000001</v>
      </c>
      <c r="O312" s="6">
        <v>2.4950000000000001</v>
      </c>
      <c r="P312" s="6">
        <v>23</v>
      </c>
      <c r="Q312" s="4" t="s">
        <v>26</v>
      </c>
      <c r="R312" s="4">
        <v>0</v>
      </c>
      <c r="S312" s="6">
        <v>0</v>
      </c>
      <c r="T312" s="6">
        <v>8</v>
      </c>
      <c r="U312" s="6">
        <v>61</v>
      </c>
      <c r="V312" s="6">
        <f>IF(ISERROR(VLOOKUP($S$312,'TAR FIN'!$A$1:$O$85,15,0)),0,VLOOKUP($S$312,'TAR FIN'!$A$1:$O$85,15,0))</f>
        <v>0</v>
      </c>
      <c r="W312" s="6">
        <f>IF(ISERROR(VLOOKUP($T$312,'TAR FIN'!$A$1:$O$85,15,0)),0,VLOOKUP($T$312,'TAR FIN'!$A$1:$O$85,15,0))</f>
        <v>279.76</v>
      </c>
      <c r="X312" s="6">
        <f>IF(ISERROR(VLOOKUP($U$312,'TAR FIN'!$A$1:$O$85,15,0)),0,VLOOKUP($U$312,'TAR FIN'!$A$1:$O$85,15,0))</f>
        <v>127.19</v>
      </c>
      <c r="Y312" s="6"/>
      <c r="Z312" s="6">
        <f ca="1">('TUSD BE'!$AM$23+'TUSD BF'!$AM$23+'TUSD CVA'!$AM$23-('TUSD BE'!$P$23+'TUSD BF'!$P$23+'TUSD CVA'!$P$23)-('TUSD BE'!$Q$23+'TUSD BF'!$Q$23+'TUSD CVA'!$Q$23)-('TUSD BE'!$R$23+'TUSD BF'!$R$23+'TUSD CVA'!$R$23))*(1-CUSTOS!$M$36)</f>
        <v>278.35079844002775</v>
      </c>
      <c r="AA312" s="6">
        <f>('TE BE'!$AB$13+'TE BF'!$AB$13+'TE CVA'!$AB$13)*(1-CUSTOS!$M$36)</f>
        <v>122.22563535891386</v>
      </c>
      <c r="AB312" s="6">
        <f>$K$312*$V$312</f>
        <v>0</v>
      </c>
      <c r="AC312" s="6">
        <f>$M$312*$W$312</f>
        <v>698.00120000000004</v>
      </c>
      <c r="AD312" s="6">
        <f>$O$312*$X$312</f>
        <v>317.33904999999999</v>
      </c>
      <c r="AE312" s="6">
        <f>$K$312*$Y$312</f>
        <v>0</v>
      </c>
      <c r="AF312" s="6">
        <f ca="1">$M$312*$Z$312</f>
        <v>694.48524210786923</v>
      </c>
      <c r="AG312" s="6">
        <f>$O$312*$AA$312</f>
        <v>304.95296022049013</v>
      </c>
    </row>
    <row r="313" spans="1:33" ht="11.25" customHeight="1" x14ac:dyDescent="0.25">
      <c r="A313" s="4" t="s">
        <v>21</v>
      </c>
      <c r="B313" s="4" t="s">
        <v>22</v>
      </c>
      <c r="C313" s="4" t="s">
        <v>23</v>
      </c>
      <c r="D313" s="4" t="s">
        <v>24</v>
      </c>
      <c r="E313" s="4" t="s">
        <v>31</v>
      </c>
      <c r="F313" s="4" t="s">
        <v>25</v>
      </c>
      <c r="G313" s="4" t="s">
        <v>25</v>
      </c>
      <c r="H313" s="4" t="s">
        <v>25</v>
      </c>
      <c r="I313" s="5">
        <v>44593</v>
      </c>
      <c r="J313" s="6">
        <v>0</v>
      </c>
      <c r="K313" s="6">
        <v>0</v>
      </c>
      <c r="L313" s="6">
        <v>4.25</v>
      </c>
      <c r="M313" s="6">
        <v>4.25</v>
      </c>
      <c r="N313" s="6">
        <v>4.25</v>
      </c>
      <c r="O313" s="6">
        <v>4.25</v>
      </c>
      <c r="P313" s="6">
        <v>40</v>
      </c>
      <c r="Q313" s="4" t="s">
        <v>26</v>
      </c>
      <c r="R313" s="4">
        <v>0</v>
      </c>
      <c r="S313" s="6">
        <v>0</v>
      </c>
      <c r="T313" s="6">
        <v>8</v>
      </c>
      <c r="U313" s="6">
        <v>61</v>
      </c>
      <c r="V313" s="6">
        <f>IF(ISERROR(VLOOKUP($S$313,'TAR FIN'!$A$1:$O$85,15,0)),0,VLOOKUP($S$313,'TAR FIN'!$A$1:$O$85,15,0))</f>
        <v>0</v>
      </c>
      <c r="W313" s="6">
        <f>IF(ISERROR(VLOOKUP($T$313,'TAR FIN'!$A$1:$O$85,15,0)),0,VLOOKUP($T$313,'TAR FIN'!$A$1:$O$85,15,0))</f>
        <v>279.76</v>
      </c>
      <c r="X313" s="6">
        <f>IF(ISERROR(VLOOKUP($U$313,'TAR FIN'!$A$1:$O$85,15,0)),0,VLOOKUP($U$313,'TAR FIN'!$A$1:$O$85,15,0))</f>
        <v>127.19</v>
      </c>
      <c r="Y313" s="6"/>
      <c r="Z313" s="6">
        <f ca="1">('TUSD BE'!$AM$23+'TUSD BF'!$AM$23+'TUSD CVA'!$AM$23-('TUSD BE'!$P$23+'TUSD BF'!$P$23+'TUSD CVA'!$P$23)-('TUSD BE'!$Q$23+'TUSD BF'!$Q$23+'TUSD CVA'!$Q$23)-('TUSD BE'!$R$23+'TUSD BF'!$R$23+'TUSD CVA'!$R$23))*(1-CUSTOS!$M$36)</f>
        <v>278.35079844002775</v>
      </c>
      <c r="AA313" s="6">
        <f>('TE BE'!$AB$13+'TE BF'!$AB$13+'TE CVA'!$AB$13)*(1-CUSTOS!$M$36)</f>
        <v>122.22563535891386</v>
      </c>
      <c r="AB313" s="6">
        <f>$K$313*$V$313</f>
        <v>0</v>
      </c>
      <c r="AC313" s="6">
        <f>$M$313*$W$313</f>
        <v>1188.98</v>
      </c>
      <c r="AD313" s="6">
        <f>$O$313*$X$313</f>
        <v>540.5575</v>
      </c>
      <c r="AE313" s="6">
        <f>$K$313*$Y$313</f>
        <v>0</v>
      </c>
      <c r="AF313" s="6">
        <f ca="1">$M$313*$Z$313</f>
        <v>1182.9908933701179</v>
      </c>
      <c r="AG313" s="6">
        <f>$O$313*$AA$313</f>
        <v>519.45895027538393</v>
      </c>
    </row>
    <row r="314" spans="1:33" ht="11.25" customHeight="1" x14ac:dyDescent="0.25">
      <c r="A314" s="4" t="s">
        <v>21</v>
      </c>
      <c r="B314" s="4" t="s">
        <v>22</v>
      </c>
      <c r="C314" s="4" t="s">
        <v>23</v>
      </c>
      <c r="D314" s="4" t="s">
        <v>24</v>
      </c>
      <c r="E314" s="4" t="s">
        <v>31</v>
      </c>
      <c r="F314" s="4" t="s">
        <v>25</v>
      </c>
      <c r="G314" s="4" t="s">
        <v>25</v>
      </c>
      <c r="H314" s="4" t="s">
        <v>25</v>
      </c>
      <c r="I314" s="5">
        <v>44621</v>
      </c>
      <c r="J314" s="6">
        <v>0</v>
      </c>
      <c r="K314" s="6">
        <v>0</v>
      </c>
      <c r="L314" s="6">
        <v>4.2169999999999996</v>
      </c>
      <c r="M314" s="6">
        <v>4.2169999999999996</v>
      </c>
      <c r="N314" s="6">
        <v>4.2169999999999996</v>
      </c>
      <c r="O314" s="6">
        <v>4.2169999999999996</v>
      </c>
      <c r="P314" s="6">
        <v>39</v>
      </c>
      <c r="Q314" s="4" t="s">
        <v>26</v>
      </c>
      <c r="R314" s="4">
        <v>0</v>
      </c>
      <c r="S314" s="6">
        <v>0</v>
      </c>
      <c r="T314" s="6">
        <v>8</v>
      </c>
      <c r="U314" s="6">
        <v>61</v>
      </c>
      <c r="V314" s="6">
        <f>IF(ISERROR(VLOOKUP($S$314,'TAR FIN'!$A$1:$O$85,15,0)),0,VLOOKUP($S$314,'TAR FIN'!$A$1:$O$85,15,0))</f>
        <v>0</v>
      </c>
      <c r="W314" s="6">
        <f>IF(ISERROR(VLOOKUP($T$314,'TAR FIN'!$A$1:$O$85,15,0)),0,VLOOKUP($T$314,'TAR FIN'!$A$1:$O$85,15,0))</f>
        <v>279.76</v>
      </c>
      <c r="X314" s="6">
        <f>IF(ISERROR(VLOOKUP($U$314,'TAR FIN'!$A$1:$O$85,15,0)),0,VLOOKUP($U$314,'TAR FIN'!$A$1:$O$85,15,0))</f>
        <v>127.19</v>
      </c>
      <c r="Y314" s="6"/>
      <c r="Z314" s="6">
        <f ca="1">('TUSD BE'!$AM$23+'TUSD BF'!$AM$23+'TUSD CVA'!$AM$23-('TUSD BE'!$P$23+'TUSD BF'!$P$23+'TUSD CVA'!$P$23)-('TUSD BE'!$Q$23+'TUSD BF'!$Q$23+'TUSD CVA'!$Q$23)-('TUSD BE'!$R$23+'TUSD BF'!$R$23+'TUSD CVA'!$R$23))*(1-CUSTOS!$M$36)</f>
        <v>278.35079844002775</v>
      </c>
      <c r="AA314" s="6">
        <f>('TE BE'!$AB$13+'TE BF'!$AB$13+'TE CVA'!$AB$13)*(1-CUSTOS!$M$36)</f>
        <v>122.22563535891386</v>
      </c>
      <c r="AB314" s="6">
        <f>$K$314*$V$314</f>
        <v>0</v>
      </c>
      <c r="AC314" s="6">
        <f>$M$314*$W$314</f>
        <v>1179.7479199999998</v>
      </c>
      <c r="AD314" s="6">
        <f>$O$314*$X$314</f>
        <v>536.36022999999989</v>
      </c>
      <c r="AE314" s="6">
        <f>$K$314*$Y$314</f>
        <v>0</v>
      </c>
      <c r="AF314" s="6">
        <f ca="1">$M$314*$Z$314</f>
        <v>1173.8053170215969</v>
      </c>
      <c r="AG314" s="6">
        <f>$O$314*$AA$314</f>
        <v>515.42550430853976</v>
      </c>
    </row>
    <row r="315" spans="1:33" ht="11.25" customHeight="1" x14ac:dyDescent="0.25">
      <c r="A315" s="4" t="s">
        <v>21</v>
      </c>
      <c r="B315" s="4" t="s">
        <v>22</v>
      </c>
      <c r="C315" s="4" t="s">
        <v>23</v>
      </c>
      <c r="D315" s="4" t="s">
        <v>24</v>
      </c>
      <c r="E315" s="4" t="s">
        <v>31</v>
      </c>
      <c r="F315" s="4" t="s">
        <v>25</v>
      </c>
      <c r="G315" s="4" t="s">
        <v>25</v>
      </c>
      <c r="H315" s="4" t="s">
        <v>25</v>
      </c>
      <c r="I315" s="5">
        <v>44652</v>
      </c>
      <c r="J315" s="6">
        <v>0</v>
      </c>
      <c r="K315" s="6">
        <v>0</v>
      </c>
      <c r="L315" s="6">
        <v>7.976</v>
      </c>
      <c r="M315" s="6">
        <v>7.976</v>
      </c>
      <c r="N315" s="6">
        <v>7.976</v>
      </c>
      <c r="O315" s="6">
        <v>7.976</v>
      </c>
      <c r="P315" s="6">
        <v>61</v>
      </c>
      <c r="Q315" s="4" t="s">
        <v>26</v>
      </c>
      <c r="R315" s="4">
        <v>0</v>
      </c>
      <c r="S315" s="6">
        <v>0</v>
      </c>
      <c r="T315" s="6">
        <v>8</v>
      </c>
      <c r="U315" s="6">
        <v>61</v>
      </c>
      <c r="V315" s="6">
        <f>IF(ISERROR(VLOOKUP($S$315,'TAR FIN'!$A$1:$O$85,15,0)),0,VLOOKUP($S$315,'TAR FIN'!$A$1:$O$85,15,0))</f>
        <v>0</v>
      </c>
      <c r="W315" s="6">
        <f>IF(ISERROR(VLOOKUP($T$315,'TAR FIN'!$A$1:$O$85,15,0)),0,VLOOKUP($T$315,'TAR FIN'!$A$1:$O$85,15,0))</f>
        <v>279.76</v>
      </c>
      <c r="X315" s="6">
        <f>IF(ISERROR(VLOOKUP($U$315,'TAR FIN'!$A$1:$O$85,15,0)),0,VLOOKUP($U$315,'TAR FIN'!$A$1:$O$85,15,0))</f>
        <v>127.19</v>
      </c>
      <c r="Y315" s="6"/>
      <c r="Z315" s="6">
        <f ca="1">('TUSD BE'!$AM$23+'TUSD BF'!$AM$23+'TUSD CVA'!$AM$23-('TUSD BE'!$P$23+'TUSD BF'!$P$23+'TUSD CVA'!$P$23)-('TUSD BE'!$Q$23+'TUSD BF'!$Q$23+'TUSD CVA'!$Q$23)-('TUSD BE'!$R$23+'TUSD BF'!$R$23+'TUSD CVA'!$R$23))*(1-CUSTOS!$M$36)</f>
        <v>278.35079844002775</v>
      </c>
      <c r="AA315" s="6">
        <f>('TE BE'!$AB$13+'TE BF'!$AB$13+'TE CVA'!$AB$13)*(1-CUSTOS!$M$36)</f>
        <v>122.22563535891386</v>
      </c>
      <c r="AB315" s="6">
        <f>$K$315*$V$315</f>
        <v>0</v>
      </c>
      <c r="AC315" s="6">
        <f>$M$315*$W$315</f>
        <v>2231.3657600000001</v>
      </c>
      <c r="AD315" s="6">
        <f>$O$315*$X$315</f>
        <v>1014.46744</v>
      </c>
      <c r="AE315" s="6">
        <f>$K$315*$Y$315</f>
        <v>0</v>
      </c>
      <c r="AF315" s="6">
        <f ca="1">$M$315*$Z$315</f>
        <v>2220.1259683576613</v>
      </c>
      <c r="AG315" s="6">
        <f>$O$315*$AA$315</f>
        <v>974.87166762269692</v>
      </c>
    </row>
    <row r="316" spans="1:33" ht="11.25" customHeight="1" x14ac:dyDescent="0.25">
      <c r="A316" s="4" t="s">
        <v>21</v>
      </c>
      <c r="B316" s="4" t="s">
        <v>22</v>
      </c>
      <c r="C316" s="4" t="s">
        <v>23</v>
      </c>
      <c r="D316" s="4" t="s">
        <v>24</v>
      </c>
      <c r="E316" s="4" t="s">
        <v>31</v>
      </c>
      <c r="F316" s="4" t="s">
        <v>25</v>
      </c>
      <c r="G316" s="4" t="s">
        <v>25</v>
      </c>
      <c r="H316" s="4" t="s">
        <v>25</v>
      </c>
      <c r="I316" s="5">
        <v>44682</v>
      </c>
      <c r="J316" s="6">
        <v>0</v>
      </c>
      <c r="K316" s="6">
        <v>0</v>
      </c>
      <c r="L316" s="6">
        <v>7.9139999999999997</v>
      </c>
      <c r="M316" s="6">
        <v>7.9139999999999997</v>
      </c>
      <c r="N316" s="6">
        <v>7.9139999999999997</v>
      </c>
      <c r="O316" s="6">
        <v>7.9139999999999997</v>
      </c>
      <c r="P316" s="6">
        <v>57</v>
      </c>
      <c r="Q316" s="4" t="s">
        <v>26</v>
      </c>
      <c r="R316" s="4">
        <v>0</v>
      </c>
      <c r="S316" s="6">
        <v>0</v>
      </c>
      <c r="T316" s="6">
        <v>8</v>
      </c>
      <c r="U316" s="6">
        <v>61</v>
      </c>
      <c r="V316" s="6">
        <f>IF(ISERROR(VLOOKUP($S$316,'TAR FIN'!$A$1:$O$85,15,0)),0,VLOOKUP($S$316,'TAR FIN'!$A$1:$O$85,15,0))</f>
        <v>0</v>
      </c>
      <c r="W316" s="6">
        <f>IF(ISERROR(VLOOKUP($T$316,'TAR FIN'!$A$1:$O$85,15,0)),0,VLOOKUP($T$316,'TAR FIN'!$A$1:$O$85,15,0))</f>
        <v>279.76</v>
      </c>
      <c r="X316" s="6">
        <f>IF(ISERROR(VLOOKUP($U$316,'TAR FIN'!$A$1:$O$85,15,0)),0,VLOOKUP($U$316,'TAR FIN'!$A$1:$O$85,15,0))</f>
        <v>127.19</v>
      </c>
      <c r="Y316" s="6"/>
      <c r="Z316" s="6">
        <f ca="1">('TUSD BE'!$AM$23+'TUSD BF'!$AM$23+'TUSD CVA'!$AM$23-('TUSD BE'!$P$23+'TUSD BF'!$P$23+'TUSD CVA'!$P$23)-('TUSD BE'!$Q$23+'TUSD BF'!$Q$23+'TUSD CVA'!$Q$23)-('TUSD BE'!$R$23+'TUSD BF'!$R$23+'TUSD CVA'!$R$23))*(1-CUSTOS!$M$36)</f>
        <v>278.35079844002775</v>
      </c>
      <c r="AA316" s="6">
        <f>('TE BE'!$AB$13+'TE BF'!$AB$13+'TE CVA'!$AB$13)*(1-CUSTOS!$M$36)</f>
        <v>122.22563535891386</v>
      </c>
      <c r="AB316" s="6">
        <f>$K$316*$V$316</f>
        <v>0</v>
      </c>
      <c r="AC316" s="6">
        <f>$M$316*$W$316</f>
        <v>2214.0206399999997</v>
      </c>
      <c r="AD316" s="6">
        <f>$O$316*$X$316</f>
        <v>1006.5816599999999</v>
      </c>
      <c r="AE316" s="6">
        <f>$K$316*$Y$316</f>
        <v>0</v>
      </c>
      <c r="AF316" s="6">
        <f ca="1">$M$316*$Z$316</f>
        <v>2202.8682188543794</v>
      </c>
      <c r="AG316" s="6">
        <f>$O$316*$AA$316</f>
        <v>967.29367823044424</v>
      </c>
    </row>
    <row r="317" spans="1:33" ht="11.25" customHeight="1" x14ac:dyDescent="0.25">
      <c r="A317" s="4" t="s">
        <v>21</v>
      </c>
      <c r="B317" s="4" t="s">
        <v>22</v>
      </c>
      <c r="C317" s="4" t="s">
        <v>23</v>
      </c>
      <c r="D317" s="4" t="s">
        <v>24</v>
      </c>
      <c r="E317" s="4" t="s">
        <v>31</v>
      </c>
      <c r="F317" s="4" t="s">
        <v>25</v>
      </c>
      <c r="G317" s="4" t="s">
        <v>25</v>
      </c>
      <c r="H317" s="4" t="s">
        <v>25</v>
      </c>
      <c r="I317" s="5">
        <v>44713</v>
      </c>
      <c r="J317" s="6">
        <v>0</v>
      </c>
      <c r="K317" s="6">
        <v>0</v>
      </c>
      <c r="L317" s="6">
        <v>7.9269999999999996</v>
      </c>
      <c r="M317" s="6">
        <v>7.9269999999999996</v>
      </c>
      <c r="N317" s="6">
        <v>7.9269999999999996</v>
      </c>
      <c r="O317" s="6">
        <v>7.9269999999999996</v>
      </c>
      <c r="P317" s="6">
        <v>60</v>
      </c>
      <c r="Q317" s="4" t="s">
        <v>26</v>
      </c>
      <c r="R317" s="4">
        <v>0</v>
      </c>
      <c r="S317" s="6">
        <v>0</v>
      </c>
      <c r="T317" s="6">
        <v>8</v>
      </c>
      <c r="U317" s="6">
        <v>61</v>
      </c>
      <c r="V317" s="6">
        <f>IF(ISERROR(VLOOKUP($S$317,'TAR FIN'!$A$1:$O$85,15,0)),0,VLOOKUP($S$317,'TAR FIN'!$A$1:$O$85,15,0))</f>
        <v>0</v>
      </c>
      <c r="W317" s="6">
        <f>IF(ISERROR(VLOOKUP($T$317,'TAR FIN'!$A$1:$O$85,15,0)),0,VLOOKUP($T$317,'TAR FIN'!$A$1:$O$85,15,0))</f>
        <v>279.76</v>
      </c>
      <c r="X317" s="6">
        <f>IF(ISERROR(VLOOKUP($U$317,'TAR FIN'!$A$1:$O$85,15,0)),0,VLOOKUP($U$317,'TAR FIN'!$A$1:$O$85,15,0))</f>
        <v>127.19</v>
      </c>
      <c r="Y317" s="6"/>
      <c r="Z317" s="6">
        <f ca="1">('TUSD BE'!$AM$23+'TUSD BF'!$AM$23+'TUSD CVA'!$AM$23-('TUSD BE'!$P$23+'TUSD BF'!$P$23+'TUSD CVA'!$P$23)-('TUSD BE'!$Q$23+'TUSD BF'!$Q$23+'TUSD CVA'!$Q$23)-('TUSD BE'!$R$23+'TUSD BF'!$R$23+'TUSD CVA'!$R$23))*(1-CUSTOS!$M$36)</f>
        <v>278.35079844002775</v>
      </c>
      <c r="AA317" s="6">
        <f>('TE BE'!$AB$13+'TE BF'!$AB$13+'TE CVA'!$AB$13)*(1-CUSTOS!$M$36)</f>
        <v>122.22563535891386</v>
      </c>
      <c r="AB317" s="6">
        <f>$K$317*$V$317</f>
        <v>0</v>
      </c>
      <c r="AC317" s="6">
        <f>$M$317*$W$317</f>
        <v>2217.6575199999997</v>
      </c>
      <c r="AD317" s="6">
        <f>$O$317*$X$317</f>
        <v>1008.2351299999999</v>
      </c>
      <c r="AE317" s="6">
        <f>$K$317*$Y$317</f>
        <v>0</v>
      </c>
      <c r="AF317" s="6">
        <f ca="1">$M$317*$Z$317</f>
        <v>2206.4867792340997</v>
      </c>
      <c r="AG317" s="6">
        <f>$O$317*$AA$317</f>
        <v>968.88261149011009</v>
      </c>
    </row>
    <row r="318" spans="1:33" ht="11.25" customHeight="1" x14ac:dyDescent="0.25">
      <c r="A318" s="4" t="s">
        <v>21</v>
      </c>
      <c r="B318" s="4" t="s">
        <v>22</v>
      </c>
      <c r="C318" s="4" t="s">
        <v>23</v>
      </c>
      <c r="D318" s="4" t="s">
        <v>24</v>
      </c>
      <c r="E318" s="4" t="s">
        <v>31</v>
      </c>
      <c r="F318" s="4" t="s">
        <v>25</v>
      </c>
      <c r="G318" s="4" t="s">
        <v>25</v>
      </c>
      <c r="H318" s="4" t="s">
        <v>25</v>
      </c>
      <c r="I318" s="5">
        <v>44743</v>
      </c>
      <c r="J318" s="6">
        <v>0</v>
      </c>
      <c r="K318" s="6">
        <v>0</v>
      </c>
      <c r="L318" s="6">
        <v>7.6959999999999997</v>
      </c>
      <c r="M318" s="6">
        <v>7.6959999999999997</v>
      </c>
      <c r="N318" s="6">
        <v>7.6959999999999997</v>
      </c>
      <c r="O318" s="6">
        <v>7.6959999999999997</v>
      </c>
      <c r="P318" s="6">
        <v>51</v>
      </c>
      <c r="Q318" s="4" t="s">
        <v>26</v>
      </c>
      <c r="R318" s="4">
        <v>0</v>
      </c>
      <c r="S318" s="6">
        <v>0</v>
      </c>
      <c r="T318" s="6">
        <v>8</v>
      </c>
      <c r="U318" s="6">
        <v>61</v>
      </c>
      <c r="V318" s="6">
        <f>IF(ISERROR(VLOOKUP($S$318,'TAR FIN'!$A$1:$O$85,15,0)),0,VLOOKUP($S$318,'TAR FIN'!$A$1:$O$85,15,0))</f>
        <v>0</v>
      </c>
      <c r="W318" s="6">
        <f>IF(ISERROR(VLOOKUP($T$318,'TAR FIN'!$A$1:$O$85,15,0)),0,VLOOKUP($T$318,'TAR FIN'!$A$1:$O$85,15,0))</f>
        <v>279.76</v>
      </c>
      <c r="X318" s="6">
        <f>IF(ISERROR(VLOOKUP($U$318,'TAR FIN'!$A$1:$O$85,15,0)),0,VLOOKUP($U$318,'TAR FIN'!$A$1:$O$85,15,0))</f>
        <v>127.19</v>
      </c>
      <c r="Y318" s="6"/>
      <c r="Z318" s="6">
        <f ca="1">('TUSD BE'!$AM$23+'TUSD BF'!$AM$23+'TUSD CVA'!$AM$23-('TUSD BE'!$P$23+'TUSD BF'!$P$23+'TUSD CVA'!$P$23)-('TUSD BE'!$Q$23+'TUSD BF'!$Q$23+'TUSD CVA'!$Q$23)-('TUSD BE'!$R$23+'TUSD BF'!$R$23+'TUSD CVA'!$R$23))*(1-CUSTOS!$M$36)</f>
        <v>278.35079844002775</v>
      </c>
      <c r="AA318" s="6">
        <f>('TE BE'!$AB$13+'TE BF'!$AB$13+'TE CVA'!$AB$13)*(1-CUSTOS!$M$36)</f>
        <v>122.22563535891386</v>
      </c>
      <c r="AB318" s="6">
        <f>$K$318*$V$318</f>
        <v>0</v>
      </c>
      <c r="AC318" s="6">
        <f>$M$318*$W$318</f>
        <v>2153.03296</v>
      </c>
      <c r="AD318" s="6">
        <f>$O$318*$X$318</f>
        <v>978.85424</v>
      </c>
      <c r="AE318" s="6">
        <f>$K$318*$Y$318</f>
        <v>0</v>
      </c>
      <c r="AF318" s="6">
        <f ca="1">$M$318*$Z$318</f>
        <v>2142.1877447944535</v>
      </c>
      <c r="AG318" s="6">
        <f>$O$318*$AA$318</f>
        <v>940.64848972220102</v>
      </c>
    </row>
    <row r="319" spans="1:33" ht="11.25" customHeight="1" x14ac:dyDescent="0.25">
      <c r="A319" s="4" t="s">
        <v>21</v>
      </c>
      <c r="B319" s="4" t="s">
        <v>22</v>
      </c>
      <c r="C319" s="4" t="s">
        <v>23</v>
      </c>
      <c r="D319" s="4" t="s">
        <v>24</v>
      </c>
      <c r="E319" s="4" t="s">
        <v>31</v>
      </c>
      <c r="F319" s="4" t="s">
        <v>25</v>
      </c>
      <c r="G319" s="4" t="s">
        <v>25</v>
      </c>
      <c r="H319" s="4" t="s">
        <v>25</v>
      </c>
      <c r="I319" s="5">
        <v>44774</v>
      </c>
      <c r="J319" s="6">
        <v>0</v>
      </c>
      <c r="K319" s="6">
        <v>0</v>
      </c>
      <c r="L319" s="6">
        <v>7.2489999999999997</v>
      </c>
      <c r="M319" s="6">
        <v>7.2489999999999997</v>
      </c>
      <c r="N319" s="6">
        <v>7.2489999999999997</v>
      </c>
      <c r="O319" s="6">
        <v>7.2489999999999997</v>
      </c>
      <c r="P319" s="6">
        <v>59</v>
      </c>
      <c r="Q319" s="4" t="s">
        <v>26</v>
      </c>
      <c r="R319" s="4">
        <v>0</v>
      </c>
      <c r="S319" s="6">
        <v>0</v>
      </c>
      <c r="T319" s="6">
        <v>8</v>
      </c>
      <c r="U319" s="6">
        <v>61</v>
      </c>
      <c r="V319" s="6">
        <f>IF(ISERROR(VLOOKUP($S$319,'TAR FIN'!$A$1:$O$85,15,0)),0,VLOOKUP($S$319,'TAR FIN'!$A$1:$O$85,15,0))</f>
        <v>0</v>
      </c>
      <c r="W319" s="6">
        <f>IF(ISERROR(VLOOKUP($T$319,'TAR FIN'!$A$1:$O$85,15,0)),0,VLOOKUP($T$319,'TAR FIN'!$A$1:$O$85,15,0))</f>
        <v>279.76</v>
      </c>
      <c r="X319" s="6">
        <f>IF(ISERROR(VLOOKUP($U$319,'TAR FIN'!$A$1:$O$85,15,0)),0,VLOOKUP($U$319,'TAR FIN'!$A$1:$O$85,15,0))</f>
        <v>127.19</v>
      </c>
      <c r="Y319" s="6"/>
      <c r="Z319" s="6">
        <f ca="1">('TUSD BE'!$AM$23+'TUSD BF'!$AM$23+'TUSD CVA'!$AM$23-('TUSD BE'!$P$23+'TUSD BF'!$P$23+'TUSD CVA'!$P$23)-('TUSD BE'!$Q$23+'TUSD BF'!$Q$23+'TUSD CVA'!$Q$23)-('TUSD BE'!$R$23+'TUSD BF'!$R$23+'TUSD CVA'!$R$23))*(1-CUSTOS!$M$36)</f>
        <v>278.35079844002775</v>
      </c>
      <c r="AA319" s="6">
        <f>('TE BE'!$AB$13+'TE BF'!$AB$13+'TE CVA'!$AB$13)*(1-CUSTOS!$M$36)</f>
        <v>122.22563535891386</v>
      </c>
      <c r="AB319" s="6">
        <f>$K$319*$V$319</f>
        <v>0</v>
      </c>
      <c r="AC319" s="6">
        <f>$M$319*$W$319</f>
        <v>2027.9802399999999</v>
      </c>
      <c r="AD319" s="6">
        <f>$O$319*$X$319</f>
        <v>922.0003099999999</v>
      </c>
      <c r="AE319" s="6">
        <f>$K$319*$Y$319</f>
        <v>0</v>
      </c>
      <c r="AF319" s="6">
        <f ca="1">$M$319*$Z$319</f>
        <v>2017.7649378917611</v>
      </c>
      <c r="AG319" s="6">
        <f>$O$319*$AA$319</f>
        <v>886.01363071676656</v>
      </c>
    </row>
    <row r="320" spans="1:33" ht="11.25" customHeight="1" x14ac:dyDescent="0.25">
      <c r="A320" s="4" t="s">
        <v>21</v>
      </c>
      <c r="B320" s="4" t="s">
        <v>22</v>
      </c>
      <c r="C320" s="4" t="s">
        <v>23</v>
      </c>
      <c r="D320" s="4" t="s">
        <v>24</v>
      </c>
      <c r="E320" s="4" t="s">
        <v>32</v>
      </c>
      <c r="F320" s="4" t="s">
        <v>25</v>
      </c>
      <c r="G320" s="4" t="s">
        <v>25</v>
      </c>
      <c r="H320" s="4" t="s">
        <v>25</v>
      </c>
      <c r="I320" s="5">
        <v>44440</v>
      </c>
      <c r="J320" s="6">
        <v>0</v>
      </c>
      <c r="K320" s="6">
        <v>0</v>
      </c>
      <c r="L320" s="6">
        <v>0.58399999999999996</v>
      </c>
      <c r="M320" s="6">
        <v>0.58399999999999996</v>
      </c>
      <c r="N320" s="6">
        <v>0.58399999999999996</v>
      </c>
      <c r="O320" s="6">
        <v>0.58399999999999996</v>
      </c>
      <c r="P320" s="6">
        <v>8</v>
      </c>
      <c r="Q320" s="4" t="s">
        <v>26</v>
      </c>
      <c r="R320" s="4">
        <v>0</v>
      </c>
      <c r="S320" s="6">
        <v>0</v>
      </c>
      <c r="T320" s="6">
        <v>26</v>
      </c>
      <c r="U320" s="6">
        <v>79</v>
      </c>
      <c r="V320" s="6">
        <f>IF(ISERROR(VLOOKUP($S$320,'TAR FIN'!$A$1:$O$85,15,0)),0,VLOOKUP($S$320,'TAR FIN'!$A$1:$O$85,15,0))</f>
        <v>0</v>
      </c>
      <c r="W320" s="6">
        <f>IF(ISERROR(VLOOKUP($T$320,'TAR FIN'!$A$1:$O$85,15,0)),0,VLOOKUP($T$320,'TAR FIN'!$A$1:$O$85,15,0))</f>
        <v>310.83999999999997</v>
      </c>
      <c r="X320" s="6">
        <f>IF(ISERROR(VLOOKUP($U$320,'TAR FIN'!$A$1:$O$85,15,0)),0,VLOOKUP($U$320,'TAR FIN'!$A$1:$O$85,15,0))</f>
        <v>141.32</v>
      </c>
      <c r="Y320" s="6"/>
      <c r="Z320" s="6">
        <f ca="1">('TUSD BE'!$AM$24+'TUSD BF'!$AM$24+'TUSD CVA'!$AM$24-('TUSD BE'!$P$24+'TUSD BF'!$P$24+'TUSD CVA'!$P$24)-('TUSD BE'!$Q$24+'TUSD BF'!$Q$24+'TUSD CVA'!$Q$24)-('TUSD BE'!$R$24+'TUSD BF'!$R$24+'TUSD CVA'!$R$24))*(1-CUSTOS!$M$37)</f>
        <v>309.27866493336415</v>
      </c>
      <c r="AA320" s="6">
        <f>('TE BE'!$AB$14+'TE BF'!$AB$14+'TE CVA'!$AB$14)*(1-CUSTOS!$M$37)</f>
        <v>135.80626150990429</v>
      </c>
      <c r="AB320" s="6">
        <f>$K$320*$V$320</f>
        <v>0</v>
      </c>
      <c r="AC320" s="6">
        <f>$M$320*$W$320</f>
        <v>181.53055999999998</v>
      </c>
      <c r="AD320" s="6">
        <f>$O$320*$X$320</f>
        <v>82.530879999999996</v>
      </c>
      <c r="AE320" s="6">
        <f>$K$320*$Y$320</f>
        <v>0</v>
      </c>
      <c r="AF320" s="6">
        <f ca="1">$M$320*$Z$320</f>
        <v>180.61874032108466</v>
      </c>
      <c r="AG320" s="6">
        <f>$O$320*$AA$320</f>
        <v>79.310856721784106</v>
      </c>
    </row>
    <row r="321" spans="1:33" ht="11.25" customHeight="1" x14ac:dyDescent="0.25">
      <c r="A321" s="4" t="s">
        <v>21</v>
      </c>
      <c r="B321" s="4" t="s">
        <v>22</v>
      </c>
      <c r="C321" s="4" t="s">
        <v>23</v>
      </c>
      <c r="D321" s="4" t="s">
        <v>24</v>
      </c>
      <c r="E321" s="4" t="s">
        <v>32</v>
      </c>
      <c r="F321" s="4" t="s">
        <v>25</v>
      </c>
      <c r="G321" s="4" t="s">
        <v>25</v>
      </c>
      <c r="H321" s="4" t="s">
        <v>25</v>
      </c>
      <c r="I321" s="5">
        <v>44470</v>
      </c>
      <c r="J321" s="6">
        <v>0</v>
      </c>
      <c r="K321" s="6">
        <v>0</v>
      </c>
      <c r="L321" s="6">
        <v>0.60099999999999998</v>
      </c>
      <c r="M321" s="6">
        <v>0.60099999999999998</v>
      </c>
      <c r="N321" s="6">
        <v>0.60099999999999998</v>
      </c>
      <c r="O321" s="6">
        <v>0.60099999999999998</v>
      </c>
      <c r="P321" s="6">
        <v>8</v>
      </c>
      <c r="Q321" s="4" t="s">
        <v>26</v>
      </c>
      <c r="R321" s="4">
        <v>0</v>
      </c>
      <c r="S321" s="6">
        <v>0</v>
      </c>
      <c r="T321" s="6">
        <v>26</v>
      </c>
      <c r="U321" s="6">
        <v>79</v>
      </c>
      <c r="V321" s="6">
        <f>IF(ISERROR(VLOOKUP($S$321,'TAR FIN'!$A$1:$O$85,15,0)),0,VLOOKUP($S$321,'TAR FIN'!$A$1:$O$85,15,0))</f>
        <v>0</v>
      </c>
      <c r="W321" s="6">
        <f>IF(ISERROR(VLOOKUP($T$321,'TAR FIN'!$A$1:$O$85,15,0)),0,VLOOKUP($T$321,'TAR FIN'!$A$1:$O$85,15,0))</f>
        <v>310.83999999999997</v>
      </c>
      <c r="X321" s="6">
        <f>IF(ISERROR(VLOOKUP($U$321,'TAR FIN'!$A$1:$O$85,15,0)),0,VLOOKUP($U$321,'TAR FIN'!$A$1:$O$85,15,0))</f>
        <v>141.32</v>
      </c>
      <c r="Y321" s="6"/>
      <c r="Z321" s="6">
        <f ca="1">('TUSD BE'!$AM$24+'TUSD BF'!$AM$24+'TUSD CVA'!$AM$24-('TUSD BE'!$P$24+'TUSD BF'!$P$24+'TUSD CVA'!$P$24)-('TUSD BE'!$Q$24+'TUSD BF'!$Q$24+'TUSD CVA'!$Q$24)-('TUSD BE'!$R$24+'TUSD BF'!$R$24+'TUSD CVA'!$R$24))*(1-CUSTOS!$M$37)</f>
        <v>309.27866493336415</v>
      </c>
      <c r="AA321" s="6">
        <f>('TE BE'!$AB$14+'TE BF'!$AB$14+'TE CVA'!$AB$14)*(1-CUSTOS!$M$37)</f>
        <v>135.80626150990429</v>
      </c>
      <c r="AB321" s="6">
        <f>$K$321*$V$321</f>
        <v>0</v>
      </c>
      <c r="AC321" s="6">
        <f>$M$321*$W$321</f>
        <v>186.81483999999998</v>
      </c>
      <c r="AD321" s="6">
        <f>$O$321*$X$321</f>
        <v>84.933319999999995</v>
      </c>
      <c r="AE321" s="6">
        <f>$K$321*$Y$321</f>
        <v>0</v>
      </c>
      <c r="AF321" s="6">
        <f ca="1">$M$321*$Z$321</f>
        <v>185.87647762495186</v>
      </c>
      <c r="AG321" s="6">
        <f>$O$321*$AA$321</f>
        <v>81.619563167452469</v>
      </c>
    </row>
    <row r="322" spans="1:33" ht="11.25" customHeight="1" x14ac:dyDescent="0.25">
      <c r="A322" s="4" t="s">
        <v>21</v>
      </c>
      <c r="B322" s="4" t="s">
        <v>22</v>
      </c>
      <c r="C322" s="4" t="s">
        <v>23</v>
      </c>
      <c r="D322" s="4" t="s">
        <v>24</v>
      </c>
      <c r="E322" s="4" t="s">
        <v>32</v>
      </c>
      <c r="F322" s="4" t="s">
        <v>25</v>
      </c>
      <c r="G322" s="4" t="s">
        <v>25</v>
      </c>
      <c r="H322" s="4" t="s">
        <v>25</v>
      </c>
      <c r="I322" s="5">
        <v>44501</v>
      </c>
      <c r="J322" s="6">
        <v>0</v>
      </c>
      <c r="K322" s="6">
        <v>0</v>
      </c>
      <c r="L322" s="6">
        <v>0.67100000000000004</v>
      </c>
      <c r="M322" s="6">
        <v>0.67100000000000004</v>
      </c>
      <c r="N322" s="6">
        <v>0.67100000000000004</v>
      </c>
      <c r="O322" s="6">
        <v>0.67100000000000004</v>
      </c>
      <c r="P322" s="6">
        <v>9</v>
      </c>
      <c r="Q322" s="4" t="s">
        <v>26</v>
      </c>
      <c r="R322" s="4">
        <v>0</v>
      </c>
      <c r="S322" s="6">
        <v>0</v>
      </c>
      <c r="T322" s="6">
        <v>26</v>
      </c>
      <c r="U322" s="6">
        <v>79</v>
      </c>
      <c r="V322" s="6">
        <f>IF(ISERROR(VLOOKUP($S$322,'TAR FIN'!$A$1:$O$85,15,0)),0,VLOOKUP($S$322,'TAR FIN'!$A$1:$O$85,15,0))</f>
        <v>0</v>
      </c>
      <c r="W322" s="6">
        <f>IF(ISERROR(VLOOKUP($T$322,'TAR FIN'!$A$1:$O$85,15,0)),0,VLOOKUP($T$322,'TAR FIN'!$A$1:$O$85,15,0))</f>
        <v>310.83999999999997</v>
      </c>
      <c r="X322" s="6">
        <f>IF(ISERROR(VLOOKUP($U$322,'TAR FIN'!$A$1:$O$85,15,0)),0,VLOOKUP($U$322,'TAR FIN'!$A$1:$O$85,15,0))</f>
        <v>141.32</v>
      </c>
      <c r="Y322" s="6"/>
      <c r="Z322" s="6">
        <f ca="1">('TUSD BE'!$AM$24+'TUSD BF'!$AM$24+'TUSD CVA'!$AM$24-('TUSD BE'!$P$24+'TUSD BF'!$P$24+'TUSD CVA'!$P$24)-('TUSD BE'!$Q$24+'TUSD BF'!$Q$24+'TUSD CVA'!$Q$24)-('TUSD BE'!$R$24+'TUSD BF'!$R$24+'TUSD CVA'!$R$24))*(1-CUSTOS!$M$37)</f>
        <v>309.27866493336415</v>
      </c>
      <c r="AA322" s="6">
        <f>('TE BE'!$AB$14+'TE BF'!$AB$14+'TE CVA'!$AB$14)*(1-CUSTOS!$M$37)</f>
        <v>135.80626150990429</v>
      </c>
      <c r="AB322" s="6">
        <f>$K$322*$V$322</f>
        <v>0</v>
      </c>
      <c r="AC322" s="6">
        <f>$M$322*$W$322</f>
        <v>208.57363999999998</v>
      </c>
      <c r="AD322" s="6">
        <f>$O$322*$X$322</f>
        <v>94.825720000000004</v>
      </c>
      <c r="AE322" s="6">
        <f>$K$322*$Y$322</f>
        <v>0</v>
      </c>
      <c r="AF322" s="6">
        <f ca="1">$M$322*$Z$322</f>
        <v>207.52598417028736</v>
      </c>
      <c r="AG322" s="6">
        <f>$O$322*$AA$322</f>
        <v>91.126001473145777</v>
      </c>
    </row>
    <row r="323" spans="1:33" ht="11.25" customHeight="1" x14ac:dyDescent="0.25">
      <c r="A323" s="4" t="s">
        <v>21</v>
      </c>
      <c r="B323" s="4" t="s">
        <v>22</v>
      </c>
      <c r="C323" s="4" t="s">
        <v>23</v>
      </c>
      <c r="D323" s="4" t="s">
        <v>24</v>
      </c>
      <c r="E323" s="4" t="s">
        <v>32</v>
      </c>
      <c r="F323" s="4" t="s">
        <v>25</v>
      </c>
      <c r="G323" s="4" t="s">
        <v>25</v>
      </c>
      <c r="H323" s="4" t="s">
        <v>25</v>
      </c>
      <c r="I323" s="5">
        <v>44531</v>
      </c>
      <c r="J323" s="6">
        <v>0</v>
      </c>
      <c r="K323" s="6">
        <v>0</v>
      </c>
      <c r="L323" s="6">
        <v>1.2829999999999999</v>
      </c>
      <c r="M323" s="6">
        <v>1.2829999999999999</v>
      </c>
      <c r="N323" s="6">
        <v>1.2829999999999999</v>
      </c>
      <c r="O323" s="6">
        <v>1.2829999999999999</v>
      </c>
      <c r="P323" s="6">
        <v>11</v>
      </c>
      <c r="Q323" s="4" t="s">
        <v>26</v>
      </c>
      <c r="R323" s="4">
        <v>0</v>
      </c>
      <c r="S323" s="6">
        <v>0</v>
      </c>
      <c r="T323" s="6">
        <v>26</v>
      </c>
      <c r="U323" s="6">
        <v>79</v>
      </c>
      <c r="V323" s="6">
        <f>IF(ISERROR(VLOOKUP($S$323,'TAR FIN'!$A$1:$O$85,15,0)),0,VLOOKUP($S$323,'TAR FIN'!$A$1:$O$85,15,0))</f>
        <v>0</v>
      </c>
      <c r="W323" s="6">
        <f>IF(ISERROR(VLOOKUP($T$323,'TAR FIN'!$A$1:$O$85,15,0)),0,VLOOKUP($T$323,'TAR FIN'!$A$1:$O$85,15,0))</f>
        <v>310.83999999999997</v>
      </c>
      <c r="X323" s="6">
        <f>IF(ISERROR(VLOOKUP($U$323,'TAR FIN'!$A$1:$O$85,15,0)),0,VLOOKUP($U$323,'TAR FIN'!$A$1:$O$85,15,0))</f>
        <v>141.32</v>
      </c>
      <c r="Y323" s="6"/>
      <c r="Z323" s="6">
        <f ca="1">('TUSD BE'!$AM$24+'TUSD BF'!$AM$24+'TUSD CVA'!$AM$24-('TUSD BE'!$P$24+'TUSD BF'!$P$24+'TUSD CVA'!$P$24)-('TUSD BE'!$Q$24+'TUSD BF'!$Q$24+'TUSD CVA'!$Q$24)-('TUSD BE'!$R$24+'TUSD BF'!$R$24+'TUSD CVA'!$R$24))*(1-CUSTOS!$M$37)</f>
        <v>309.27866493336415</v>
      </c>
      <c r="AA323" s="6">
        <f>('TE BE'!$AB$14+'TE BF'!$AB$14+'TE CVA'!$AB$14)*(1-CUSTOS!$M$37)</f>
        <v>135.80626150990429</v>
      </c>
      <c r="AB323" s="6">
        <f>$K$323*$V$323</f>
        <v>0</v>
      </c>
      <c r="AC323" s="6">
        <f>$M$323*$W$323</f>
        <v>398.80771999999996</v>
      </c>
      <c r="AD323" s="6">
        <f>$O$323*$X$323</f>
        <v>181.31355999999997</v>
      </c>
      <c r="AE323" s="6">
        <f>$K$323*$Y$323</f>
        <v>0</v>
      </c>
      <c r="AF323" s="6">
        <f ca="1">$M$323*$Z$323</f>
        <v>396.80452710950618</v>
      </c>
      <c r="AG323" s="6">
        <f>$O$323*$AA$323</f>
        <v>174.2394335172072</v>
      </c>
    </row>
    <row r="324" spans="1:33" ht="11.25" customHeight="1" x14ac:dyDescent="0.25">
      <c r="A324" s="4" t="s">
        <v>21</v>
      </c>
      <c r="B324" s="4" t="s">
        <v>22</v>
      </c>
      <c r="C324" s="4" t="s">
        <v>23</v>
      </c>
      <c r="D324" s="4" t="s">
        <v>24</v>
      </c>
      <c r="E324" s="4" t="s">
        <v>32</v>
      </c>
      <c r="F324" s="4" t="s">
        <v>25</v>
      </c>
      <c r="G324" s="4" t="s">
        <v>25</v>
      </c>
      <c r="H324" s="4" t="s">
        <v>25</v>
      </c>
      <c r="I324" s="5">
        <v>44562</v>
      </c>
      <c r="J324" s="6">
        <v>0</v>
      </c>
      <c r="K324" s="6">
        <v>0</v>
      </c>
      <c r="L324" s="6">
        <v>1.1020000000000001</v>
      </c>
      <c r="M324" s="6">
        <v>1.1020000000000001</v>
      </c>
      <c r="N324" s="6">
        <v>1.1020000000000001</v>
      </c>
      <c r="O324" s="6">
        <v>1.1020000000000001</v>
      </c>
      <c r="P324" s="6">
        <v>10</v>
      </c>
      <c r="Q324" s="4" t="s">
        <v>26</v>
      </c>
      <c r="R324" s="4">
        <v>0</v>
      </c>
      <c r="S324" s="6">
        <v>0</v>
      </c>
      <c r="T324" s="6">
        <v>26</v>
      </c>
      <c r="U324" s="6">
        <v>79</v>
      </c>
      <c r="V324" s="6">
        <f>IF(ISERROR(VLOOKUP($S$324,'TAR FIN'!$A$1:$O$85,15,0)),0,VLOOKUP($S$324,'TAR FIN'!$A$1:$O$85,15,0))</f>
        <v>0</v>
      </c>
      <c r="W324" s="6">
        <f>IF(ISERROR(VLOOKUP($T$324,'TAR FIN'!$A$1:$O$85,15,0)),0,VLOOKUP($T$324,'TAR FIN'!$A$1:$O$85,15,0))</f>
        <v>310.83999999999997</v>
      </c>
      <c r="X324" s="6">
        <f>IF(ISERROR(VLOOKUP($U$324,'TAR FIN'!$A$1:$O$85,15,0)),0,VLOOKUP($U$324,'TAR FIN'!$A$1:$O$85,15,0))</f>
        <v>141.32</v>
      </c>
      <c r="Y324" s="6"/>
      <c r="Z324" s="6">
        <f ca="1">('TUSD BE'!$AM$24+'TUSD BF'!$AM$24+'TUSD CVA'!$AM$24-('TUSD BE'!$P$24+'TUSD BF'!$P$24+'TUSD CVA'!$P$24)-('TUSD BE'!$Q$24+'TUSD BF'!$Q$24+'TUSD CVA'!$Q$24)-('TUSD BE'!$R$24+'TUSD BF'!$R$24+'TUSD CVA'!$R$24))*(1-CUSTOS!$M$37)</f>
        <v>309.27866493336415</v>
      </c>
      <c r="AA324" s="6">
        <f>('TE BE'!$AB$14+'TE BF'!$AB$14+'TE CVA'!$AB$14)*(1-CUSTOS!$M$37)</f>
        <v>135.80626150990429</v>
      </c>
      <c r="AB324" s="6">
        <f>$K$324*$V$324</f>
        <v>0</v>
      </c>
      <c r="AC324" s="6">
        <f>$M$324*$W$324</f>
        <v>342.54568</v>
      </c>
      <c r="AD324" s="6">
        <f>$O$324*$X$324</f>
        <v>155.73464000000001</v>
      </c>
      <c r="AE324" s="6">
        <f>$K$324*$Y$324</f>
        <v>0</v>
      </c>
      <c r="AF324" s="6">
        <f ca="1">$M$324*$Z$324</f>
        <v>340.82508875656731</v>
      </c>
      <c r="AG324" s="6">
        <f>$O$324*$AA$324</f>
        <v>149.65850018391453</v>
      </c>
    </row>
    <row r="325" spans="1:33" ht="11.25" customHeight="1" x14ac:dyDescent="0.25">
      <c r="A325" s="4" t="s">
        <v>21</v>
      </c>
      <c r="B325" s="4" t="s">
        <v>22</v>
      </c>
      <c r="C325" s="4" t="s">
        <v>23</v>
      </c>
      <c r="D325" s="4" t="s">
        <v>24</v>
      </c>
      <c r="E325" s="4" t="s">
        <v>32</v>
      </c>
      <c r="F325" s="4" t="s">
        <v>25</v>
      </c>
      <c r="G325" s="4" t="s">
        <v>25</v>
      </c>
      <c r="H325" s="4" t="s">
        <v>25</v>
      </c>
      <c r="I325" s="5">
        <v>44593</v>
      </c>
      <c r="J325" s="6">
        <v>0</v>
      </c>
      <c r="K325" s="6">
        <v>0</v>
      </c>
      <c r="L325" s="6">
        <v>1.478</v>
      </c>
      <c r="M325" s="6">
        <v>1.478</v>
      </c>
      <c r="N325" s="6">
        <v>1.478</v>
      </c>
      <c r="O325" s="6">
        <v>1.478</v>
      </c>
      <c r="P325" s="6">
        <v>18</v>
      </c>
      <c r="Q325" s="4" t="s">
        <v>26</v>
      </c>
      <c r="R325" s="4">
        <v>0</v>
      </c>
      <c r="S325" s="6">
        <v>0</v>
      </c>
      <c r="T325" s="6">
        <v>26</v>
      </c>
      <c r="U325" s="6">
        <v>79</v>
      </c>
      <c r="V325" s="6">
        <f>IF(ISERROR(VLOOKUP($S$325,'TAR FIN'!$A$1:$O$85,15,0)),0,VLOOKUP($S$325,'TAR FIN'!$A$1:$O$85,15,0))</f>
        <v>0</v>
      </c>
      <c r="W325" s="6">
        <f>IF(ISERROR(VLOOKUP($T$325,'TAR FIN'!$A$1:$O$85,15,0)),0,VLOOKUP($T$325,'TAR FIN'!$A$1:$O$85,15,0))</f>
        <v>310.83999999999997</v>
      </c>
      <c r="X325" s="6">
        <f>IF(ISERROR(VLOOKUP($U$325,'TAR FIN'!$A$1:$O$85,15,0)),0,VLOOKUP($U$325,'TAR FIN'!$A$1:$O$85,15,0))</f>
        <v>141.32</v>
      </c>
      <c r="Y325" s="6"/>
      <c r="Z325" s="6">
        <f ca="1">('TUSD BE'!$AM$24+'TUSD BF'!$AM$24+'TUSD CVA'!$AM$24-('TUSD BE'!$P$24+'TUSD BF'!$P$24+'TUSD CVA'!$P$24)-('TUSD BE'!$Q$24+'TUSD BF'!$Q$24+'TUSD CVA'!$Q$24)-('TUSD BE'!$R$24+'TUSD BF'!$R$24+'TUSD CVA'!$R$24))*(1-CUSTOS!$M$37)</f>
        <v>309.27866493336415</v>
      </c>
      <c r="AA325" s="6">
        <f>('TE BE'!$AB$14+'TE BF'!$AB$14+'TE CVA'!$AB$14)*(1-CUSTOS!$M$37)</f>
        <v>135.80626150990429</v>
      </c>
      <c r="AB325" s="6">
        <f>$K$325*$V$325</f>
        <v>0</v>
      </c>
      <c r="AC325" s="6">
        <f>$M$325*$W$325</f>
        <v>459.42151999999993</v>
      </c>
      <c r="AD325" s="6">
        <f>$O$325*$X$325</f>
        <v>208.87096</v>
      </c>
      <c r="AE325" s="6">
        <f>$K$325*$Y$325</f>
        <v>0</v>
      </c>
      <c r="AF325" s="6">
        <f ca="1">$M$325*$Z$325</f>
        <v>457.11386677151222</v>
      </c>
      <c r="AG325" s="6">
        <f>$O$325*$AA$325</f>
        <v>200.72165451163855</v>
      </c>
    </row>
    <row r="326" spans="1:33" ht="11.25" customHeight="1" x14ac:dyDescent="0.25">
      <c r="A326" s="4" t="s">
        <v>21</v>
      </c>
      <c r="B326" s="4" t="s">
        <v>22</v>
      </c>
      <c r="C326" s="4" t="s">
        <v>23</v>
      </c>
      <c r="D326" s="4" t="s">
        <v>24</v>
      </c>
      <c r="E326" s="4" t="s">
        <v>32</v>
      </c>
      <c r="F326" s="4" t="s">
        <v>25</v>
      </c>
      <c r="G326" s="4" t="s">
        <v>25</v>
      </c>
      <c r="H326" s="4" t="s">
        <v>25</v>
      </c>
      <c r="I326" s="5">
        <v>44621</v>
      </c>
      <c r="J326" s="6">
        <v>0</v>
      </c>
      <c r="K326" s="6">
        <v>0</v>
      </c>
      <c r="L326" s="6">
        <v>2.129</v>
      </c>
      <c r="M326" s="6">
        <v>2.129</v>
      </c>
      <c r="N326" s="6">
        <v>2.129</v>
      </c>
      <c r="O326" s="6">
        <v>2.129</v>
      </c>
      <c r="P326" s="6">
        <v>17</v>
      </c>
      <c r="Q326" s="4" t="s">
        <v>26</v>
      </c>
      <c r="R326" s="4">
        <v>0</v>
      </c>
      <c r="S326" s="6">
        <v>0</v>
      </c>
      <c r="T326" s="6">
        <v>26</v>
      </c>
      <c r="U326" s="6">
        <v>79</v>
      </c>
      <c r="V326" s="6">
        <f>IF(ISERROR(VLOOKUP($S$326,'TAR FIN'!$A$1:$O$85,15,0)),0,VLOOKUP($S$326,'TAR FIN'!$A$1:$O$85,15,0))</f>
        <v>0</v>
      </c>
      <c r="W326" s="6">
        <f>IF(ISERROR(VLOOKUP($T$326,'TAR FIN'!$A$1:$O$85,15,0)),0,VLOOKUP($T$326,'TAR FIN'!$A$1:$O$85,15,0))</f>
        <v>310.83999999999997</v>
      </c>
      <c r="X326" s="6">
        <f>IF(ISERROR(VLOOKUP($U$326,'TAR FIN'!$A$1:$O$85,15,0)),0,VLOOKUP($U$326,'TAR FIN'!$A$1:$O$85,15,0))</f>
        <v>141.32</v>
      </c>
      <c r="Y326" s="6"/>
      <c r="Z326" s="6">
        <f ca="1">('TUSD BE'!$AM$24+'TUSD BF'!$AM$24+'TUSD CVA'!$AM$24-('TUSD BE'!$P$24+'TUSD BF'!$P$24+'TUSD CVA'!$P$24)-('TUSD BE'!$Q$24+'TUSD BF'!$Q$24+'TUSD CVA'!$Q$24)-('TUSD BE'!$R$24+'TUSD BF'!$R$24+'TUSD CVA'!$R$24))*(1-CUSTOS!$M$37)</f>
        <v>309.27866493336415</v>
      </c>
      <c r="AA326" s="6">
        <f>('TE BE'!$AB$14+'TE BF'!$AB$14+'TE CVA'!$AB$14)*(1-CUSTOS!$M$37)</f>
        <v>135.80626150990429</v>
      </c>
      <c r="AB326" s="6">
        <f>$K$326*$V$326</f>
        <v>0</v>
      </c>
      <c r="AC326" s="6">
        <f>$M$326*$W$326</f>
        <v>661.77835999999991</v>
      </c>
      <c r="AD326" s="6">
        <f>$O$326*$X$326</f>
        <v>300.87027999999998</v>
      </c>
      <c r="AE326" s="6">
        <f>$K$326*$Y$326</f>
        <v>0</v>
      </c>
      <c r="AF326" s="6">
        <f ca="1">$M$326*$Z$326</f>
        <v>658.45427764313229</v>
      </c>
      <c r="AG326" s="6">
        <f>$O$326*$AA$326</f>
        <v>289.13153075458621</v>
      </c>
    </row>
    <row r="327" spans="1:33" ht="11.25" customHeight="1" x14ac:dyDescent="0.25">
      <c r="A327" s="4" t="s">
        <v>21</v>
      </c>
      <c r="B327" s="4" t="s">
        <v>22</v>
      </c>
      <c r="C327" s="4" t="s">
        <v>23</v>
      </c>
      <c r="D327" s="4" t="s">
        <v>24</v>
      </c>
      <c r="E327" s="4" t="s">
        <v>32</v>
      </c>
      <c r="F327" s="4" t="s">
        <v>25</v>
      </c>
      <c r="G327" s="4" t="s">
        <v>25</v>
      </c>
      <c r="H327" s="4" t="s">
        <v>25</v>
      </c>
      <c r="I327" s="5">
        <v>44652</v>
      </c>
      <c r="J327" s="6">
        <v>0</v>
      </c>
      <c r="K327" s="6">
        <v>0</v>
      </c>
      <c r="L327" s="6">
        <v>3.052</v>
      </c>
      <c r="M327" s="6">
        <v>3.052</v>
      </c>
      <c r="N327" s="6">
        <v>3.052</v>
      </c>
      <c r="O327" s="6">
        <v>3.052</v>
      </c>
      <c r="P327" s="6">
        <v>36</v>
      </c>
      <c r="Q327" s="4" t="s">
        <v>26</v>
      </c>
      <c r="R327" s="4">
        <v>0</v>
      </c>
      <c r="S327" s="6">
        <v>0</v>
      </c>
      <c r="T327" s="6">
        <v>26</v>
      </c>
      <c r="U327" s="6">
        <v>79</v>
      </c>
      <c r="V327" s="6">
        <f>IF(ISERROR(VLOOKUP($S$327,'TAR FIN'!$A$1:$O$85,15,0)),0,VLOOKUP($S$327,'TAR FIN'!$A$1:$O$85,15,0))</f>
        <v>0</v>
      </c>
      <c r="W327" s="6">
        <f>IF(ISERROR(VLOOKUP($T$327,'TAR FIN'!$A$1:$O$85,15,0)),0,VLOOKUP($T$327,'TAR FIN'!$A$1:$O$85,15,0))</f>
        <v>310.83999999999997</v>
      </c>
      <c r="X327" s="6">
        <f>IF(ISERROR(VLOOKUP($U$327,'TAR FIN'!$A$1:$O$85,15,0)),0,VLOOKUP($U$327,'TAR FIN'!$A$1:$O$85,15,0))</f>
        <v>141.32</v>
      </c>
      <c r="Y327" s="6"/>
      <c r="Z327" s="6">
        <f ca="1">('TUSD BE'!$AM$24+'TUSD BF'!$AM$24+'TUSD CVA'!$AM$24-('TUSD BE'!$P$24+'TUSD BF'!$P$24+'TUSD CVA'!$P$24)-('TUSD BE'!$Q$24+'TUSD BF'!$Q$24+'TUSD CVA'!$Q$24)-('TUSD BE'!$R$24+'TUSD BF'!$R$24+'TUSD CVA'!$R$24))*(1-CUSTOS!$M$37)</f>
        <v>309.27866493336415</v>
      </c>
      <c r="AA327" s="6">
        <f>('TE BE'!$AB$14+'TE BF'!$AB$14+'TE CVA'!$AB$14)*(1-CUSTOS!$M$37)</f>
        <v>135.80626150990429</v>
      </c>
      <c r="AB327" s="6">
        <f>$K$327*$V$327</f>
        <v>0</v>
      </c>
      <c r="AC327" s="6">
        <f>$M$327*$W$327</f>
        <v>948.68367999999998</v>
      </c>
      <c r="AD327" s="6">
        <f>$O$327*$X$327</f>
        <v>431.30863999999997</v>
      </c>
      <c r="AE327" s="6">
        <f>$K$327*$Y$327</f>
        <v>0</v>
      </c>
      <c r="AF327" s="6">
        <f ca="1">$M$327*$Z$327</f>
        <v>943.91848537662736</v>
      </c>
      <c r="AG327" s="6">
        <f>$O$327*$AA$327</f>
        <v>414.48071012822788</v>
      </c>
    </row>
    <row r="328" spans="1:33" ht="11.25" customHeight="1" x14ac:dyDescent="0.25">
      <c r="A328" s="4" t="s">
        <v>21</v>
      </c>
      <c r="B328" s="4" t="s">
        <v>22</v>
      </c>
      <c r="C328" s="4" t="s">
        <v>23</v>
      </c>
      <c r="D328" s="4" t="s">
        <v>24</v>
      </c>
      <c r="E328" s="4" t="s">
        <v>32</v>
      </c>
      <c r="F328" s="4" t="s">
        <v>25</v>
      </c>
      <c r="G328" s="4" t="s">
        <v>25</v>
      </c>
      <c r="H328" s="4" t="s">
        <v>25</v>
      </c>
      <c r="I328" s="5">
        <v>44682</v>
      </c>
      <c r="J328" s="6">
        <v>0</v>
      </c>
      <c r="K328" s="6">
        <v>0</v>
      </c>
      <c r="L328" s="6">
        <v>2.6309999999999998</v>
      </c>
      <c r="M328" s="6">
        <v>2.6309999999999998</v>
      </c>
      <c r="N328" s="6">
        <v>2.6309999999999998</v>
      </c>
      <c r="O328" s="6">
        <v>2.6309999999999998</v>
      </c>
      <c r="P328" s="6">
        <v>40</v>
      </c>
      <c r="Q328" s="4" t="s">
        <v>26</v>
      </c>
      <c r="R328" s="4">
        <v>0</v>
      </c>
      <c r="S328" s="6">
        <v>0</v>
      </c>
      <c r="T328" s="6">
        <v>26</v>
      </c>
      <c r="U328" s="6">
        <v>79</v>
      </c>
      <c r="V328" s="6">
        <f>IF(ISERROR(VLOOKUP($S$328,'TAR FIN'!$A$1:$O$85,15,0)),0,VLOOKUP($S$328,'TAR FIN'!$A$1:$O$85,15,0))</f>
        <v>0</v>
      </c>
      <c r="W328" s="6">
        <f>IF(ISERROR(VLOOKUP($T$328,'TAR FIN'!$A$1:$O$85,15,0)),0,VLOOKUP($T$328,'TAR FIN'!$A$1:$O$85,15,0))</f>
        <v>310.83999999999997</v>
      </c>
      <c r="X328" s="6">
        <f>IF(ISERROR(VLOOKUP($U$328,'TAR FIN'!$A$1:$O$85,15,0)),0,VLOOKUP($U$328,'TAR FIN'!$A$1:$O$85,15,0))</f>
        <v>141.32</v>
      </c>
      <c r="Y328" s="6"/>
      <c r="Z328" s="6">
        <f ca="1">('TUSD BE'!$AM$24+'TUSD BF'!$AM$24+'TUSD CVA'!$AM$24-('TUSD BE'!$P$24+'TUSD BF'!$P$24+'TUSD CVA'!$P$24)-('TUSD BE'!$Q$24+'TUSD BF'!$Q$24+'TUSD CVA'!$Q$24)-('TUSD BE'!$R$24+'TUSD BF'!$R$24+'TUSD CVA'!$R$24))*(1-CUSTOS!$M$37)</f>
        <v>309.27866493336415</v>
      </c>
      <c r="AA328" s="6">
        <f>('TE BE'!$AB$14+'TE BF'!$AB$14+'TE CVA'!$AB$14)*(1-CUSTOS!$M$37)</f>
        <v>135.80626150990429</v>
      </c>
      <c r="AB328" s="6">
        <f>$K$328*$V$328</f>
        <v>0</v>
      </c>
      <c r="AC328" s="6">
        <f>$M$328*$W$328</f>
        <v>817.82003999999984</v>
      </c>
      <c r="AD328" s="6">
        <f>$O$328*$X$328</f>
        <v>371.81291999999996</v>
      </c>
      <c r="AE328" s="6">
        <f>$K$328*$Y$328</f>
        <v>0</v>
      </c>
      <c r="AF328" s="6">
        <f ca="1">$M$328*$Z$328</f>
        <v>813.71216743968102</v>
      </c>
      <c r="AG328" s="6">
        <f>$O$328*$AA$328</f>
        <v>357.30627403255818</v>
      </c>
    </row>
    <row r="329" spans="1:33" ht="11.25" customHeight="1" x14ac:dyDescent="0.25">
      <c r="A329" s="4" t="s">
        <v>21</v>
      </c>
      <c r="B329" s="4" t="s">
        <v>22</v>
      </c>
      <c r="C329" s="4" t="s">
        <v>23</v>
      </c>
      <c r="D329" s="4" t="s">
        <v>24</v>
      </c>
      <c r="E329" s="4" t="s">
        <v>32</v>
      </c>
      <c r="F329" s="4" t="s">
        <v>25</v>
      </c>
      <c r="G329" s="4" t="s">
        <v>25</v>
      </c>
      <c r="H329" s="4" t="s">
        <v>25</v>
      </c>
      <c r="I329" s="5">
        <v>44713</v>
      </c>
      <c r="J329" s="6">
        <v>0</v>
      </c>
      <c r="K329" s="6">
        <v>0</v>
      </c>
      <c r="L329" s="6">
        <v>3.8069999999999999</v>
      </c>
      <c r="M329" s="6">
        <v>3.8069999999999999</v>
      </c>
      <c r="N329" s="6">
        <v>3.8069999999999999</v>
      </c>
      <c r="O329" s="6">
        <v>3.8069999999999999</v>
      </c>
      <c r="P329" s="6">
        <v>36</v>
      </c>
      <c r="Q329" s="4" t="s">
        <v>26</v>
      </c>
      <c r="R329" s="4">
        <v>0</v>
      </c>
      <c r="S329" s="6">
        <v>0</v>
      </c>
      <c r="T329" s="6">
        <v>26</v>
      </c>
      <c r="U329" s="6">
        <v>79</v>
      </c>
      <c r="V329" s="6">
        <f>IF(ISERROR(VLOOKUP($S$329,'TAR FIN'!$A$1:$O$85,15,0)),0,VLOOKUP($S$329,'TAR FIN'!$A$1:$O$85,15,0))</f>
        <v>0</v>
      </c>
      <c r="W329" s="6">
        <f>IF(ISERROR(VLOOKUP($T$329,'TAR FIN'!$A$1:$O$85,15,0)),0,VLOOKUP($T$329,'TAR FIN'!$A$1:$O$85,15,0))</f>
        <v>310.83999999999997</v>
      </c>
      <c r="X329" s="6">
        <f>IF(ISERROR(VLOOKUP($U$329,'TAR FIN'!$A$1:$O$85,15,0)),0,VLOOKUP($U$329,'TAR FIN'!$A$1:$O$85,15,0))</f>
        <v>141.32</v>
      </c>
      <c r="Y329" s="6"/>
      <c r="Z329" s="6">
        <f ca="1">('TUSD BE'!$AM$24+'TUSD BF'!$AM$24+'TUSD CVA'!$AM$24-('TUSD BE'!$P$24+'TUSD BF'!$P$24+'TUSD CVA'!$P$24)-('TUSD BE'!$Q$24+'TUSD BF'!$Q$24+'TUSD CVA'!$Q$24)-('TUSD BE'!$R$24+'TUSD BF'!$R$24+'TUSD CVA'!$R$24))*(1-CUSTOS!$M$37)</f>
        <v>309.27866493336415</v>
      </c>
      <c r="AA329" s="6">
        <f>('TE BE'!$AB$14+'TE BF'!$AB$14+'TE CVA'!$AB$14)*(1-CUSTOS!$M$37)</f>
        <v>135.80626150990429</v>
      </c>
      <c r="AB329" s="6">
        <f>$K$329*$V$329</f>
        <v>0</v>
      </c>
      <c r="AC329" s="6">
        <f>$M$329*$W$329</f>
        <v>1183.3678799999998</v>
      </c>
      <c r="AD329" s="6">
        <f>$O$329*$X$329</f>
        <v>538.00523999999996</v>
      </c>
      <c r="AE329" s="6">
        <f>$K$329*$Y$329</f>
        <v>0</v>
      </c>
      <c r="AF329" s="6">
        <f ca="1">$M$329*$Z$329</f>
        <v>1177.4238774013172</v>
      </c>
      <c r="AG329" s="6">
        <f>$O$329*$AA$329</f>
        <v>517.01443756820561</v>
      </c>
    </row>
    <row r="330" spans="1:33" ht="11.25" customHeight="1" x14ac:dyDescent="0.25">
      <c r="A330" s="4" t="s">
        <v>21</v>
      </c>
      <c r="B330" s="4" t="s">
        <v>22</v>
      </c>
      <c r="C330" s="4" t="s">
        <v>23</v>
      </c>
      <c r="D330" s="4" t="s">
        <v>24</v>
      </c>
      <c r="E330" s="4" t="s">
        <v>32</v>
      </c>
      <c r="F330" s="4" t="s">
        <v>25</v>
      </c>
      <c r="G330" s="4" t="s">
        <v>25</v>
      </c>
      <c r="H330" s="4" t="s">
        <v>25</v>
      </c>
      <c r="I330" s="5">
        <v>44743</v>
      </c>
      <c r="J330" s="6">
        <v>0</v>
      </c>
      <c r="K330" s="6">
        <v>0</v>
      </c>
      <c r="L330" s="6">
        <v>2.3279999999999998</v>
      </c>
      <c r="M330" s="6">
        <v>2.3279999999999998</v>
      </c>
      <c r="N330" s="6">
        <v>2.3279999999999998</v>
      </c>
      <c r="O330" s="6">
        <v>2.3279999999999998</v>
      </c>
      <c r="P330" s="6">
        <v>37</v>
      </c>
      <c r="Q330" s="4" t="s">
        <v>26</v>
      </c>
      <c r="R330" s="4">
        <v>0</v>
      </c>
      <c r="S330" s="6">
        <v>0</v>
      </c>
      <c r="T330" s="6">
        <v>26</v>
      </c>
      <c r="U330" s="6">
        <v>79</v>
      </c>
      <c r="V330" s="6">
        <f>IF(ISERROR(VLOOKUP($S$330,'TAR FIN'!$A$1:$O$85,15,0)),0,VLOOKUP($S$330,'TAR FIN'!$A$1:$O$85,15,0))</f>
        <v>0</v>
      </c>
      <c r="W330" s="6">
        <f>IF(ISERROR(VLOOKUP($T$330,'TAR FIN'!$A$1:$O$85,15,0)),0,VLOOKUP($T$330,'TAR FIN'!$A$1:$O$85,15,0))</f>
        <v>310.83999999999997</v>
      </c>
      <c r="X330" s="6">
        <f>IF(ISERROR(VLOOKUP($U$330,'TAR FIN'!$A$1:$O$85,15,0)),0,VLOOKUP($U$330,'TAR FIN'!$A$1:$O$85,15,0))</f>
        <v>141.32</v>
      </c>
      <c r="Y330" s="6"/>
      <c r="Z330" s="6">
        <f ca="1">('TUSD BE'!$AM$24+'TUSD BF'!$AM$24+'TUSD CVA'!$AM$24-('TUSD BE'!$P$24+'TUSD BF'!$P$24+'TUSD CVA'!$P$24)-('TUSD BE'!$Q$24+'TUSD BF'!$Q$24+'TUSD CVA'!$Q$24)-('TUSD BE'!$R$24+'TUSD BF'!$R$24+'TUSD CVA'!$R$24))*(1-CUSTOS!$M$37)</f>
        <v>309.27866493336415</v>
      </c>
      <c r="AA330" s="6">
        <f>('TE BE'!$AB$14+'TE BF'!$AB$14+'TE CVA'!$AB$14)*(1-CUSTOS!$M$37)</f>
        <v>135.80626150990429</v>
      </c>
      <c r="AB330" s="6">
        <f>$K$330*$V$330</f>
        <v>0</v>
      </c>
      <c r="AC330" s="6">
        <f>$M$330*$W$330</f>
        <v>723.63551999999993</v>
      </c>
      <c r="AD330" s="6">
        <f>$O$330*$X$330</f>
        <v>328.99295999999998</v>
      </c>
      <c r="AE330" s="6">
        <f>$K$330*$Y$330</f>
        <v>0</v>
      </c>
      <c r="AF330" s="6">
        <f ca="1">$M$330*$Z$330</f>
        <v>720.00073196487176</v>
      </c>
      <c r="AG330" s="6">
        <f>$O$330*$AA$330</f>
        <v>316.15697679505718</v>
      </c>
    </row>
    <row r="331" spans="1:33" ht="11.25" customHeight="1" x14ac:dyDescent="0.25">
      <c r="A331" s="4" t="s">
        <v>27</v>
      </c>
      <c r="B331" s="4" t="s">
        <v>22</v>
      </c>
      <c r="C331" s="4" t="s">
        <v>23</v>
      </c>
      <c r="D331" s="4" t="s">
        <v>24</v>
      </c>
      <c r="E331" s="4" t="s">
        <v>32</v>
      </c>
      <c r="F331" s="4" t="s">
        <v>25</v>
      </c>
      <c r="G331" s="4" t="s">
        <v>25</v>
      </c>
      <c r="H331" s="4" t="s">
        <v>25</v>
      </c>
      <c r="I331" s="5">
        <v>44743</v>
      </c>
      <c r="J331" s="6">
        <v>0</v>
      </c>
      <c r="K331" s="6">
        <v>0</v>
      </c>
      <c r="L331" s="6">
        <v>8.5999999999999993E-2</v>
      </c>
      <c r="M331" s="6">
        <v>8.5999999999999993E-2</v>
      </c>
      <c r="N331" s="6">
        <v>8.5999999999999993E-2</v>
      </c>
      <c r="O331" s="6">
        <v>8.5999999999999993E-2</v>
      </c>
      <c r="P331" s="6">
        <v>0</v>
      </c>
      <c r="Q331" s="4" t="s">
        <v>26</v>
      </c>
      <c r="R331" s="4">
        <v>0</v>
      </c>
      <c r="S331" s="6">
        <v>0</v>
      </c>
      <c r="T331" s="6">
        <v>26</v>
      </c>
      <c r="U331" s="6">
        <v>79</v>
      </c>
      <c r="V331" s="6">
        <f>IF(ISERROR(VLOOKUP($S$331,'TAR FIN'!$A$1:$O$85,15,0)),0,VLOOKUP($S$331,'TAR FIN'!$A$1:$O$85,15,0))</f>
        <v>0</v>
      </c>
      <c r="W331" s="6">
        <f>IF(ISERROR(VLOOKUP($T$331,'TAR FIN'!$A$1:$O$85,15,0)),0,VLOOKUP($T$331,'TAR FIN'!$A$1:$O$85,15,0))</f>
        <v>310.83999999999997</v>
      </c>
      <c r="X331" s="6">
        <f>IF(ISERROR(VLOOKUP($U$331,'TAR FIN'!$A$1:$O$85,15,0)),0,VLOOKUP($U$331,'TAR FIN'!$A$1:$O$85,15,0))</f>
        <v>141.32</v>
      </c>
      <c r="Y331" s="6"/>
      <c r="Z331" s="6">
        <f ca="1">('TUSD BE'!$AM$24+'TUSD BF'!$AM$24+'TUSD CVA'!$AM$24-('TUSD BE'!$P$24+'TUSD BF'!$P$24+'TUSD CVA'!$P$24)-('TUSD BE'!$Q$24+'TUSD BF'!$Q$24+'TUSD CVA'!$Q$24)-('TUSD BE'!$R$24+'TUSD BF'!$R$24+'TUSD CVA'!$R$24))*(1-CUSTOS!$M$37)</f>
        <v>309.27866493336415</v>
      </c>
      <c r="AA331" s="6">
        <f>('TE BE'!$AB$14+'TE BF'!$AB$14+'TE CVA'!$AB$14)*(1-CUSTOS!$M$37)</f>
        <v>135.80626150990429</v>
      </c>
      <c r="AB331" s="6">
        <f>$K$331*$V$331</f>
        <v>0</v>
      </c>
      <c r="AC331" s="6">
        <f>$M$331*$W$331</f>
        <v>26.732239999999997</v>
      </c>
      <c r="AD331" s="6">
        <f>$O$331*$X$331</f>
        <v>12.153519999999999</v>
      </c>
      <c r="AE331" s="6">
        <f>$K$331*$Y$331</f>
        <v>0</v>
      </c>
      <c r="AF331" s="6">
        <f ca="1">$M$331*$Z$331</f>
        <v>26.597965184269317</v>
      </c>
      <c r="AG331" s="6">
        <f>$O$331*$AA$331</f>
        <v>11.679338489851768</v>
      </c>
    </row>
    <row r="332" spans="1:33" ht="11.25" customHeight="1" x14ac:dyDescent="0.25">
      <c r="A332" s="4" t="s">
        <v>21</v>
      </c>
      <c r="B332" s="4" t="s">
        <v>22</v>
      </c>
      <c r="C332" s="4" t="s">
        <v>23</v>
      </c>
      <c r="D332" s="4" t="s">
        <v>24</v>
      </c>
      <c r="E332" s="4" t="s">
        <v>32</v>
      </c>
      <c r="F332" s="4" t="s">
        <v>25</v>
      </c>
      <c r="G332" s="4" t="s">
        <v>25</v>
      </c>
      <c r="H332" s="4" t="s">
        <v>25</v>
      </c>
      <c r="I332" s="5">
        <v>44774</v>
      </c>
      <c r="J332" s="6">
        <v>0</v>
      </c>
      <c r="K332" s="6">
        <v>0</v>
      </c>
      <c r="L332" s="6">
        <v>2.6739999999999999</v>
      </c>
      <c r="M332" s="6">
        <v>2.6739999999999999</v>
      </c>
      <c r="N332" s="6">
        <v>2.6739999999999999</v>
      </c>
      <c r="O332" s="6">
        <v>2.6739999999999999</v>
      </c>
      <c r="P332" s="6">
        <v>31</v>
      </c>
      <c r="Q332" s="4" t="s">
        <v>26</v>
      </c>
      <c r="R332" s="4">
        <v>0</v>
      </c>
      <c r="S332" s="6">
        <v>0</v>
      </c>
      <c r="T332" s="6">
        <v>26</v>
      </c>
      <c r="U332" s="6">
        <v>79</v>
      </c>
      <c r="V332" s="6">
        <f>IF(ISERROR(VLOOKUP($S$332,'TAR FIN'!$A$1:$O$85,15,0)),0,VLOOKUP($S$332,'TAR FIN'!$A$1:$O$85,15,0))</f>
        <v>0</v>
      </c>
      <c r="W332" s="6">
        <f>IF(ISERROR(VLOOKUP($T$332,'TAR FIN'!$A$1:$O$85,15,0)),0,VLOOKUP($T$332,'TAR FIN'!$A$1:$O$85,15,0))</f>
        <v>310.83999999999997</v>
      </c>
      <c r="X332" s="6">
        <f>IF(ISERROR(VLOOKUP($U$332,'TAR FIN'!$A$1:$O$85,15,0)),0,VLOOKUP($U$332,'TAR FIN'!$A$1:$O$85,15,0))</f>
        <v>141.32</v>
      </c>
      <c r="Y332" s="6"/>
      <c r="Z332" s="6">
        <f ca="1">('TUSD BE'!$AM$24+'TUSD BF'!$AM$24+'TUSD CVA'!$AM$24-('TUSD BE'!$P$24+'TUSD BF'!$P$24+'TUSD CVA'!$P$24)-('TUSD BE'!$Q$24+'TUSD BF'!$Q$24+'TUSD CVA'!$Q$24)-('TUSD BE'!$R$24+'TUSD BF'!$R$24+'TUSD CVA'!$R$24))*(1-CUSTOS!$M$37)</f>
        <v>309.27866493336415</v>
      </c>
      <c r="AA332" s="6">
        <f>('TE BE'!$AB$14+'TE BF'!$AB$14+'TE CVA'!$AB$14)*(1-CUSTOS!$M$37)</f>
        <v>135.80626150990429</v>
      </c>
      <c r="AB332" s="6">
        <f>$K$332*$V$332</f>
        <v>0</v>
      </c>
      <c r="AC332" s="6">
        <f>$M$332*$W$332</f>
        <v>831.18615999999986</v>
      </c>
      <c r="AD332" s="6">
        <f>$O$332*$X$332</f>
        <v>377.88968</v>
      </c>
      <c r="AE332" s="6">
        <f>$K$332*$Y$332</f>
        <v>0</v>
      </c>
      <c r="AF332" s="6">
        <f ca="1">$M$332*$Z$332</f>
        <v>827.01115003181576</v>
      </c>
      <c r="AG332" s="6">
        <f>$O$332*$AA$332</f>
        <v>363.14594327748404</v>
      </c>
    </row>
    <row r="333" spans="1:33" ht="11.25" customHeight="1" x14ac:dyDescent="0.25">
      <c r="A333" s="4" t="s">
        <v>21</v>
      </c>
      <c r="B333" s="4" t="s">
        <v>40</v>
      </c>
      <c r="C333" s="4" t="s">
        <v>23</v>
      </c>
      <c r="D333" s="4" t="s">
        <v>41</v>
      </c>
      <c r="E333" s="4" t="s">
        <v>49</v>
      </c>
      <c r="F333" s="4" t="s">
        <v>50</v>
      </c>
      <c r="G333" s="4" t="s">
        <v>25</v>
      </c>
      <c r="H333" s="4" t="s">
        <v>25</v>
      </c>
      <c r="I333" s="5">
        <v>44440</v>
      </c>
      <c r="J333" s="6">
        <v>0</v>
      </c>
      <c r="K333" s="6">
        <v>0</v>
      </c>
      <c r="L333" s="6">
        <v>4.1989999999999998</v>
      </c>
      <c r="M333" s="6">
        <v>4.1989999999999998</v>
      </c>
      <c r="N333" s="6">
        <v>4.1989999999999998</v>
      </c>
      <c r="O333" s="6">
        <v>4.1989999999999998</v>
      </c>
      <c r="P333" s="6">
        <v>0</v>
      </c>
      <c r="Q333" s="4" t="s">
        <v>26</v>
      </c>
      <c r="R333" s="4">
        <v>0</v>
      </c>
      <c r="S333" s="6">
        <v>0</v>
      </c>
      <c r="T333" s="6">
        <v>30</v>
      </c>
      <c r="U333" s="6">
        <v>55</v>
      </c>
      <c r="V333" s="6">
        <f>IF(ISERROR(VLOOKUP($S$333,'TAR FIN'!$A$1:$O$85,15,0)),0,VLOOKUP($S$333,'TAR FIN'!$A$1:$O$85,15,0))</f>
        <v>0</v>
      </c>
      <c r="W333" s="6">
        <f>IF(ISERROR(VLOOKUP($T$333,'TAR FIN'!$A$1:$O$85,15,0)),0,VLOOKUP($T$333,'TAR FIN'!$A$1:$O$85,15,0))</f>
        <v>331.77</v>
      </c>
      <c r="X333" s="6">
        <f>IF(ISERROR(VLOOKUP($U$333,'TAR FIN'!$A$1:$O$85,15,0)),0,VLOOKUP($U$333,'TAR FIN'!$A$1:$O$85,15,0))</f>
        <v>124.36</v>
      </c>
      <c r="Y333" s="6"/>
      <c r="Z333" s="6">
        <f ca="1">('TUSD BE'!$AM$33+'TUSD BF'!$AM$33+'TUSD CVA'!$AM$33)*(1-CUSTOS!$M$38)</f>
        <v>390.73403238820225</v>
      </c>
      <c r="AA333" s="6">
        <f>('TE BE'!$AB$23+'TE BF'!$AB$23+'TE CVA'!$AB$23)*(1-CUSTOS!$M$38)</f>
        <v>127.65788581931002</v>
      </c>
      <c r="AB333" s="6">
        <f>$K$333*$V$333</f>
        <v>0</v>
      </c>
      <c r="AC333" s="6">
        <f>$M$333*$W$333</f>
        <v>1393.10223</v>
      </c>
      <c r="AD333" s="6">
        <f>$O$333*$X$333</f>
        <v>522.18763999999999</v>
      </c>
      <c r="AE333" s="6">
        <f>$K$333*$Y$333</f>
        <v>0</v>
      </c>
      <c r="AF333" s="6">
        <f ca="1">$M$333*$Z$333</f>
        <v>1640.6922019980611</v>
      </c>
      <c r="AG333" s="6">
        <f>$O$333*$AA$333</f>
        <v>536.03546255528272</v>
      </c>
    </row>
    <row r="334" spans="1:33" ht="11.25" customHeight="1" x14ac:dyDescent="0.25">
      <c r="A334" s="4" t="s">
        <v>28</v>
      </c>
      <c r="B334" s="4" t="s">
        <v>40</v>
      </c>
      <c r="C334" s="4" t="s">
        <v>23</v>
      </c>
      <c r="D334" s="4" t="s">
        <v>41</v>
      </c>
      <c r="E334" s="4" t="s">
        <v>49</v>
      </c>
      <c r="F334" s="4" t="s">
        <v>50</v>
      </c>
      <c r="G334" s="4" t="s">
        <v>25</v>
      </c>
      <c r="H334" s="4" t="s">
        <v>25</v>
      </c>
      <c r="I334" s="5">
        <v>44440</v>
      </c>
      <c r="J334" s="6">
        <v>0</v>
      </c>
      <c r="K334" s="6">
        <v>0</v>
      </c>
      <c r="L334" s="6">
        <v>0.22900000000000001</v>
      </c>
      <c r="M334" s="6">
        <v>0.22900000000000001</v>
      </c>
      <c r="N334" s="6">
        <v>0.22900000000000001</v>
      </c>
      <c r="O334" s="6">
        <v>0.22900000000000001</v>
      </c>
      <c r="P334" s="6">
        <v>0</v>
      </c>
      <c r="Q334" s="4" t="s">
        <v>26</v>
      </c>
      <c r="R334" s="4">
        <v>0</v>
      </c>
      <c r="S334" s="6">
        <v>0</v>
      </c>
      <c r="T334" s="6">
        <v>30</v>
      </c>
      <c r="U334" s="6">
        <v>55</v>
      </c>
      <c r="V334" s="6">
        <f>IF(ISERROR(VLOOKUP($S$334,'TAR FIN'!$A$1:$O$85,15,0)),0,VLOOKUP($S$334,'TAR FIN'!$A$1:$O$85,15,0))</f>
        <v>0</v>
      </c>
      <c r="W334" s="6">
        <f>IF(ISERROR(VLOOKUP($T$334,'TAR FIN'!$A$1:$O$85,15,0)),0,VLOOKUP($T$334,'TAR FIN'!$A$1:$O$85,15,0))</f>
        <v>331.77</v>
      </c>
      <c r="X334" s="6">
        <f>IF(ISERROR(VLOOKUP($U$334,'TAR FIN'!$A$1:$O$85,15,0)),0,VLOOKUP($U$334,'TAR FIN'!$A$1:$O$85,15,0))</f>
        <v>124.36</v>
      </c>
      <c r="Y334" s="6"/>
      <c r="Z334" s="6">
        <f ca="1">('TUSD BE'!$AM$33+'TUSD BF'!$AM$33+'TUSD CVA'!$AM$33)*(1-CUSTOS!$M$38)</f>
        <v>390.73403238820225</v>
      </c>
      <c r="AA334" s="6">
        <f>('TE BE'!$AB$23+'TE BF'!$AB$23+'TE CVA'!$AB$23)*(1-CUSTOS!$M$38)</f>
        <v>127.65788581931002</v>
      </c>
      <c r="AB334" s="6">
        <f>$K$334*$V$334</f>
        <v>0</v>
      </c>
      <c r="AC334" s="6">
        <f>$M$334*$W$334</f>
        <v>75.97533</v>
      </c>
      <c r="AD334" s="6">
        <f>$O$334*$X$334</f>
        <v>28.478440000000003</v>
      </c>
      <c r="AE334" s="6">
        <f>$K$334*$Y$334</f>
        <v>0</v>
      </c>
      <c r="AF334" s="6">
        <f ca="1">$M$334*$Z$334</f>
        <v>89.478093416898318</v>
      </c>
      <c r="AG334" s="6">
        <f>$O$334*$AA$334</f>
        <v>29.233655852621997</v>
      </c>
    </row>
    <row r="335" spans="1:33" ht="11.25" customHeight="1" x14ac:dyDescent="0.25">
      <c r="A335" s="4" t="s">
        <v>21</v>
      </c>
      <c r="B335" s="4" t="s">
        <v>40</v>
      </c>
      <c r="C335" s="4" t="s">
        <v>23</v>
      </c>
      <c r="D335" s="4" t="s">
        <v>41</v>
      </c>
      <c r="E335" s="4" t="s">
        <v>49</v>
      </c>
      <c r="F335" s="4" t="s">
        <v>50</v>
      </c>
      <c r="G335" s="4" t="s">
        <v>25</v>
      </c>
      <c r="H335" s="4" t="s">
        <v>25</v>
      </c>
      <c r="I335" s="5">
        <v>44470</v>
      </c>
      <c r="J335" s="6">
        <v>0</v>
      </c>
      <c r="K335" s="6">
        <v>0</v>
      </c>
      <c r="L335" s="6">
        <v>2.9990000000000001</v>
      </c>
      <c r="M335" s="6">
        <v>2.9990000000000001</v>
      </c>
      <c r="N335" s="6">
        <v>2.9990000000000001</v>
      </c>
      <c r="O335" s="6">
        <v>2.9990000000000001</v>
      </c>
      <c r="P335" s="6">
        <v>0</v>
      </c>
      <c r="Q335" s="4" t="s">
        <v>26</v>
      </c>
      <c r="R335" s="4">
        <v>0</v>
      </c>
      <c r="S335" s="6">
        <v>0</v>
      </c>
      <c r="T335" s="6">
        <v>30</v>
      </c>
      <c r="U335" s="6">
        <v>55</v>
      </c>
      <c r="V335" s="6">
        <f>IF(ISERROR(VLOOKUP($S$335,'TAR FIN'!$A$1:$O$85,15,0)),0,VLOOKUP($S$335,'TAR FIN'!$A$1:$O$85,15,0))</f>
        <v>0</v>
      </c>
      <c r="W335" s="6">
        <f>IF(ISERROR(VLOOKUP($T$335,'TAR FIN'!$A$1:$O$85,15,0)),0,VLOOKUP($T$335,'TAR FIN'!$A$1:$O$85,15,0))</f>
        <v>331.77</v>
      </c>
      <c r="X335" s="6">
        <f>IF(ISERROR(VLOOKUP($U$335,'TAR FIN'!$A$1:$O$85,15,0)),0,VLOOKUP($U$335,'TAR FIN'!$A$1:$O$85,15,0))</f>
        <v>124.36</v>
      </c>
      <c r="Y335" s="6"/>
      <c r="Z335" s="6">
        <f ca="1">('TUSD BE'!$AM$33+'TUSD BF'!$AM$33+'TUSD CVA'!$AM$33)*(1-CUSTOS!$M$38)</f>
        <v>390.73403238820225</v>
      </c>
      <c r="AA335" s="6">
        <f>('TE BE'!$AB$23+'TE BF'!$AB$23+'TE CVA'!$AB$23)*(1-CUSTOS!$M$38)</f>
        <v>127.65788581931002</v>
      </c>
      <c r="AB335" s="6">
        <f>$K$335*$V$335</f>
        <v>0</v>
      </c>
      <c r="AC335" s="6">
        <f>$M$335*$W$335</f>
        <v>994.97822999999994</v>
      </c>
      <c r="AD335" s="6">
        <f>$O$335*$X$335</f>
        <v>372.95564000000002</v>
      </c>
      <c r="AE335" s="6">
        <f>$K$335*$Y$335</f>
        <v>0</v>
      </c>
      <c r="AF335" s="6">
        <f ca="1">$M$335*$Z$335</f>
        <v>1171.8113631322185</v>
      </c>
      <c r="AG335" s="6">
        <f>$O$335*$AA$335</f>
        <v>382.84599957211077</v>
      </c>
    </row>
    <row r="336" spans="1:33" ht="11.25" customHeight="1" x14ac:dyDescent="0.25">
      <c r="A336" s="4" t="s">
        <v>28</v>
      </c>
      <c r="B336" s="4" t="s">
        <v>40</v>
      </c>
      <c r="C336" s="4" t="s">
        <v>23</v>
      </c>
      <c r="D336" s="4" t="s">
        <v>41</v>
      </c>
      <c r="E336" s="4" t="s">
        <v>49</v>
      </c>
      <c r="F336" s="4" t="s">
        <v>50</v>
      </c>
      <c r="G336" s="4" t="s">
        <v>25</v>
      </c>
      <c r="H336" s="4" t="s">
        <v>25</v>
      </c>
      <c r="I336" s="5">
        <v>44470</v>
      </c>
      <c r="J336" s="6">
        <v>0</v>
      </c>
      <c r="K336" s="6">
        <v>0</v>
      </c>
      <c r="L336" s="6">
        <v>0.20899999999999999</v>
      </c>
      <c r="M336" s="6">
        <v>0.20899999999999999</v>
      </c>
      <c r="N336" s="6">
        <v>0.20899999999999999</v>
      </c>
      <c r="O336" s="6">
        <v>0.20899999999999999</v>
      </c>
      <c r="P336" s="6">
        <v>0</v>
      </c>
      <c r="Q336" s="4" t="s">
        <v>26</v>
      </c>
      <c r="R336" s="4">
        <v>0</v>
      </c>
      <c r="S336" s="6">
        <v>0</v>
      </c>
      <c r="T336" s="6">
        <v>30</v>
      </c>
      <c r="U336" s="6">
        <v>55</v>
      </c>
      <c r="V336" s="6">
        <f>IF(ISERROR(VLOOKUP($S$336,'TAR FIN'!$A$1:$O$85,15,0)),0,VLOOKUP($S$336,'TAR FIN'!$A$1:$O$85,15,0))</f>
        <v>0</v>
      </c>
      <c r="W336" s="6">
        <f>IF(ISERROR(VLOOKUP($T$336,'TAR FIN'!$A$1:$O$85,15,0)),0,VLOOKUP($T$336,'TAR FIN'!$A$1:$O$85,15,0))</f>
        <v>331.77</v>
      </c>
      <c r="X336" s="6">
        <f>IF(ISERROR(VLOOKUP($U$336,'TAR FIN'!$A$1:$O$85,15,0)),0,VLOOKUP($U$336,'TAR FIN'!$A$1:$O$85,15,0))</f>
        <v>124.36</v>
      </c>
      <c r="Y336" s="6"/>
      <c r="Z336" s="6">
        <f ca="1">('TUSD BE'!$AM$33+'TUSD BF'!$AM$33+'TUSD CVA'!$AM$33)*(1-CUSTOS!$M$38)</f>
        <v>390.73403238820225</v>
      </c>
      <c r="AA336" s="6">
        <f>('TE BE'!$AB$23+'TE BF'!$AB$23+'TE CVA'!$AB$23)*(1-CUSTOS!$M$38)</f>
        <v>127.65788581931002</v>
      </c>
      <c r="AB336" s="6">
        <f>$K$336*$V$336</f>
        <v>0</v>
      </c>
      <c r="AC336" s="6">
        <f>$M$336*$W$336</f>
        <v>69.339929999999995</v>
      </c>
      <c r="AD336" s="6">
        <f>$O$336*$X$336</f>
        <v>25.991239999999998</v>
      </c>
      <c r="AE336" s="6">
        <f>$K$336*$Y$336</f>
        <v>0</v>
      </c>
      <c r="AF336" s="6">
        <f ca="1">$M$336*$Z$336</f>
        <v>81.663412769134268</v>
      </c>
      <c r="AG336" s="6">
        <f>$O$336*$AA$336</f>
        <v>26.680498136235794</v>
      </c>
    </row>
    <row r="337" spans="1:33" ht="11.25" customHeight="1" x14ac:dyDescent="0.25">
      <c r="A337" s="4" t="s">
        <v>21</v>
      </c>
      <c r="B337" s="4" t="s">
        <v>40</v>
      </c>
      <c r="C337" s="4" t="s">
        <v>23</v>
      </c>
      <c r="D337" s="4" t="s">
        <v>41</v>
      </c>
      <c r="E337" s="4" t="s">
        <v>49</v>
      </c>
      <c r="F337" s="4" t="s">
        <v>50</v>
      </c>
      <c r="G337" s="4" t="s">
        <v>25</v>
      </c>
      <c r="H337" s="4" t="s">
        <v>25</v>
      </c>
      <c r="I337" s="5">
        <v>44501</v>
      </c>
      <c r="J337" s="6">
        <v>0</v>
      </c>
      <c r="K337" s="6">
        <v>0</v>
      </c>
      <c r="L337" s="6">
        <v>3.339</v>
      </c>
      <c r="M337" s="6">
        <v>3.339</v>
      </c>
      <c r="N337" s="6">
        <v>3.339</v>
      </c>
      <c r="O337" s="6">
        <v>3.339</v>
      </c>
      <c r="P337" s="6">
        <v>0</v>
      </c>
      <c r="Q337" s="4" t="s">
        <v>26</v>
      </c>
      <c r="R337" s="4">
        <v>0</v>
      </c>
      <c r="S337" s="6">
        <v>0</v>
      </c>
      <c r="T337" s="6">
        <v>30</v>
      </c>
      <c r="U337" s="6">
        <v>55</v>
      </c>
      <c r="V337" s="6">
        <f>IF(ISERROR(VLOOKUP($S$337,'TAR FIN'!$A$1:$O$85,15,0)),0,VLOOKUP($S$337,'TAR FIN'!$A$1:$O$85,15,0))</f>
        <v>0</v>
      </c>
      <c r="W337" s="6">
        <f>IF(ISERROR(VLOOKUP($T$337,'TAR FIN'!$A$1:$O$85,15,0)),0,VLOOKUP($T$337,'TAR FIN'!$A$1:$O$85,15,0))</f>
        <v>331.77</v>
      </c>
      <c r="X337" s="6">
        <f>IF(ISERROR(VLOOKUP($U$337,'TAR FIN'!$A$1:$O$85,15,0)),0,VLOOKUP($U$337,'TAR FIN'!$A$1:$O$85,15,0))</f>
        <v>124.36</v>
      </c>
      <c r="Y337" s="6"/>
      <c r="Z337" s="6">
        <f ca="1">('TUSD BE'!$AM$33+'TUSD BF'!$AM$33+'TUSD CVA'!$AM$33)*(1-CUSTOS!$M$38)</f>
        <v>390.73403238820225</v>
      </c>
      <c r="AA337" s="6">
        <f>('TE BE'!$AB$23+'TE BF'!$AB$23+'TE CVA'!$AB$23)*(1-CUSTOS!$M$38)</f>
        <v>127.65788581931002</v>
      </c>
      <c r="AB337" s="6">
        <f>$K$337*$V$337</f>
        <v>0</v>
      </c>
      <c r="AC337" s="6">
        <f>$M$337*$W$337</f>
        <v>1107.7800299999999</v>
      </c>
      <c r="AD337" s="6">
        <f>$O$337*$X$337</f>
        <v>415.23804000000001</v>
      </c>
      <c r="AE337" s="6">
        <f>$K$337*$Y$337</f>
        <v>0</v>
      </c>
      <c r="AF337" s="6">
        <f ca="1">$M$337*$Z$337</f>
        <v>1304.6609341442072</v>
      </c>
      <c r="AG337" s="6">
        <f>$O$337*$AA$337</f>
        <v>426.24968075067619</v>
      </c>
    </row>
    <row r="338" spans="1:33" ht="11.25" customHeight="1" x14ac:dyDescent="0.25">
      <c r="A338" s="4" t="s">
        <v>28</v>
      </c>
      <c r="B338" s="4" t="s">
        <v>40</v>
      </c>
      <c r="C338" s="4" t="s">
        <v>23</v>
      </c>
      <c r="D338" s="4" t="s">
        <v>41</v>
      </c>
      <c r="E338" s="4" t="s">
        <v>49</v>
      </c>
      <c r="F338" s="4" t="s">
        <v>50</v>
      </c>
      <c r="G338" s="4" t="s">
        <v>25</v>
      </c>
      <c r="H338" s="4" t="s">
        <v>25</v>
      </c>
      <c r="I338" s="5">
        <v>44501</v>
      </c>
      <c r="J338" s="6">
        <v>0</v>
      </c>
      <c r="K338" s="6">
        <v>0</v>
      </c>
      <c r="L338" s="6">
        <v>0.19600000000000001</v>
      </c>
      <c r="M338" s="6">
        <v>0.19600000000000001</v>
      </c>
      <c r="N338" s="6">
        <v>0.19600000000000001</v>
      </c>
      <c r="O338" s="6">
        <v>0.19600000000000001</v>
      </c>
      <c r="P338" s="6">
        <v>0</v>
      </c>
      <c r="Q338" s="4" t="s">
        <v>26</v>
      </c>
      <c r="R338" s="4">
        <v>0</v>
      </c>
      <c r="S338" s="6">
        <v>0</v>
      </c>
      <c r="T338" s="6">
        <v>30</v>
      </c>
      <c r="U338" s="6">
        <v>55</v>
      </c>
      <c r="V338" s="6">
        <f>IF(ISERROR(VLOOKUP($S$338,'TAR FIN'!$A$1:$O$85,15,0)),0,VLOOKUP($S$338,'TAR FIN'!$A$1:$O$85,15,0))</f>
        <v>0</v>
      </c>
      <c r="W338" s="6">
        <f>IF(ISERROR(VLOOKUP($T$338,'TAR FIN'!$A$1:$O$85,15,0)),0,VLOOKUP($T$338,'TAR FIN'!$A$1:$O$85,15,0))</f>
        <v>331.77</v>
      </c>
      <c r="X338" s="6">
        <f>IF(ISERROR(VLOOKUP($U$338,'TAR FIN'!$A$1:$O$85,15,0)),0,VLOOKUP($U$338,'TAR FIN'!$A$1:$O$85,15,0))</f>
        <v>124.36</v>
      </c>
      <c r="Y338" s="6"/>
      <c r="Z338" s="6">
        <f ca="1">('TUSD BE'!$AM$33+'TUSD BF'!$AM$33+'TUSD CVA'!$AM$33)*(1-CUSTOS!$M$38)</f>
        <v>390.73403238820225</v>
      </c>
      <c r="AA338" s="6">
        <f>('TE BE'!$AB$23+'TE BF'!$AB$23+'TE CVA'!$AB$23)*(1-CUSTOS!$M$38)</f>
        <v>127.65788581931002</v>
      </c>
      <c r="AB338" s="6">
        <f>$K$338*$V$338</f>
        <v>0</v>
      </c>
      <c r="AC338" s="6">
        <f>$M$338*$W$338</f>
        <v>65.026920000000004</v>
      </c>
      <c r="AD338" s="6">
        <f>$O$338*$X$338</f>
        <v>24.374560000000002</v>
      </c>
      <c r="AE338" s="6">
        <f>$K$338*$Y$338</f>
        <v>0</v>
      </c>
      <c r="AF338" s="6">
        <f ca="1">$M$338*$Z$338</f>
        <v>76.583870348087643</v>
      </c>
      <c r="AG338" s="6">
        <f>$O$338*$AA$338</f>
        <v>25.020945620584765</v>
      </c>
    </row>
    <row r="339" spans="1:33" ht="11.25" customHeight="1" x14ac:dyDescent="0.25">
      <c r="A339" s="4" t="s">
        <v>21</v>
      </c>
      <c r="B339" s="4" t="s">
        <v>40</v>
      </c>
      <c r="C339" s="4" t="s">
        <v>23</v>
      </c>
      <c r="D339" s="4" t="s">
        <v>41</v>
      </c>
      <c r="E339" s="4" t="s">
        <v>49</v>
      </c>
      <c r="F339" s="4" t="s">
        <v>50</v>
      </c>
      <c r="G339" s="4" t="s">
        <v>25</v>
      </c>
      <c r="H339" s="4" t="s">
        <v>25</v>
      </c>
      <c r="I339" s="5">
        <v>44531</v>
      </c>
      <c r="J339" s="6">
        <v>0</v>
      </c>
      <c r="K339" s="6">
        <v>0</v>
      </c>
      <c r="L339" s="6">
        <v>2.8740000000000001</v>
      </c>
      <c r="M339" s="6">
        <v>2.8740000000000001</v>
      </c>
      <c r="N339" s="6">
        <v>2.8740000000000001</v>
      </c>
      <c r="O339" s="6">
        <v>2.8740000000000001</v>
      </c>
      <c r="P339" s="6">
        <v>0</v>
      </c>
      <c r="Q339" s="4" t="s">
        <v>26</v>
      </c>
      <c r="R339" s="4">
        <v>0</v>
      </c>
      <c r="S339" s="6">
        <v>0</v>
      </c>
      <c r="T339" s="6">
        <v>30</v>
      </c>
      <c r="U339" s="6">
        <v>55</v>
      </c>
      <c r="V339" s="6">
        <f>IF(ISERROR(VLOOKUP($S$339,'TAR FIN'!$A$1:$O$85,15,0)),0,VLOOKUP($S$339,'TAR FIN'!$A$1:$O$85,15,0))</f>
        <v>0</v>
      </c>
      <c r="W339" s="6">
        <f>IF(ISERROR(VLOOKUP($T$339,'TAR FIN'!$A$1:$O$85,15,0)),0,VLOOKUP($T$339,'TAR FIN'!$A$1:$O$85,15,0))</f>
        <v>331.77</v>
      </c>
      <c r="X339" s="6">
        <f>IF(ISERROR(VLOOKUP($U$339,'TAR FIN'!$A$1:$O$85,15,0)),0,VLOOKUP($U$339,'TAR FIN'!$A$1:$O$85,15,0))</f>
        <v>124.36</v>
      </c>
      <c r="Y339" s="6"/>
      <c r="Z339" s="6">
        <f ca="1">('TUSD BE'!$AM$33+'TUSD BF'!$AM$33+'TUSD CVA'!$AM$33)*(1-CUSTOS!$M$38)</f>
        <v>390.73403238820225</v>
      </c>
      <c r="AA339" s="6">
        <f>('TE BE'!$AB$23+'TE BF'!$AB$23+'TE CVA'!$AB$23)*(1-CUSTOS!$M$38)</f>
        <v>127.65788581931002</v>
      </c>
      <c r="AB339" s="6">
        <f>$K$339*$V$339</f>
        <v>0</v>
      </c>
      <c r="AC339" s="6">
        <f>$M$339*$W$339</f>
        <v>953.50698</v>
      </c>
      <c r="AD339" s="6">
        <f>$O$339*$X$339</f>
        <v>357.41064</v>
      </c>
      <c r="AE339" s="6">
        <f>$K$339*$Y$339</f>
        <v>0</v>
      </c>
      <c r="AF339" s="6">
        <f ca="1">$M$339*$Z$339</f>
        <v>1122.9696090836933</v>
      </c>
      <c r="AG339" s="6">
        <f>$O$339*$AA$339</f>
        <v>366.88876384469705</v>
      </c>
    </row>
    <row r="340" spans="1:33" ht="11.25" customHeight="1" x14ac:dyDescent="0.25">
      <c r="A340" s="4" t="s">
        <v>28</v>
      </c>
      <c r="B340" s="4" t="s">
        <v>40</v>
      </c>
      <c r="C340" s="4" t="s">
        <v>23</v>
      </c>
      <c r="D340" s="4" t="s">
        <v>41</v>
      </c>
      <c r="E340" s="4" t="s">
        <v>49</v>
      </c>
      <c r="F340" s="4" t="s">
        <v>50</v>
      </c>
      <c r="G340" s="4" t="s">
        <v>25</v>
      </c>
      <c r="H340" s="4" t="s">
        <v>25</v>
      </c>
      <c r="I340" s="5">
        <v>44531</v>
      </c>
      <c r="J340" s="6">
        <v>0</v>
      </c>
      <c r="K340" s="6">
        <v>0</v>
      </c>
      <c r="L340" s="6">
        <v>0.86199999999999999</v>
      </c>
      <c r="M340" s="6">
        <v>0.86199999999999999</v>
      </c>
      <c r="N340" s="6">
        <v>0.86199999999999999</v>
      </c>
      <c r="O340" s="6">
        <v>0.86199999999999999</v>
      </c>
      <c r="P340" s="6">
        <v>0</v>
      </c>
      <c r="Q340" s="4" t="s">
        <v>26</v>
      </c>
      <c r="R340" s="4">
        <v>0</v>
      </c>
      <c r="S340" s="6">
        <v>0</v>
      </c>
      <c r="T340" s="6">
        <v>30</v>
      </c>
      <c r="U340" s="6">
        <v>55</v>
      </c>
      <c r="V340" s="6">
        <f>IF(ISERROR(VLOOKUP($S$340,'TAR FIN'!$A$1:$O$85,15,0)),0,VLOOKUP($S$340,'TAR FIN'!$A$1:$O$85,15,0))</f>
        <v>0</v>
      </c>
      <c r="W340" s="6">
        <f>IF(ISERROR(VLOOKUP($T$340,'TAR FIN'!$A$1:$O$85,15,0)),0,VLOOKUP($T$340,'TAR FIN'!$A$1:$O$85,15,0))</f>
        <v>331.77</v>
      </c>
      <c r="X340" s="6">
        <f>IF(ISERROR(VLOOKUP($U$340,'TAR FIN'!$A$1:$O$85,15,0)),0,VLOOKUP($U$340,'TAR FIN'!$A$1:$O$85,15,0))</f>
        <v>124.36</v>
      </c>
      <c r="Y340" s="6"/>
      <c r="Z340" s="6">
        <f ca="1">('TUSD BE'!$AM$33+'TUSD BF'!$AM$33+'TUSD CVA'!$AM$33)*(1-CUSTOS!$M$38)</f>
        <v>390.73403238820225</v>
      </c>
      <c r="AA340" s="6">
        <f>('TE BE'!$AB$23+'TE BF'!$AB$23+'TE CVA'!$AB$23)*(1-CUSTOS!$M$38)</f>
        <v>127.65788581931002</v>
      </c>
      <c r="AB340" s="6">
        <f>$K$340*$V$340</f>
        <v>0</v>
      </c>
      <c r="AC340" s="6">
        <f>$M$340*$W$340</f>
        <v>285.98573999999996</v>
      </c>
      <c r="AD340" s="6">
        <f>$O$340*$X$340</f>
        <v>107.19832</v>
      </c>
      <c r="AE340" s="6">
        <f>$K$340*$Y$340</f>
        <v>0</v>
      </c>
      <c r="AF340" s="6">
        <f ca="1">$M$340*$Z$340</f>
        <v>336.81273591863032</v>
      </c>
      <c r="AG340" s="6">
        <f>$O$340*$AA$340</f>
        <v>110.04109757624524</v>
      </c>
    </row>
    <row r="341" spans="1:33" ht="11.25" customHeight="1" x14ac:dyDescent="0.25">
      <c r="A341" s="4" t="s">
        <v>21</v>
      </c>
      <c r="B341" s="4" t="s">
        <v>40</v>
      </c>
      <c r="C341" s="4" t="s">
        <v>23</v>
      </c>
      <c r="D341" s="4" t="s">
        <v>41</v>
      </c>
      <c r="E341" s="4" t="s">
        <v>49</v>
      </c>
      <c r="F341" s="4" t="s">
        <v>50</v>
      </c>
      <c r="G341" s="4" t="s">
        <v>25</v>
      </c>
      <c r="H341" s="4" t="s">
        <v>25</v>
      </c>
      <c r="I341" s="5">
        <v>44562</v>
      </c>
      <c r="J341" s="6">
        <v>0</v>
      </c>
      <c r="K341" s="6">
        <v>0</v>
      </c>
      <c r="L341" s="6">
        <v>4.2919999999999998</v>
      </c>
      <c r="M341" s="6">
        <v>4.2919999999999998</v>
      </c>
      <c r="N341" s="6">
        <v>4.2919999999999998</v>
      </c>
      <c r="O341" s="6">
        <v>4.2919999999999998</v>
      </c>
      <c r="P341" s="6">
        <v>0</v>
      </c>
      <c r="Q341" s="4" t="s">
        <v>26</v>
      </c>
      <c r="R341" s="4">
        <v>0</v>
      </c>
      <c r="S341" s="6">
        <v>0</v>
      </c>
      <c r="T341" s="6">
        <v>30</v>
      </c>
      <c r="U341" s="6">
        <v>55</v>
      </c>
      <c r="V341" s="6">
        <f>IF(ISERROR(VLOOKUP($S$341,'TAR FIN'!$A$1:$O$85,15,0)),0,VLOOKUP($S$341,'TAR FIN'!$A$1:$O$85,15,0))</f>
        <v>0</v>
      </c>
      <c r="W341" s="6">
        <f>IF(ISERROR(VLOOKUP($T$341,'TAR FIN'!$A$1:$O$85,15,0)),0,VLOOKUP($T$341,'TAR FIN'!$A$1:$O$85,15,0))</f>
        <v>331.77</v>
      </c>
      <c r="X341" s="6">
        <f>IF(ISERROR(VLOOKUP($U$341,'TAR FIN'!$A$1:$O$85,15,0)),0,VLOOKUP($U$341,'TAR FIN'!$A$1:$O$85,15,0))</f>
        <v>124.36</v>
      </c>
      <c r="Y341" s="6"/>
      <c r="Z341" s="6">
        <f ca="1">('TUSD BE'!$AM$33+'TUSD BF'!$AM$33+'TUSD CVA'!$AM$33)*(1-CUSTOS!$M$38)</f>
        <v>390.73403238820225</v>
      </c>
      <c r="AA341" s="6">
        <f>('TE BE'!$AB$23+'TE BF'!$AB$23+'TE CVA'!$AB$23)*(1-CUSTOS!$M$38)</f>
        <v>127.65788581931002</v>
      </c>
      <c r="AB341" s="6">
        <f>$K$341*$V$341</f>
        <v>0</v>
      </c>
      <c r="AC341" s="6">
        <f>$M$341*$W$341</f>
        <v>1423.9568399999998</v>
      </c>
      <c r="AD341" s="6">
        <f>$O$341*$X$341</f>
        <v>533.75311999999997</v>
      </c>
      <c r="AE341" s="6">
        <f>$K$341*$Y$341</f>
        <v>0</v>
      </c>
      <c r="AF341" s="6">
        <f ca="1">$M$341*$Z$341</f>
        <v>1677.0304670101641</v>
      </c>
      <c r="AG341" s="6">
        <f>$O$341*$AA$341</f>
        <v>547.90764593647862</v>
      </c>
    </row>
    <row r="342" spans="1:33" ht="11.25" customHeight="1" x14ac:dyDescent="0.25">
      <c r="A342" s="4" t="s">
        <v>28</v>
      </c>
      <c r="B342" s="4" t="s">
        <v>40</v>
      </c>
      <c r="C342" s="4" t="s">
        <v>23</v>
      </c>
      <c r="D342" s="4" t="s">
        <v>41</v>
      </c>
      <c r="E342" s="4" t="s">
        <v>49</v>
      </c>
      <c r="F342" s="4" t="s">
        <v>50</v>
      </c>
      <c r="G342" s="4" t="s">
        <v>25</v>
      </c>
      <c r="H342" s="4" t="s">
        <v>25</v>
      </c>
      <c r="I342" s="5">
        <v>44562</v>
      </c>
      <c r="J342" s="6">
        <v>0</v>
      </c>
      <c r="K342" s="6">
        <v>0</v>
      </c>
      <c r="L342" s="6">
        <v>0.44400000000000001</v>
      </c>
      <c r="M342" s="6">
        <v>0.44400000000000001</v>
      </c>
      <c r="N342" s="6">
        <v>0.44400000000000001</v>
      </c>
      <c r="O342" s="6">
        <v>0.44400000000000001</v>
      </c>
      <c r="P342" s="6">
        <v>0</v>
      </c>
      <c r="Q342" s="4" t="s">
        <v>26</v>
      </c>
      <c r="R342" s="4">
        <v>0</v>
      </c>
      <c r="S342" s="6">
        <v>0</v>
      </c>
      <c r="T342" s="6">
        <v>30</v>
      </c>
      <c r="U342" s="6">
        <v>55</v>
      </c>
      <c r="V342" s="6">
        <f>IF(ISERROR(VLOOKUP($S$342,'TAR FIN'!$A$1:$O$85,15,0)),0,VLOOKUP($S$342,'TAR FIN'!$A$1:$O$85,15,0))</f>
        <v>0</v>
      </c>
      <c r="W342" s="6">
        <f>IF(ISERROR(VLOOKUP($T$342,'TAR FIN'!$A$1:$O$85,15,0)),0,VLOOKUP($T$342,'TAR FIN'!$A$1:$O$85,15,0))</f>
        <v>331.77</v>
      </c>
      <c r="X342" s="6">
        <f>IF(ISERROR(VLOOKUP($U$342,'TAR FIN'!$A$1:$O$85,15,0)),0,VLOOKUP($U$342,'TAR FIN'!$A$1:$O$85,15,0))</f>
        <v>124.36</v>
      </c>
      <c r="Y342" s="6"/>
      <c r="Z342" s="6">
        <f ca="1">('TUSD BE'!$AM$33+'TUSD BF'!$AM$33+'TUSD CVA'!$AM$33)*(1-CUSTOS!$M$38)</f>
        <v>390.73403238820225</v>
      </c>
      <c r="AA342" s="6">
        <f>('TE BE'!$AB$23+'TE BF'!$AB$23+'TE CVA'!$AB$23)*(1-CUSTOS!$M$38)</f>
        <v>127.65788581931002</v>
      </c>
      <c r="AB342" s="6">
        <f>$K$342*$V$342</f>
        <v>0</v>
      </c>
      <c r="AC342" s="6">
        <f>$M$342*$W$342</f>
        <v>147.30588</v>
      </c>
      <c r="AD342" s="6">
        <f>$O$342*$X$342</f>
        <v>55.21584</v>
      </c>
      <c r="AE342" s="6">
        <f>$K$342*$Y$342</f>
        <v>0</v>
      </c>
      <c r="AF342" s="6">
        <f ca="1">$M$342*$Z$342</f>
        <v>173.48591038036182</v>
      </c>
      <c r="AG342" s="6">
        <f>$O$342*$AA$342</f>
        <v>56.680101303773654</v>
      </c>
    </row>
    <row r="343" spans="1:33" ht="11.25" customHeight="1" x14ac:dyDescent="0.25">
      <c r="A343" s="4" t="s">
        <v>21</v>
      </c>
      <c r="B343" s="4" t="s">
        <v>40</v>
      </c>
      <c r="C343" s="4" t="s">
        <v>23</v>
      </c>
      <c r="D343" s="4" t="s">
        <v>41</v>
      </c>
      <c r="E343" s="4" t="s">
        <v>49</v>
      </c>
      <c r="F343" s="4" t="s">
        <v>50</v>
      </c>
      <c r="G343" s="4" t="s">
        <v>25</v>
      </c>
      <c r="H343" s="4" t="s">
        <v>25</v>
      </c>
      <c r="I343" s="5">
        <v>44593</v>
      </c>
      <c r="J343" s="6">
        <v>0</v>
      </c>
      <c r="K343" s="6">
        <v>0</v>
      </c>
      <c r="L343" s="6">
        <v>4.452</v>
      </c>
      <c r="M343" s="6">
        <v>4.452</v>
      </c>
      <c r="N343" s="6">
        <v>4.452</v>
      </c>
      <c r="O343" s="6">
        <v>4.452</v>
      </c>
      <c r="P343" s="6">
        <v>0</v>
      </c>
      <c r="Q343" s="4" t="s">
        <v>26</v>
      </c>
      <c r="R343" s="4">
        <v>0</v>
      </c>
      <c r="S343" s="6">
        <v>0</v>
      </c>
      <c r="T343" s="6">
        <v>30</v>
      </c>
      <c r="U343" s="6">
        <v>55</v>
      </c>
      <c r="V343" s="6">
        <f>IF(ISERROR(VLOOKUP($S$343,'TAR FIN'!$A$1:$O$85,15,0)),0,VLOOKUP($S$343,'TAR FIN'!$A$1:$O$85,15,0))</f>
        <v>0</v>
      </c>
      <c r="W343" s="6">
        <f>IF(ISERROR(VLOOKUP($T$343,'TAR FIN'!$A$1:$O$85,15,0)),0,VLOOKUP($T$343,'TAR FIN'!$A$1:$O$85,15,0))</f>
        <v>331.77</v>
      </c>
      <c r="X343" s="6">
        <f>IF(ISERROR(VLOOKUP($U$343,'TAR FIN'!$A$1:$O$85,15,0)),0,VLOOKUP($U$343,'TAR FIN'!$A$1:$O$85,15,0))</f>
        <v>124.36</v>
      </c>
      <c r="Y343" s="6"/>
      <c r="Z343" s="6">
        <f ca="1">('TUSD BE'!$AM$33+'TUSD BF'!$AM$33+'TUSD CVA'!$AM$33)*(1-CUSTOS!$M$38)</f>
        <v>390.73403238820225</v>
      </c>
      <c r="AA343" s="6">
        <f>('TE BE'!$AB$23+'TE BF'!$AB$23+'TE CVA'!$AB$23)*(1-CUSTOS!$M$38)</f>
        <v>127.65788581931002</v>
      </c>
      <c r="AB343" s="6">
        <f>$K$343*$V$343</f>
        <v>0</v>
      </c>
      <c r="AC343" s="6">
        <f>$M$343*$W$343</f>
        <v>1477.0400399999999</v>
      </c>
      <c r="AD343" s="6">
        <f>$O$343*$X$343</f>
        <v>553.65071999999998</v>
      </c>
      <c r="AE343" s="6">
        <f>$K$343*$Y$343</f>
        <v>0</v>
      </c>
      <c r="AF343" s="6">
        <f ca="1">$M$343*$Z$343</f>
        <v>1739.5479121922765</v>
      </c>
      <c r="AG343" s="6">
        <f>$O$343*$AA$343</f>
        <v>568.33290766756818</v>
      </c>
    </row>
    <row r="344" spans="1:33" ht="11.25" customHeight="1" x14ac:dyDescent="0.25">
      <c r="A344" s="4" t="s">
        <v>28</v>
      </c>
      <c r="B344" s="4" t="s">
        <v>40</v>
      </c>
      <c r="C344" s="4" t="s">
        <v>23</v>
      </c>
      <c r="D344" s="4" t="s">
        <v>41</v>
      </c>
      <c r="E344" s="4" t="s">
        <v>49</v>
      </c>
      <c r="F344" s="4" t="s">
        <v>50</v>
      </c>
      <c r="G344" s="4" t="s">
        <v>25</v>
      </c>
      <c r="H344" s="4" t="s">
        <v>25</v>
      </c>
      <c r="I344" s="5">
        <v>44593</v>
      </c>
      <c r="J344" s="6">
        <v>0</v>
      </c>
      <c r="K344" s="6">
        <v>0</v>
      </c>
      <c r="L344" s="6">
        <v>0.33800000000000002</v>
      </c>
      <c r="M344" s="6">
        <v>0.33800000000000002</v>
      </c>
      <c r="N344" s="6">
        <v>0.33800000000000002</v>
      </c>
      <c r="O344" s="6">
        <v>0.33800000000000002</v>
      </c>
      <c r="P344" s="6">
        <v>0</v>
      </c>
      <c r="Q344" s="4" t="s">
        <v>26</v>
      </c>
      <c r="R344" s="4">
        <v>0</v>
      </c>
      <c r="S344" s="6">
        <v>0</v>
      </c>
      <c r="T344" s="6">
        <v>30</v>
      </c>
      <c r="U344" s="6">
        <v>55</v>
      </c>
      <c r="V344" s="6">
        <f>IF(ISERROR(VLOOKUP($S$344,'TAR FIN'!$A$1:$O$85,15,0)),0,VLOOKUP($S$344,'TAR FIN'!$A$1:$O$85,15,0))</f>
        <v>0</v>
      </c>
      <c r="W344" s="6">
        <f>IF(ISERROR(VLOOKUP($T$344,'TAR FIN'!$A$1:$O$85,15,0)),0,VLOOKUP($T$344,'TAR FIN'!$A$1:$O$85,15,0))</f>
        <v>331.77</v>
      </c>
      <c r="X344" s="6">
        <f>IF(ISERROR(VLOOKUP($U$344,'TAR FIN'!$A$1:$O$85,15,0)),0,VLOOKUP($U$344,'TAR FIN'!$A$1:$O$85,15,0))</f>
        <v>124.36</v>
      </c>
      <c r="Y344" s="6"/>
      <c r="Z344" s="6">
        <f ca="1">('TUSD BE'!$AM$33+'TUSD BF'!$AM$33+'TUSD CVA'!$AM$33)*(1-CUSTOS!$M$38)</f>
        <v>390.73403238820225</v>
      </c>
      <c r="AA344" s="6">
        <f>('TE BE'!$AB$23+'TE BF'!$AB$23+'TE CVA'!$AB$23)*(1-CUSTOS!$M$38)</f>
        <v>127.65788581931002</v>
      </c>
      <c r="AB344" s="6">
        <f>$K$344*$V$344</f>
        <v>0</v>
      </c>
      <c r="AC344" s="6">
        <f>$M$344*$W$344</f>
        <v>112.13826</v>
      </c>
      <c r="AD344" s="6">
        <f>$O$344*$X$344</f>
        <v>42.033680000000004</v>
      </c>
      <c r="AE344" s="6">
        <f>$K$344*$Y$344</f>
        <v>0</v>
      </c>
      <c r="AF344" s="6">
        <f ca="1">$M$344*$Z$344</f>
        <v>132.06810294721237</v>
      </c>
      <c r="AG344" s="6">
        <f>$O$344*$AA$344</f>
        <v>43.148365406926793</v>
      </c>
    </row>
    <row r="345" spans="1:33" ht="11.25" customHeight="1" x14ac:dyDescent="0.25">
      <c r="A345" s="4" t="s">
        <v>21</v>
      </c>
      <c r="B345" s="4" t="s">
        <v>40</v>
      </c>
      <c r="C345" s="4" t="s">
        <v>23</v>
      </c>
      <c r="D345" s="4" t="s">
        <v>41</v>
      </c>
      <c r="E345" s="4" t="s">
        <v>49</v>
      </c>
      <c r="F345" s="4" t="s">
        <v>50</v>
      </c>
      <c r="G345" s="4" t="s">
        <v>25</v>
      </c>
      <c r="H345" s="4" t="s">
        <v>25</v>
      </c>
      <c r="I345" s="5">
        <v>44621</v>
      </c>
      <c r="J345" s="6">
        <v>0</v>
      </c>
      <c r="K345" s="6">
        <v>0</v>
      </c>
      <c r="L345" s="6">
        <v>3.6970000000000001</v>
      </c>
      <c r="M345" s="6">
        <v>3.6970000000000001</v>
      </c>
      <c r="N345" s="6">
        <v>3.6970000000000001</v>
      </c>
      <c r="O345" s="6">
        <v>3.6970000000000001</v>
      </c>
      <c r="P345" s="6">
        <v>0</v>
      </c>
      <c r="Q345" s="4" t="s">
        <v>26</v>
      </c>
      <c r="R345" s="4">
        <v>0</v>
      </c>
      <c r="S345" s="6">
        <v>0</v>
      </c>
      <c r="T345" s="6">
        <v>30</v>
      </c>
      <c r="U345" s="6">
        <v>55</v>
      </c>
      <c r="V345" s="6">
        <f>IF(ISERROR(VLOOKUP($S$345,'TAR FIN'!$A$1:$O$85,15,0)),0,VLOOKUP($S$345,'TAR FIN'!$A$1:$O$85,15,0))</f>
        <v>0</v>
      </c>
      <c r="W345" s="6">
        <f>IF(ISERROR(VLOOKUP($T$345,'TAR FIN'!$A$1:$O$85,15,0)),0,VLOOKUP($T$345,'TAR FIN'!$A$1:$O$85,15,0))</f>
        <v>331.77</v>
      </c>
      <c r="X345" s="6">
        <f>IF(ISERROR(VLOOKUP($U$345,'TAR FIN'!$A$1:$O$85,15,0)),0,VLOOKUP($U$345,'TAR FIN'!$A$1:$O$85,15,0))</f>
        <v>124.36</v>
      </c>
      <c r="Y345" s="6"/>
      <c r="Z345" s="6">
        <f ca="1">('TUSD BE'!$AM$33+'TUSD BF'!$AM$33+'TUSD CVA'!$AM$33)*(1-CUSTOS!$M$38)</f>
        <v>390.73403238820225</v>
      </c>
      <c r="AA345" s="6">
        <f>('TE BE'!$AB$23+'TE BF'!$AB$23+'TE CVA'!$AB$23)*(1-CUSTOS!$M$38)</f>
        <v>127.65788581931002</v>
      </c>
      <c r="AB345" s="6">
        <f>$K$345*$V$345</f>
        <v>0</v>
      </c>
      <c r="AC345" s="6">
        <f>$M$345*$W$345</f>
        <v>1226.55369</v>
      </c>
      <c r="AD345" s="6">
        <f>$O$345*$X$345</f>
        <v>459.75891999999999</v>
      </c>
      <c r="AE345" s="6">
        <f>$K$345*$Y$345</f>
        <v>0</v>
      </c>
      <c r="AF345" s="6">
        <f ca="1">$M$345*$Z$345</f>
        <v>1444.5437177391836</v>
      </c>
      <c r="AG345" s="6">
        <f>$O$345*$AA$345</f>
        <v>471.95120387398919</v>
      </c>
    </row>
    <row r="346" spans="1:33" ht="11.25" customHeight="1" x14ac:dyDescent="0.25">
      <c r="A346" s="4" t="s">
        <v>28</v>
      </c>
      <c r="B346" s="4" t="s">
        <v>40</v>
      </c>
      <c r="C346" s="4" t="s">
        <v>23</v>
      </c>
      <c r="D346" s="4" t="s">
        <v>41</v>
      </c>
      <c r="E346" s="4" t="s">
        <v>49</v>
      </c>
      <c r="F346" s="4" t="s">
        <v>50</v>
      </c>
      <c r="G346" s="4" t="s">
        <v>25</v>
      </c>
      <c r="H346" s="4" t="s">
        <v>25</v>
      </c>
      <c r="I346" s="5">
        <v>44621</v>
      </c>
      <c r="J346" s="6">
        <v>0</v>
      </c>
      <c r="K346" s="6">
        <v>0</v>
      </c>
      <c r="L346" s="6">
        <v>0.374</v>
      </c>
      <c r="M346" s="6">
        <v>0.374</v>
      </c>
      <c r="N346" s="6">
        <v>0.374</v>
      </c>
      <c r="O346" s="6">
        <v>0.374</v>
      </c>
      <c r="P346" s="6">
        <v>0</v>
      </c>
      <c r="Q346" s="4" t="s">
        <v>26</v>
      </c>
      <c r="R346" s="4">
        <v>0</v>
      </c>
      <c r="S346" s="6">
        <v>0</v>
      </c>
      <c r="T346" s="6">
        <v>30</v>
      </c>
      <c r="U346" s="6">
        <v>55</v>
      </c>
      <c r="V346" s="6">
        <f>IF(ISERROR(VLOOKUP($S$346,'TAR FIN'!$A$1:$O$85,15,0)),0,VLOOKUP($S$346,'TAR FIN'!$A$1:$O$85,15,0))</f>
        <v>0</v>
      </c>
      <c r="W346" s="6">
        <f>IF(ISERROR(VLOOKUP($T$346,'TAR FIN'!$A$1:$O$85,15,0)),0,VLOOKUP($T$346,'TAR FIN'!$A$1:$O$85,15,0))</f>
        <v>331.77</v>
      </c>
      <c r="X346" s="6">
        <f>IF(ISERROR(VLOOKUP($U$346,'TAR FIN'!$A$1:$O$85,15,0)),0,VLOOKUP($U$346,'TAR FIN'!$A$1:$O$85,15,0))</f>
        <v>124.36</v>
      </c>
      <c r="Y346" s="6"/>
      <c r="Z346" s="6">
        <f ca="1">('TUSD BE'!$AM$33+'TUSD BF'!$AM$33+'TUSD CVA'!$AM$33)*(1-CUSTOS!$M$38)</f>
        <v>390.73403238820225</v>
      </c>
      <c r="AA346" s="6">
        <f>('TE BE'!$AB$23+'TE BF'!$AB$23+'TE CVA'!$AB$23)*(1-CUSTOS!$M$38)</f>
        <v>127.65788581931002</v>
      </c>
      <c r="AB346" s="6">
        <f>$K$346*$V$346</f>
        <v>0</v>
      </c>
      <c r="AC346" s="6">
        <f>$M$346*$W$346</f>
        <v>124.08197999999999</v>
      </c>
      <c r="AD346" s="6">
        <f>$O$346*$X$346</f>
        <v>46.510640000000002</v>
      </c>
      <c r="AE346" s="6">
        <f>$K$346*$Y$346</f>
        <v>0</v>
      </c>
      <c r="AF346" s="6">
        <f ca="1">$M$346*$Z$346</f>
        <v>146.13452811318763</v>
      </c>
      <c r="AG346" s="6">
        <f>$O$346*$AA$346</f>
        <v>47.744049296421949</v>
      </c>
    </row>
    <row r="347" spans="1:33" ht="11.25" customHeight="1" x14ac:dyDescent="0.25">
      <c r="A347" s="4" t="s">
        <v>21</v>
      </c>
      <c r="B347" s="4" t="s">
        <v>40</v>
      </c>
      <c r="C347" s="4" t="s">
        <v>23</v>
      </c>
      <c r="D347" s="4" t="s">
        <v>41</v>
      </c>
      <c r="E347" s="4" t="s">
        <v>49</v>
      </c>
      <c r="F347" s="4" t="s">
        <v>50</v>
      </c>
      <c r="G347" s="4" t="s">
        <v>25</v>
      </c>
      <c r="H347" s="4" t="s">
        <v>25</v>
      </c>
      <c r="I347" s="5">
        <v>44652</v>
      </c>
      <c r="J347" s="6">
        <v>0</v>
      </c>
      <c r="K347" s="6">
        <v>0</v>
      </c>
      <c r="L347" s="6">
        <v>3.0859999999999999</v>
      </c>
      <c r="M347" s="6">
        <v>3.0859999999999999</v>
      </c>
      <c r="N347" s="6">
        <v>3.0859999999999999</v>
      </c>
      <c r="O347" s="6">
        <v>3.0859999999999999</v>
      </c>
      <c r="P347" s="6">
        <v>0</v>
      </c>
      <c r="Q347" s="4" t="s">
        <v>26</v>
      </c>
      <c r="R347" s="4">
        <v>0</v>
      </c>
      <c r="S347" s="6">
        <v>0</v>
      </c>
      <c r="T347" s="6">
        <v>30</v>
      </c>
      <c r="U347" s="6">
        <v>55</v>
      </c>
      <c r="V347" s="6">
        <f>IF(ISERROR(VLOOKUP($S$347,'TAR FIN'!$A$1:$O$85,15,0)),0,VLOOKUP($S$347,'TAR FIN'!$A$1:$O$85,15,0))</f>
        <v>0</v>
      </c>
      <c r="W347" s="6">
        <f>IF(ISERROR(VLOOKUP($T$347,'TAR FIN'!$A$1:$O$85,15,0)),0,VLOOKUP($T$347,'TAR FIN'!$A$1:$O$85,15,0))</f>
        <v>331.77</v>
      </c>
      <c r="X347" s="6">
        <f>IF(ISERROR(VLOOKUP($U$347,'TAR FIN'!$A$1:$O$85,15,0)),0,VLOOKUP($U$347,'TAR FIN'!$A$1:$O$85,15,0))</f>
        <v>124.36</v>
      </c>
      <c r="Y347" s="6"/>
      <c r="Z347" s="6">
        <f ca="1">('TUSD BE'!$AM$33+'TUSD BF'!$AM$33+'TUSD CVA'!$AM$33)*(1-CUSTOS!$M$38)</f>
        <v>390.73403238820225</v>
      </c>
      <c r="AA347" s="6">
        <f>('TE BE'!$AB$23+'TE BF'!$AB$23+'TE CVA'!$AB$23)*(1-CUSTOS!$M$38)</f>
        <v>127.65788581931002</v>
      </c>
      <c r="AB347" s="6">
        <f>$K$347*$V$347</f>
        <v>0</v>
      </c>
      <c r="AC347" s="6">
        <f>$M$347*$W$347</f>
        <v>1023.8422199999999</v>
      </c>
      <c r="AD347" s="6">
        <f>$O$347*$X$347</f>
        <v>383.77495999999996</v>
      </c>
      <c r="AE347" s="6">
        <f>$K$347*$Y$347</f>
        <v>0</v>
      </c>
      <c r="AF347" s="6">
        <f ca="1">$M$347*$Z$347</f>
        <v>1205.8052239499921</v>
      </c>
      <c r="AG347" s="6">
        <f>$O$347*$AA$347</f>
        <v>393.95223563839073</v>
      </c>
    </row>
    <row r="348" spans="1:33" ht="11.25" customHeight="1" x14ac:dyDescent="0.25">
      <c r="A348" s="4" t="s">
        <v>28</v>
      </c>
      <c r="B348" s="4" t="s">
        <v>40</v>
      </c>
      <c r="C348" s="4" t="s">
        <v>23</v>
      </c>
      <c r="D348" s="4" t="s">
        <v>41</v>
      </c>
      <c r="E348" s="4" t="s">
        <v>49</v>
      </c>
      <c r="F348" s="4" t="s">
        <v>50</v>
      </c>
      <c r="G348" s="4" t="s">
        <v>25</v>
      </c>
      <c r="H348" s="4" t="s">
        <v>25</v>
      </c>
      <c r="I348" s="5">
        <v>44652</v>
      </c>
      <c r="J348" s="6">
        <v>0</v>
      </c>
      <c r="K348" s="6">
        <v>0</v>
      </c>
      <c r="L348" s="6">
        <v>0.23699999999999999</v>
      </c>
      <c r="M348" s="6">
        <v>0.23699999999999999</v>
      </c>
      <c r="N348" s="6">
        <v>0.23699999999999999</v>
      </c>
      <c r="O348" s="6">
        <v>0.23699999999999999</v>
      </c>
      <c r="P348" s="6">
        <v>0</v>
      </c>
      <c r="Q348" s="4" t="s">
        <v>26</v>
      </c>
      <c r="R348" s="4">
        <v>0</v>
      </c>
      <c r="S348" s="6">
        <v>0</v>
      </c>
      <c r="T348" s="6">
        <v>30</v>
      </c>
      <c r="U348" s="6">
        <v>55</v>
      </c>
      <c r="V348" s="6">
        <f>IF(ISERROR(VLOOKUP($S$348,'TAR FIN'!$A$1:$O$85,15,0)),0,VLOOKUP($S$348,'TAR FIN'!$A$1:$O$85,15,0))</f>
        <v>0</v>
      </c>
      <c r="W348" s="6">
        <f>IF(ISERROR(VLOOKUP($T$348,'TAR FIN'!$A$1:$O$85,15,0)),0,VLOOKUP($T$348,'TAR FIN'!$A$1:$O$85,15,0))</f>
        <v>331.77</v>
      </c>
      <c r="X348" s="6">
        <f>IF(ISERROR(VLOOKUP($U$348,'TAR FIN'!$A$1:$O$85,15,0)),0,VLOOKUP($U$348,'TAR FIN'!$A$1:$O$85,15,0))</f>
        <v>124.36</v>
      </c>
      <c r="Y348" s="6"/>
      <c r="Z348" s="6">
        <f ca="1">('TUSD BE'!$AM$33+'TUSD BF'!$AM$33+'TUSD CVA'!$AM$33)*(1-CUSTOS!$M$38)</f>
        <v>390.73403238820225</v>
      </c>
      <c r="AA348" s="6">
        <f>('TE BE'!$AB$23+'TE BF'!$AB$23+'TE CVA'!$AB$23)*(1-CUSTOS!$M$38)</f>
        <v>127.65788581931002</v>
      </c>
      <c r="AB348" s="6">
        <f>$K$348*$V$348</f>
        <v>0</v>
      </c>
      <c r="AC348" s="6">
        <f>$M$348*$W$348</f>
        <v>78.62948999999999</v>
      </c>
      <c r="AD348" s="6">
        <f>$O$348*$X$348</f>
        <v>29.473319999999998</v>
      </c>
      <c r="AE348" s="6">
        <f>$K$348*$Y$348</f>
        <v>0</v>
      </c>
      <c r="AF348" s="6">
        <f ca="1">$M$348*$Z$348</f>
        <v>92.603965676003924</v>
      </c>
      <c r="AG348" s="6">
        <f>$O$348*$AA$348</f>
        <v>30.254918939176473</v>
      </c>
    </row>
    <row r="349" spans="1:33" ht="11.25" customHeight="1" x14ac:dyDescent="0.25">
      <c r="A349" s="4" t="s">
        <v>21</v>
      </c>
      <c r="B349" s="4" t="s">
        <v>40</v>
      </c>
      <c r="C349" s="4" t="s">
        <v>23</v>
      </c>
      <c r="D349" s="4" t="s">
        <v>41</v>
      </c>
      <c r="E349" s="4" t="s">
        <v>49</v>
      </c>
      <c r="F349" s="4" t="s">
        <v>50</v>
      </c>
      <c r="G349" s="4" t="s">
        <v>25</v>
      </c>
      <c r="H349" s="4" t="s">
        <v>25</v>
      </c>
      <c r="I349" s="5">
        <v>44682</v>
      </c>
      <c r="J349" s="6">
        <v>0</v>
      </c>
      <c r="K349" s="6">
        <v>0</v>
      </c>
      <c r="L349" s="6">
        <v>2.173</v>
      </c>
      <c r="M349" s="6">
        <v>2.173</v>
      </c>
      <c r="N349" s="6">
        <v>2.173</v>
      </c>
      <c r="O349" s="6">
        <v>2.173</v>
      </c>
      <c r="P349" s="6">
        <v>0</v>
      </c>
      <c r="Q349" s="4" t="s">
        <v>26</v>
      </c>
      <c r="R349" s="4">
        <v>0</v>
      </c>
      <c r="S349" s="6">
        <v>0</v>
      </c>
      <c r="T349" s="6">
        <v>30</v>
      </c>
      <c r="U349" s="6">
        <v>55</v>
      </c>
      <c r="V349" s="6">
        <f>IF(ISERROR(VLOOKUP($S$349,'TAR FIN'!$A$1:$O$85,15,0)),0,VLOOKUP($S$349,'TAR FIN'!$A$1:$O$85,15,0))</f>
        <v>0</v>
      </c>
      <c r="W349" s="6">
        <f>IF(ISERROR(VLOOKUP($T$349,'TAR FIN'!$A$1:$O$85,15,0)),0,VLOOKUP($T$349,'TAR FIN'!$A$1:$O$85,15,0))</f>
        <v>331.77</v>
      </c>
      <c r="X349" s="6">
        <f>IF(ISERROR(VLOOKUP($U$349,'TAR FIN'!$A$1:$O$85,15,0)),0,VLOOKUP($U$349,'TAR FIN'!$A$1:$O$85,15,0))</f>
        <v>124.36</v>
      </c>
      <c r="Y349" s="6"/>
      <c r="Z349" s="6">
        <f ca="1">('TUSD BE'!$AM$33+'TUSD BF'!$AM$33+'TUSD CVA'!$AM$33)*(1-CUSTOS!$M$38)</f>
        <v>390.73403238820225</v>
      </c>
      <c r="AA349" s="6">
        <f>('TE BE'!$AB$23+'TE BF'!$AB$23+'TE CVA'!$AB$23)*(1-CUSTOS!$M$38)</f>
        <v>127.65788581931002</v>
      </c>
      <c r="AB349" s="6">
        <f>$K$349*$V$349</f>
        <v>0</v>
      </c>
      <c r="AC349" s="6">
        <f>$M$349*$W$349</f>
        <v>720.93620999999996</v>
      </c>
      <c r="AD349" s="6">
        <f>$O$349*$X$349</f>
        <v>270.23428000000001</v>
      </c>
      <c r="AE349" s="6">
        <f>$K$349*$Y$349</f>
        <v>0</v>
      </c>
      <c r="AF349" s="6">
        <f ca="1">$M$349*$Z$349</f>
        <v>849.06505237956355</v>
      </c>
      <c r="AG349" s="6">
        <f>$O$349*$AA$349</f>
        <v>277.40058588536067</v>
      </c>
    </row>
    <row r="350" spans="1:33" ht="11.25" customHeight="1" x14ac:dyDescent="0.25">
      <c r="A350" s="4" t="s">
        <v>28</v>
      </c>
      <c r="B350" s="4" t="s">
        <v>40</v>
      </c>
      <c r="C350" s="4" t="s">
        <v>23</v>
      </c>
      <c r="D350" s="4" t="s">
        <v>41</v>
      </c>
      <c r="E350" s="4" t="s">
        <v>49</v>
      </c>
      <c r="F350" s="4" t="s">
        <v>50</v>
      </c>
      <c r="G350" s="4" t="s">
        <v>25</v>
      </c>
      <c r="H350" s="4" t="s">
        <v>25</v>
      </c>
      <c r="I350" s="5">
        <v>44682</v>
      </c>
      <c r="J350" s="6">
        <v>0</v>
      </c>
      <c r="K350" s="6">
        <v>0</v>
      </c>
      <c r="L350" s="6">
        <v>0.34200000000000003</v>
      </c>
      <c r="M350" s="6">
        <v>0.34200000000000003</v>
      </c>
      <c r="N350" s="6">
        <v>0.34200000000000003</v>
      </c>
      <c r="O350" s="6">
        <v>0.34200000000000003</v>
      </c>
      <c r="P350" s="6">
        <v>0</v>
      </c>
      <c r="Q350" s="4" t="s">
        <v>26</v>
      </c>
      <c r="R350" s="4">
        <v>0</v>
      </c>
      <c r="S350" s="6">
        <v>0</v>
      </c>
      <c r="T350" s="6">
        <v>30</v>
      </c>
      <c r="U350" s="6">
        <v>55</v>
      </c>
      <c r="V350" s="6">
        <f>IF(ISERROR(VLOOKUP($S$350,'TAR FIN'!$A$1:$O$85,15,0)),0,VLOOKUP($S$350,'TAR FIN'!$A$1:$O$85,15,0))</f>
        <v>0</v>
      </c>
      <c r="W350" s="6">
        <f>IF(ISERROR(VLOOKUP($T$350,'TAR FIN'!$A$1:$O$85,15,0)),0,VLOOKUP($T$350,'TAR FIN'!$A$1:$O$85,15,0))</f>
        <v>331.77</v>
      </c>
      <c r="X350" s="6">
        <f>IF(ISERROR(VLOOKUP($U$350,'TAR FIN'!$A$1:$O$85,15,0)),0,VLOOKUP($U$350,'TAR FIN'!$A$1:$O$85,15,0))</f>
        <v>124.36</v>
      </c>
      <c r="Y350" s="6"/>
      <c r="Z350" s="6">
        <f ca="1">('TUSD BE'!$AM$33+'TUSD BF'!$AM$33+'TUSD CVA'!$AM$33)*(1-CUSTOS!$M$38)</f>
        <v>390.73403238820225</v>
      </c>
      <c r="AA350" s="6">
        <f>('TE BE'!$AB$23+'TE BF'!$AB$23+'TE CVA'!$AB$23)*(1-CUSTOS!$M$38)</f>
        <v>127.65788581931002</v>
      </c>
      <c r="AB350" s="6">
        <f>$K$350*$V$350</f>
        <v>0</v>
      </c>
      <c r="AC350" s="6">
        <f>$M$350*$W$350</f>
        <v>113.46534</v>
      </c>
      <c r="AD350" s="6">
        <f>$O$350*$X$350</f>
        <v>42.531120000000001</v>
      </c>
      <c r="AE350" s="6">
        <f>$K$350*$Y$350</f>
        <v>0</v>
      </c>
      <c r="AF350" s="6">
        <f ca="1">$M$350*$Z$350</f>
        <v>133.63103907676518</v>
      </c>
      <c r="AG350" s="6">
        <f>$O$350*$AA$350</f>
        <v>43.658996950204035</v>
      </c>
    </row>
    <row r="351" spans="1:33" ht="11.25" customHeight="1" x14ac:dyDescent="0.25">
      <c r="A351" s="4" t="s">
        <v>21</v>
      </c>
      <c r="B351" s="4" t="s">
        <v>40</v>
      </c>
      <c r="C351" s="4" t="s">
        <v>23</v>
      </c>
      <c r="D351" s="4" t="s">
        <v>41</v>
      </c>
      <c r="E351" s="4" t="s">
        <v>49</v>
      </c>
      <c r="F351" s="4" t="s">
        <v>50</v>
      </c>
      <c r="G351" s="4" t="s">
        <v>25</v>
      </c>
      <c r="H351" s="4" t="s">
        <v>25</v>
      </c>
      <c r="I351" s="5">
        <v>44713</v>
      </c>
      <c r="J351" s="6">
        <v>0</v>
      </c>
      <c r="K351" s="6">
        <v>0</v>
      </c>
      <c r="L351" s="6">
        <v>3.0910000000000002</v>
      </c>
      <c r="M351" s="6">
        <v>3.0910000000000002</v>
      </c>
      <c r="N351" s="6">
        <v>3.0910000000000002</v>
      </c>
      <c r="O351" s="6">
        <v>3.0910000000000002</v>
      </c>
      <c r="P351" s="6">
        <v>0</v>
      </c>
      <c r="Q351" s="4" t="s">
        <v>26</v>
      </c>
      <c r="R351" s="4">
        <v>0</v>
      </c>
      <c r="S351" s="6">
        <v>0</v>
      </c>
      <c r="T351" s="6">
        <v>30</v>
      </c>
      <c r="U351" s="6">
        <v>55</v>
      </c>
      <c r="V351" s="6">
        <f>IF(ISERROR(VLOOKUP($S$351,'TAR FIN'!$A$1:$O$85,15,0)),0,VLOOKUP($S$351,'TAR FIN'!$A$1:$O$85,15,0))</f>
        <v>0</v>
      </c>
      <c r="W351" s="6">
        <f>IF(ISERROR(VLOOKUP($T$351,'TAR FIN'!$A$1:$O$85,15,0)),0,VLOOKUP($T$351,'TAR FIN'!$A$1:$O$85,15,0))</f>
        <v>331.77</v>
      </c>
      <c r="X351" s="6">
        <f>IF(ISERROR(VLOOKUP($U$351,'TAR FIN'!$A$1:$O$85,15,0)),0,VLOOKUP($U$351,'TAR FIN'!$A$1:$O$85,15,0))</f>
        <v>124.36</v>
      </c>
      <c r="Y351" s="6"/>
      <c r="Z351" s="6">
        <f ca="1">('TUSD BE'!$AM$33+'TUSD BF'!$AM$33+'TUSD CVA'!$AM$33)*(1-CUSTOS!$M$38)</f>
        <v>390.73403238820225</v>
      </c>
      <c r="AA351" s="6">
        <f>('TE BE'!$AB$23+'TE BF'!$AB$23+'TE CVA'!$AB$23)*(1-CUSTOS!$M$38)</f>
        <v>127.65788581931002</v>
      </c>
      <c r="AB351" s="6">
        <f>$K$351*$V$351</f>
        <v>0</v>
      </c>
      <c r="AC351" s="6">
        <f>$M$351*$W$351</f>
        <v>1025.50107</v>
      </c>
      <c r="AD351" s="6">
        <f>$O$351*$X$351</f>
        <v>384.39676000000003</v>
      </c>
      <c r="AE351" s="6">
        <f>$K$351*$Y$351</f>
        <v>0</v>
      </c>
      <c r="AF351" s="6">
        <f ca="1">$M$351*$Z$351</f>
        <v>1207.7588941119332</v>
      </c>
      <c r="AG351" s="6">
        <f>$O$351*$AA$351</f>
        <v>394.59052506748731</v>
      </c>
    </row>
    <row r="352" spans="1:33" ht="11.25" customHeight="1" x14ac:dyDescent="0.25">
      <c r="A352" s="4" t="s">
        <v>21</v>
      </c>
      <c r="B352" s="4" t="s">
        <v>40</v>
      </c>
      <c r="C352" s="4" t="s">
        <v>23</v>
      </c>
      <c r="D352" s="4" t="s">
        <v>41</v>
      </c>
      <c r="E352" s="4" t="s">
        <v>49</v>
      </c>
      <c r="F352" s="4" t="s">
        <v>50</v>
      </c>
      <c r="G352" s="4" t="s">
        <v>25</v>
      </c>
      <c r="H352" s="4" t="s">
        <v>25</v>
      </c>
      <c r="I352" s="5">
        <v>44743</v>
      </c>
      <c r="J352" s="6">
        <v>0</v>
      </c>
      <c r="K352" s="6">
        <v>0</v>
      </c>
      <c r="L352" s="6">
        <v>2.78</v>
      </c>
      <c r="M352" s="6">
        <v>2.78</v>
      </c>
      <c r="N352" s="6">
        <v>2.78</v>
      </c>
      <c r="O352" s="6">
        <v>2.78</v>
      </c>
      <c r="P352" s="6">
        <v>0</v>
      </c>
      <c r="Q352" s="4" t="s">
        <v>26</v>
      </c>
      <c r="R352" s="4">
        <v>0</v>
      </c>
      <c r="S352" s="6">
        <v>0</v>
      </c>
      <c r="T352" s="6">
        <v>30</v>
      </c>
      <c r="U352" s="6">
        <v>55</v>
      </c>
      <c r="V352" s="6">
        <f>IF(ISERROR(VLOOKUP($S$352,'TAR FIN'!$A$1:$O$85,15,0)),0,VLOOKUP($S$352,'TAR FIN'!$A$1:$O$85,15,0))</f>
        <v>0</v>
      </c>
      <c r="W352" s="6">
        <f>IF(ISERROR(VLOOKUP($T$352,'TAR FIN'!$A$1:$O$85,15,0)),0,VLOOKUP($T$352,'TAR FIN'!$A$1:$O$85,15,0))</f>
        <v>331.77</v>
      </c>
      <c r="X352" s="6">
        <f>IF(ISERROR(VLOOKUP($U$352,'TAR FIN'!$A$1:$O$85,15,0)),0,VLOOKUP($U$352,'TAR FIN'!$A$1:$O$85,15,0))</f>
        <v>124.36</v>
      </c>
      <c r="Y352" s="6"/>
      <c r="Z352" s="6">
        <f ca="1">('TUSD BE'!$AM$33+'TUSD BF'!$AM$33+'TUSD CVA'!$AM$33)*(1-CUSTOS!$M$38)</f>
        <v>390.73403238820225</v>
      </c>
      <c r="AA352" s="6">
        <f>('TE BE'!$AB$23+'TE BF'!$AB$23+'TE CVA'!$AB$23)*(1-CUSTOS!$M$38)</f>
        <v>127.65788581931002</v>
      </c>
      <c r="AB352" s="6">
        <f>$K$352*$V$352</f>
        <v>0</v>
      </c>
      <c r="AC352" s="6">
        <f>$M$352*$W$352</f>
        <v>922.3205999999999</v>
      </c>
      <c r="AD352" s="6">
        <f>$O$352*$X$352</f>
        <v>345.7208</v>
      </c>
      <c r="AE352" s="6">
        <f>$K$352*$Y$352</f>
        <v>0</v>
      </c>
      <c r="AF352" s="6">
        <f ca="1">$M$352*$Z$352</f>
        <v>1086.2406100392022</v>
      </c>
      <c r="AG352" s="6">
        <f>$O$352*$AA$352</f>
        <v>354.88892257768185</v>
      </c>
    </row>
    <row r="353" spans="1:33" ht="11.25" customHeight="1" x14ac:dyDescent="0.25">
      <c r="A353" s="4" t="s">
        <v>27</v>
      </c>
      <c r="B353" s="4" t="s">
        <v>40</v>
      </c>
      <c r="C353" s="4" t="s">
        <v>23</v>
      </c>
      <c r="D353" s="4" t="s">
        <v>41</v>
      </c>
      <c r="E353" s="4" t="s">
        <v>49</v>
      </c>
      <c r="F353" s="4" t="s">
        <v>50</v>
      </c>
      <c r="G353" s="4" t="s">
        <v>25</v>
      </c>
      <c r="H353" s="4" t="s">
        <v>25</v>
      </c>
      <c r="I353" s="5">
        <v>44743</v>
      </c>
      <c r="J353" s="6">
        <v>0</v>
      </c>
      <c r="K353" s="6">
        <v>0</v>
      </c>
      <c r="L353" s="6">
        <v>-0.26</v>
      </c>
      <c r="M353" s="6">
        <v>-0.26</v>
      </c>
      <c r="N353" s="6">
        <v>-0.26</v>
      </c>
      <c r="O353" s="6">
        <v>-0.26</v>
      </c>
      <c r="P353" s="6">
        <v>0</v>
      </c>
      <c r="Q353" s="4" t="s">
        <v>26</v>
      </c>
      <c r="R353" s="4">
        <v>0</v>
      </c>
      <c r="S353" s="6">
        <v>0</v>
      </c>
      <c r="T353" s="6">
        <v>30</v>
      </c>
      <c r="U353" s="6">
        <v>55</v>
      </c>
      <c r="V353" s="6">
        <f>IF(ISERROR(VLOOKUP($S$353,'TAR FIN'!$A$1:$O$85,15,0)),0,VLOOKUP($S$353,'TAR FIN'!$A$1:$O$85,15,0))</f>
        <v>0</v>
      </c>
      <c r="W353" s="6">
        <f>IF(ISERROR(VLOOKUP($T$353,'TAR FIN'!$A$1:$O$85,15,0)),0,VLOOKUP($T$353,'TAR FIN'!$A$1:$O$85,15,0))</f>
        <v>331.77</v>
      </c>
      <c r="X353" s="6">
        <f>IF(ISERROR(VLOOKUP($U$353,'TAR FIN'!$A$1:$O$85,15,0)),0,VLOOKUP($U$353,'TAR FIN'!$A$1:$O$85,15,0))</f>
        <v>124.36</v>
      </c>
      <c r="Y353" s="6"/>
      <c r="Z353" s="6">
        <f ca="1">('TUSD BE'!$AM$33+'TUSD BF'!$AM$33+'TUSD CVA'!$AM$33)*(1-CUSTOS!$M$38)</f>
        <v>390.73403238820225</v>
      </c>
      <c r="AA353" s="6">
        <f>('TE BE'!$AB$23+'TE BF'!$AB$23+'TE CVA'!$AB$23)*(1-CUSTOS!$M$38)</f>
        <v>127.65788581931002</v>
      </c>
      <c r="AB353" s="6">
        <f>$K$353*$V$353</f>
        <v>0</v>
      </c>
      <c r="AC353" s="6">
        <f>$M$353*$W$353</f>
        <v>-86.260199999999998</v>
      </c>
      <c r="AD353" s="6">
        <f>$O$353*$X$353</f>
        <v>-32.333600000000004</v>
      </c>
      <c r="AE353" s="6">
        <f>$K$353*$Y$353</f>
        <v>0</v>
      </c>
      <c r="AF353" s="6">
        <f ca="1">$M$353*$Z$353</f>
        <v>-101.59084842093259</v>
      </c>
      <c r="AG353" s="6">
        <f>$O$353*$AA$353</f>
        <v>-33.191050313020611</v>
      </c>
    </row>
    <row r="354" spans="1:33" ht="11.25" customHeight="1" x14ac:dyDescent="0.25">
      <c r="A354" s="4" t="s">
        <v>28</v>
      </c>
      <c r="B354" s="4" t="s">
        <v>40</v>
      </c>
      <c r="C354" s="4" t="s">
        <v>23</v>
      </c>
      <c r="D354" s="4" t="s">
        <v>41</v>
      </c>
      <c r="E354" s="4" t="s">
        <v>49</v>
      </c>
      <c r="F354" s="4" t="s">
        <v>50</v>
      </c>
      <c r="G354" s="4" t="s">
        <v>25</v>
      </c>
      <c r="H354" s="4" t="s">
        <v>25</v>
      </c>
      <c r="I354" s="5">
        <v>44743</v>
      </c>
      <c r="J354" s="6">
        <v>0</v>
      </c>
      <c r="K354" s="6">
        <v>0</v>
      </c>
      <c r="L354" s="6">
        <v>0.1</v>
      </c>
      <c r="M354" s="6">
        <v>0.1</v>
      </c>
      <c r="N354" s="6">
        <v>0.1</v>
      </c>
      <c r="O354" s="6">
        <v>0.1</v>
      </c>
      <c r="P354" s="6">
        <v>0</v>
      </c>
      <c r="Q354" s="4" t="s">
        <v>26</v>
      </c>
      <c r="R354" s="4">
        <v>0</v>
      </c>
      <c r="S354" s="6">
        <v>0</v>
      </c>
      <c r="T354" s="6">
        <v>30</v>
      </c>
      <c r="U354" s="6">
        <v>55</v>
      </c>
      <c r="V354" s="6">
        <f>IF(ISERROR(VLOOKUP($S$354,'TAR FIN'!$A$1:$O$85,15,0)),0,VLOOKUP($S$354,'TAR FIN'!$A$1:$O$85,15,0))</f>
        <v>0</v>
      </c>
      <c r="W354" s="6">
        <f>IF(ISERROR(VLOOKUP($T$354,'TAR FIN'!$A$1:$O$85,15,0)),0,VLOOKUP($T$354,'TAR FIN'!$A$1:$O$85,15,0))</f>
        <v>331.77</v>
      </c>
      <c r="X354" s="6">
        <f>IF(ISERROR(VLOOKUP($U$354,'TAR FIN'!$A$1:$O$85,15,0)),0,VLOOKUP($U$354,'TAR FIN'!$A$1:$O$85,15,0))</f>
        <v>124.36</v>
      </c>
      <c r="Y354" s="6"/>
      <c r="Z354" s="6">
        <f ca="1">('TUSD BE'!$AM$33+'TUSD BF'!$AM$33+'TUSD CVA'!$AM$33)*(1-CUSTOS!$M$38)</f>
        <v>390.73403238820225</v>
      </c>
      <c r="AA354" s="6">
        <f>('TE BE'!$AB$23+'TE BF'!$AB$23+'TE CVA'!$AB$23)*(1-CUSTOS!$M$38)</f>
        <v>127.65788581931002</v>
      </c>
      <c r="AB354" s="6">
        <f>$K$354*$V$354</f>
        <v>0</v>
      </c>
      <c r="AC354" s="6">
        <f>$M$354*$W$354</f>
        <v>33.177</v>
      </c>
      <c r="AD354" s="6">
        <f>$O$354*$X$354</f>
        <v>12.436</v>
      </c>
      <c r="AE354" s="6">
        <f>$K$354*$Y$354</f>
        <v>0</v>
      </c>
      <c r="AF354" s="6">
        <f ca="1">$M$354*$Z$354</f>
        <v>39.073403238820227</v>
      </c>
      <c r="AG354" s="6">
        <f>$O$354*$AA$354</f>
        <v>12.765788581931004</v>
      </c>
    </row>
    <row r="355" spans="1:33" ht="11.25" customHeight="1" x14ac:dyDescent="0.25">
      <c r="A355" s="4" t="s">
        <v>21</v>
      </c>
      <c r="B355" s="4" t="s">
        <v>40</v>
      </c>
      <c r="C355" s="4" t="s">
        <v>23</v>
      </c>
      <c r="D355" s="4" t="s">
        <v>41</v>
      </c>
      <c r="E355" s="4" t="s">
        <v>49</v>
      </c>
      <c r="F355" s="4" t="s">
        <v>50</v>
      </c>
      <c r="G355" s="4" t="s">
        <v>25</v>
      </c>
      <c r="H355" s="4" t="s">
        <v>25</v>
      </c>
      <c r="I355" s="5">
        <v>44774</v>
      </c>
      <c r="J355" s="6">
        <v>0</v>
      </c>
      <c r="K355" s="6">
        <v>0</v>
      </c>
      <c r="L355" s="6">
        <v>2.8079999999999998</v>
      </c>
      <c r="M355" s="6">
        <v>2.8079999999999998</v>
      </c>
      <c r="N355" s="6">
        <v>2.8079999999999998</v>
      </c>
      <c r="O355" s="6">
        <v>2.8079999999999998</v>
      </c>
      <c r="P355" s="6">
        <v>0</v>
      </c>
      <c r="Q355" s="4" t="s">
        <v>26</v>
      </c>
      <c r="R355" s="4">
        <v>0</v>
      </c>
      <c r="S355" s="6">
        <v>0</v>
      </c>
      <c r="T355" s="6">
        <v>30</v>
      </c>
      <c r="U355" s="6">
        <v>55</v>
      </c>
      <c r="V355" s="6">
        <f>IF(ISERROR(VLOOKUP($S$355,'TAR FIN'!$A$1:$O$85,15,0)),0,VLOOKUP($S$355,'TAR FIN'!$A$1:$O$85,15,0))</f>
        <v>0</v>
      </c>
      <c r="W355" s="6">
        <f>IF(ISERROR(VLOOKUP($T$355,'TAR FIN'!$A$1:$O$85,15,0)),0,VLOOKUP($T$355,'TAR FIN'!$A$1:$O$85,15,0))</f>
        <v>331.77</v>
      </c>
      <c r="X355" s="6">
        <f>IF(ISERROR(VLOOKUP($U$355,'TAR FIN'!$A$1:$O$85,15,0)),0,VLOOKUP($U$355,'TAR FIN'!$A$1:$O$85,15,0))</f>
        <v>124.36</v>
      </c>
      <c r="Y355" s="6"/>
      <c r="Z355" s="6">
        <f ca="1">('TUSD BE'!$AM$33+'TUSD BF'!$AM$33+'TUSD CVA'!$AM$33)*(1-CUSTOS!$M$38)</f>
        <v>390.73403238820225</v>
      </c>
      <c r="AA355" s="6">
        <f>('TE BE'!$AB$23+'TE BF'!$AB$23+'TE CVA'!$AB$23)*(1-CUSTOS!$M$38)</f>
        <v>127.65788581931002</v>
      </c>
      <c r="AB355" s="6">
        <f>$K$355*$V$355</f>
        <v>0</v>
      </c>
      <c r="AC355" s="6">
        <f>$M$355*$W$355</f>
        <v>931.61015999999984</v>
      </c>
      <c r="AD355" s="6">
        <f>$O$355*$X$355</f>
        <v>349.20287999999999</v>
      </c>
      <c r="AE355" s="6">
        <f>$K$355*$Y$355</f>
        <v>0</v>
      </c>
      <c r="AF355" s="6">
        <f ca="1">$M$355*$Z$355</f>
        <v>1097.1811629460719</v>
      </c>
      <c r="AG355" s="6">
        <f>$O$355*$AA$355</f>
        <v>358.46334338062252</v>
      </c>
    </row>
    <row r="356" spans="1:33" ht="11.25" customHeight="1" x14ac:dyDescent="0.25">
      <c r="A356" s="4" t="s">
        <v>28</v>
      </c>
      <c r="B356" s="4" t="s">
        <v>40</v>
      </c>
      <c r="C356" s="4" t="s">
        <v>23</v>
      </c>
      <c r="D356" s="4" t="s">
        <v>41</v>
      </c>
      <c r="E356" s="4" t="s">
        <v>49</v>
      </c>
      <c r="F356" s="4" t="s">
        <v>50</v>
      </c>
      <c r="G356" s="4" t="s">
        <v>25</v>
      </c>
      <c r="H356" s="4" t="s">
        <v>25</v>
      </c>
      <c r="I356" s="5">
        <v>44774</v>
      </c>
      <c r="J356" s="6">
        <v>0</v>
      </c>
      <c r="K356" s="6">
        <v>0</v>
      </c>
      <c r="L356" s="6">
        <v>0.1</v>
      </c>
      <c r="M356" s="6">
        <v>0.1</v>
      </c>
      <c r="N356" s="6">
        <v>0.1</v>
      </c>
      <c r="O356" s="6">
        <v>0.1</v>
      </c>
      <c r="P356" s="6">
        <v>0</v>
      </c>
      <c r="Q356" s="4" t="s">
        <v>26</v>
      </c>
      <c r="R356" s="4">
        <v>0</v>
      </c>
      <c r="S356" s="6">
        <v>0</v>
      </c>
      <c r="T356" s="6">
        <v>30</v>
      </c>
      <c r="U356" s="6">
        <v>55</v>
      </c>
      <c r="V356" s="6">
        <f>IF(ISERROR(VLOOKUP($S$356,'TAR FIN'!$A$1:$O$85,15,0)),0,VLOOKUP($S$356,'TAR FIN'!$A$1:$O$85,15,0))</f>
        <v>0</v>
      </c>
      <c r="W356" s="6">
        <f>IF(ISERROR(VLOOKUP($T$356,'TAR FIN'!$A$1:$O$85,15,0)),0,VLOOKUP($T$356,'TAR FIN'!$A$1:$O$85,15,0))</f>
        <v>331.77</v>
      </c>
      <c r="X356" s="6">
        <f>IF(ISERROR(VLOOKUP($U$356,'TAR FIN'!$A$1:$O$85,15,0)),0,VLOOKUP($U$356,'TAR FIN'!$A$1:$O$85,15,0))</f>
        <v>124.36</v>
      </c>
      <c r="Y356" s="6"/>
      <c r="Z356" s="6">
        <f ca="1">('TUSD BE'!$AM$33+'TUSD BF'!$AM$33+'TUSD CVA'!$AM$33)*(1-CUSTOS!$M$38)</f>
        <v>390.73403238820225</v>
      </c>
      <c r="AA356" s="6">
        <f>('TE BE'!$AB$23+'TE BF'!$AB$23+'TE CVA'!$AB$23)*(1-CUSTOS!$M$38)</f>
        <v>127.65788581931002</v>
      </c>
      <c r="AB356" s="6">
        <f>$K$356*$V$356</f>
        <v>0</v>
      </c>
      <c r="AC356" s="6">
        <f>$M$356*$W$356</f>
        <v>33.177</v>
      </c>
      <c r="AD356" s="6">
        <f>$O$356*$X$356</f>
        <v>12.436</v>
      </c>
      <c r="AE356" s="6">
        <f>$K$356*$Y$356</f>
        <v>0</v>
      </c>
      <c r="AF356" s="6">
        <f ca="1">$M$356*$Z$356</f>
        <v>39.073403238820227</v>
      </c>
      <c r="AG356" s="6">
        <f>$O$356*$AA$356</f>
        <v>12.765788581931004</v>
      </c>
    </row>
    <row r="357" spans="1:33" ht="11.25" customHeight="1" x14ac:dyDescent="0.25">
      <c r="A357" s="4" t="s">
        <v>21</v>
      </c>
      <c r="B357" s="4" t="s">
        <v>40</v>
      </c>
      <c r="C357" s="4" t="s">
        <v>23</v>
      </c>
      <c r="D357" s="4" t="s">
        <v>41</v>
      </c>
      <c r="E357" s="4" t="s">
        <v>49</v>
      </c>
      <c r="F357" s="4" t="s">
        <v>51</v>
      </c>
      <c r="G357" s="4" t="s">
        <v>25</v>
      </c>
      <c r="H357" s="4" t="s">
        <v>25</v>
      </c>
      <c r="I357" s="5">
        <v>44440</v>
      </c>
      <c r="J357" s="6">
        <v>0</v>
      </c>
      <c r="K357" s="6">
        <v>0</v>
      </c>
      <c r="L357" s="6">
        <v>4.4800000000000004</v>
      </c>
      <c r="M357" s="6">
        <v>1.792</v>
      </c>
      <c r="N357" s="6">
        <v>4.4800000000000004</v>
      </c>
      <c r="O357" s="6">
        <v>1.792</v>
      </c>
      <c r="P357" s="6">
        <v>0</v>
      </c>
      <c r="Q357" s="4" t="s">
        <v>26</v>
      </c>
      <c r="R357" s="4">
        <v>0</v>
      </c>
      <c r="S357" s="6">
        <v>0</v>
      </c>
      <c r="T357" s="6">
        <v>30</v>
      </c>
      <c r="U357" s="6">
        <v>55</v>
      </c>
      <c r="V357" s="6">
        <f>IF(ISERROR(VLOOKUP($S$357,'TAR FIN'!$A$1:$O$85,15,0)),0,VLOOKUP($S$357,'TAR FIN'!$A$1:$O$85,15,0))</f>
        <v>0</v>
      </c>
      <c r="W357" s="6">
        <f>IF(ISERROR(VLOOKUP($T$357,'TAR FIN'!$A$1:$O$85,15,0)),0,VLOOKUP($T$357,'TAR FIN'!$A$1:$O$85,15,0))</f>
        <v>331.77</v>
      </c>
      <c r="X357" s="6">
        <f>IF(ISERROR(VLOOKUP($U$357,'TAR FIN'!$A$1:$O$85,15,0)),0,VLOOKUP($U$357,'TAR FIN'!$A$1:$O$85,15,0))</f>
        <v>124.36</v>
      </c>
      <c r="Y357" s="6"/>
      <c r="Z357" s="6">
        <f ca="1">('TUSD BE'!$AM$33+'TUSD BF'!$AM$33+'TUSD CVA'!$AM$33)*(1-CUSTOS!$M$38)</f>
        <v>390.73403238820225</v>
      </c>
      <c r="AA357" s="6">
        <f>('TE BE'!$AB$23+'TE BF'!$AB$23+'TE CVA'!$AB$23)*(1-CUSTOS!$M$38)</f>
        <v>127.65788581931002</v>
      </c>
      <c r="AB357" s="6">
        <f>$K$357*$V$357</f>
        <v>0</v>
      </c>
      <c r="AC357" s="6">
        <f>$M$357*$W$357</f>
        <v>594.53183999999999</v>
      </c>
      <c r="AD357" s="6">
        <f>$O$357*$X$357</f>
        <v>222.85311999999999</v>
      </c>
      <c r="AE357" s="6">
        <f>$K$357*$Y$357</f>
        <v>0</v>
      </c>
      <c r="AF357" s="6">
        <f ca="1">$M$357*$Z$357</f>
        <v>700.1953860396585</v>
      </c>
      <c r="AG357" s="6">
        <f>$O$357*$AA$357</f>
        <v>228.76293138820355</v>
      </c>
    </row>
    <row r="358" spans="1:33" ht="11.25" customHeight="1" x14ac:dyDescent="0.25">
      <c r="A358" s="4" t="s">
        <v>28</v>
      </c>
      <c r="B358" s="4" t="s">
        <v>40</v>
      </c>
      <c r="C358" s="4" t="s">
        <v>23</v>
      </c>
      <c r="D358" s="4" t="s">
        <v>41</v>
      </c>
      <c r="E358" s="4" t="s">
        <v>49</v>
      </c>
      <c r="F358" s="4" t="s">
        <v>51</v>
      </c>
      <c r="G358" s="4" t="s">
        <v>25</v>
      </c>
      <c r="H358" s="4" t="s">
        <v>25</v>
      </c>
      <c r="I358" s="5">
        <v>44440</v>
      </c>
      <c r="J358" s="6">
        <v>0</v>
      </c>
      <c r="K358" s="6">
        <v>0</v>
      </c>
      <c r="L358" s="6">
        <v>6.0000000000000001E-3</v>
      </c>
      <c r="M358" s="6">
        <v>2.3999999999999998E-3</v>
      </c>
      <c r="N358" s="6">
        <v>6.0000000000000001E-3</v>
      </c>
      <c r="O358" s="6">
        <v>2.3999999999999998E-3</v>
      </c>
      <c r="P358" s="6">
        <v>0</v>
      </c>
      <c r="Q358" s="4" t="s">
        <v>26</v>
      </c>
      <c r="R358" s="4">
        <v>0</v>
      </c>
      <c r="S358" s="6">
        <v>0</v>
      </c>
      <c r="T358" s="6">
        <v>30</v>
      </c>
      <c r="U358" s="6">
        <v>55</v>
      </c>
      <c r="V358" s="6">
        <f>IF(ISERROR(VLOOKUP($S$358,'TAR FIN'!$A$1:$O$85,15,0)),0,VLOOKUP($S$358,'TAR FIN'!$A$1:$O$85,15,0))</f>
        <v>0</v>
      </c>
      <c r="W358" s="6">
        <f>IF(ISERROR(VLOOKUP($T$358,'TAR FIN'!$A$1:$O$85,15,0)),0,VLOOKUP($T$358,'TAR FIN'!$A$1:$O$85,15,0))</f>
        <v>331.77</v>
      </c>
      <c r="X358" s="6">
        <f>IF(ISERROR(VLOOKUP($U$358,'TAR FIN'!$A$1:$O$85,15,0)),0,VLOOKUP($U$358,'TAR FIN'!$A$1:$O$85,15,0))</f>
        <v>124.36</v>
      </c>
      <c r="Y358" s="6"/>
      <c r="Z358" s="6">
        <f ca="1">('TUSD BE'!$AM$33+'TUSD BF'!$AM$33+'TUSD CVA'!$AM$33)*(1-CUSTOS!$M$38)</f>
        <v>390.73403238820225</v>
      </c>
      <c r="AA358" s="6">
        <f>('TE BE'!$AB$23+'TE BF'!$AB$23+'TE CVA'!$AB$23)*(1-CUSTOS!$M$38)</f>
        <v>127.65788581931002</v>
      </c>
      <c r="AB358" s="6">
        <f>$K$358*$V$358</f>
        <v>0</v>
      </c>
      <c r="AC358" s="6">
        <f>$M$358*$W$358</f>
        <v>0.79624799999999984</v>
      </c>
      <c r="AD358" s="6">
        <f>$O$358*$X$358</f>
        <v>0.29846399999999995</v>
      </c>
      <c r="AE358" s="6">
        <f>$K$358*$Y$358</f>
        <v>0</v>
      </c>
      <c r="AF358" s="6">
        <f ca="1">$M$358*$Z$358</f>
        <v>0.93776167773168528</v>
      </c>
      <c r="AG358" s="6">
        <f>$O$358*$AA$358</f>
        <v>0.30637892596634403</v>
      </c>
    </row>
    <row r="359" spans="1:33" ht="11.25" customHeight="1" x14ac:dyDescent="0.25">
      <c r="A359" s="4" t="s">
        <v>21</v>
      </c>
      <c r="B359" s="4" t="s">
        <v>40</v>
      </c>
      <c r="C359" s="4" t="s">
        <v>23</v>
      </c>
      <c r="D359" s="4" t="s">
        <v>41</v>
      </c>
      <c r="E359" s="4" t="s">
        <v>49</v>
      </c>
      <c r="F359" s="4" t="s">
        <v>51</v>
      </c>
      <c r="G359" s="4" t="s">
        <v>25</v>
      </c>
      <c r="H359" s="4" t="s">
        <v>25</v>
      </c>
      <c r="I359" s="5">
        <v>44470</v>
      </c>
      <c r="J359" s="6">
        <v>0</v>
      </c>
      <c r="K359" s="6">
        <v>0</v>
      </c>
      <c r="L359" s="6">
        <v>1.861</v>
      </c>
      <c r="M359" s="6">
        <v>0.74439999999999995</v>
      </c>
      <c r="N359" s="6">
        <v>1.861</v>
      </c>
      <c r="O359" s="6">
        <v>0.74439999999999995</v>
      </c>
      <c r="P359" s="6">
        <v>0</v>
      </c>
      <c r="Q359" s="4" t="s">
        <v>26</v>
      </c>
      <c r="R359" s="4">
        <v>0</v>
      </c>
      <c r="S359" s="6">
        <v>0</v>
      </c>
      <c r="T359" s="6">
        <v>30</v>
      </c>
      <c r="U359" s="6">
        <v>55</v>
      </c>
      <c r="V359" s="6">
        <f>IF(ISERROR(VLOOKUP($S$359,'TAR FIN'!$A$1:$O$85,15,0)),0,VLOOKUP($S$359,'TAR FIN'!$A$1:$O$85,15,0))</f>
        <v>0</v>
      </c>
      <c r="W359" s="6">
        <f>IF(ISERROR(VLOOKUP($T$359,'TAR FIN'!$A$1:$O$85,15,0)),0,VLOOKUP($T$359,'TAR FIN'!$A$1:$O$85,15,0))</f>
        <v>331.77</v>
      </c>
      <c r="X359" s="6">
        <f>IF(ISERROR(VLOOKUP($U$359,'TAR FIN'!$A$1:$O$85,15,0)),0,VLOOKUP($U$359,'TAR FIN'!$A$1:$O$85,15,0))</f>
        <v>124.36</v>
      </c>
      <c r="Y359" s="6"/>
      <c r="Z359" s="6">
        <f ca="1">('TUSD BE'!$AM$33+'TUSD BF'!$AM$33+'TUSD CVA'!$AM$33)*(1-CUSTOS!$M$38)</f>
        <v>390.73403238820225</v>
      </c>
      <c r="AA359" s="6">
        <f>('TE BE'!$AB$23+'TE BF'!$AB$23+'TE CVA'!$AB$23)*(1-CUSTOS!$M$38)</f>
        <v>127.65788581931002</v>
      </c>
      <c r="AB359" s="6">
        <f>$K$359*$V$359</f>
        <v>0</v>
      </c>
      <c r="AC359" s="6">
        <f>$M$359*$W$359</f>
        <v>246.96958799999996</v>
      </c>
      <c r="AD359" s="6">
        <f>$O$359*$X$359</f>
        <v>92.573583999999997</v>
      </c>
      <c r="AE359" s="6">
        <f>$K$359*$Y$359</f>
        <v>0</v>
      </c>
      <c r="AF359" s="6">
        <f ca="1">$M$359*$Z$359</f>
        <v>290.86241370977774</v>
      </c>
      <c r="AG359" s="6">
        <f>$O$359*$AA$359</f>
        <v>95.028530203894377</v>
      </c>
    </row>
    <row r="360" spans="1:33" ht="11.25" customHeight="1" x14ac:dyDescent="0.25">
      <c r="A360" s="4" t="s">
        <v>28</v>
      </c>
      <c r="B360" s="4" t="s">
        <v>40</v>
      </c>
      <c r="C360" s="4" t="s">
        <v>23</v>
      </c>
      <c r="D360" s="4" t="s">
        <v>41</v>
      </c>
      <c r="E360" s="4" t="s">
        <v>49</v>
      </c>
      <c r="F360" s="4" t="s">
        <v>51</v>
      </c>
      <c r="G360" s="4" t="s">
        <v>25</v>
      </c>
      <c r="H360" s="4" t="s">
        <v>25</v>
      </c>
      <c r="I360" s="5">
        <v>44470</v>
      </c>
      <c r="J360" s="6">
        <v>0</v>
      </c>
      <c r="K360" s="6">
        <v>0</v>
      </c>
      <c r="L360" s="6">
        <v>5.0000000000000001E-3</v>
      </c>
      <c r="M360" s="6">
        <v>2E-3</v>
      </c>
      <c r="N360" s="6">
        <v>5.0000000000000001E-3</v>
      </c>
      <c r="O360" s="6">
        <v>2E-3</v>
      </c>
      <c r="P360" s="6">
        <v>0</v>
      </c>
      <c r="Q360" s="4" t="s">
        <v>26</v>
      </c>
      <c r="R360" s="4">
        <v>0</v>
      </c>
      <c r="S360" s="6">
        <v>0</v>
      </c>
      <c r="T360" s="6">
        <v>30</v>
      </c>
      <c r="U360" s="6">
        <v>55</v>
      </c>
      <c r="V360" s="6">
        <f>IF(ISERROR(VLOOKUP($S$360,'TAR FIN'!$A$1:$O$85,15,0)),0,VLOOKUP($S$360,'TAR FIN'!$A$1:$O$85,15,0))</f>
        <v>0</v>
      </c>
      <c r="W360" s="6">
        <f>IF(ISERROR(VLOOKUP($T$360,'TAR FIN'!$A$1:$O$85,15,0)),0,VLOOKUP($T$360,'TAR FIN'!$A$1:$O$85,15,0))</f>
        <v>331.77</v>
      </c>
      <c r="X360" s="6">
        <f>IF(ISERROR(VLOOKUP($U$360,'TAR FIN'!$A$1:$O$85,15,0)),0,VLOOKUP($U$360,'TAR FIN'!$A$1:$O$85,15,0))</f>
        <v>124.36</v>
      </c>
      <c r="Y360" s="6"/>
      <c r="Z360" s="6">
        <f ca="1">('TUSD BE'!$AM$33+'TUSD BF'!$AM$33+'TUSD CVA'!$AM$33)*(1-CUSTOS!$M$38)</f>
        <v>390.73403238820225</v>
      </c>
      <c r="AA360" s="6">
        <f>('TE BE'!$AB$23+'TE BF'!$AB$23+'TE CVA'!$AB$23)*(1-CUSTOS!$M$38)</f>
        <v>127.65788581931002</v>
      </c>
      <c r="AB360" s="6">
        <f>$K$360*$V$360</f>
        <v>0</v>
      </c>
      <c r="AC360" s="6">
        <f>$M$360*$W$360</f>
        <v>0.66354000000000002</v>
      </c>
      <c r="AD360" s="6">
        <f>$O$360*$X$360</f>
        <v>0.24872</v>
      </c>
      <c r="AE360" s="6">
        <f>$K$360*$Y$360</f>
        <v>0</v>
      </c>
      <c r="AF360" s="6">
        <f ca="1">$M$360*$Z$360</f>
        <v>0.78146806477640451</v>
      </c>
      <c r="AG360" s="6">
        <f>$O$360*$AA$360</f>
        <v>0.25531577163862007</v>
      </c>
    </row>
    <row r="361" spans="1:33" ht="11.25" customHeight="1" x14ac:dyDescent="0.25">
      <c r="A361" s="4" t="s">
        <v>21</v>
      </c>
      <c r="B361" s="4" t="s">
        <v>40</v>
      </c>
      <c r="C361" s="4" t="s">
        <v>23</v>
      </c>
      <c r="D361" s="4" t="s">
        <v>41</v>
      </c>
      <c r="E361" s="4" t="s">
        <v>49</v>
      </c>
      <c r="F361" s="4" t="s">
        <v>51</v>
      </c>
      <c r="G361" s="4" t="s">
        <v>25</v>
      </c>
      <c r="H361" s="4" t="s">
        <v>25</v>
      </c>
      <c r="I361" s="5">
        <v>44501</v>
      </c>
      <c r="J361" s="6">
        <v>0</v>
      </c>
      <c r="K361" s="6">
        <v>0</v>
      </c>
      <c r="L361" s="6">
        <v>2.6339999999999999</v>
      </c>
      <c r="M361" s="6">
        <v>1.0536000000000001</v>
      </c>
      <c r="N361" s="6">
        <v>2.6339999999999999</v>
      </c>
      <c r="O361" s="6">
        <v>1.0536000000000001</v>
      </c>
      <c r="P361" s="6">
        <v>0</v>
      </c>
      <c r="Q361" s="4" t="s">
        <v>26</v>
      </c>
      <c r="R361" s="4">
        <v>0</v>
      </c>
      <c r="S361" s="6">
        <v>0</v>
      </c>
      <c r="T361" s="6">
        <v>30</v>
      </c>
      <c r="U361" s="6">
        <v>55</v>
      </c>
      <c r="V361" s="6">
        <f>IF(ISERROR(VLOOKUP($S$361,'TAR FIN'!$A$1:$O$85,15,0)),0,VLOOKUP($S$361,'TAR FIN'!$A$1:$O$85,15,0))</f>
        <v>0</v>
      </c>
      <c r="W361" s="6">
        <f>IF(ISERROR(VLOOKUP($T$361,'TAR FIN'!$A$1:$O$85,15,0)),0,VLOOKUP($T$361,'TAR FIN'!$A$1:$O$85,15,0))</f>
        <v>331.77</v>
      </c>
      <c r="X361" s="6">
        <f>IF(ISERROR(VLOOKUP($U$361,'TAR FIN'!$A$1:$O$85,15,0)),0,VLOOKUP($U$361,'TAR FIN'!$A$1:$O$85,15,0))</f>
        <v>124.36</v>
      </c>
      <c r="Y361" s="6"/>
      <c r="Z361" s="6">
        <f ca="1">('TUSD BE'!$AM$33+'TUSD BF'!$AM$33+'TUSD CVA'!$AM$33)*(1-CUSTOS!$M$38)</f>
        <v>390.73403238820225</v>
      </c>
      <c r="AA361" s="6">
        <f>('TE BE'!$AB$23+'TE BF'!$AB$23+'TE CVA'!$AB$23)*(1-CUSTOS!$M$38)</f>
        <v>127.65788581931002</v>
      </c>
      <c r="AB361" s="6">
        <f>$K$361*$V$361</f>
        <v>0</v>
      </c>
      <c r="AC361" s="6">
        <f>$M$361*$W$361</f>
        <v>349.55287200000004</v>
      </c>
      <c r="AD361" s="6">
        <f>$O$361*$X$361</f>
        <v>131.02569600000001</v>
      </c>
      <c r="AE361" s="6">
        <f>$K$361*$Y$361</f>
        <v>0</v>
      </c>
      <c r="AF361" s="6">
        <f ca="1">$M$361*$Z$361</f>
        <v>411.67737652420993</v>
      </c>
      <c r="AG361" s="6">
        <f>$O$361*$AA$361</f>
        <v>134.50034849922505</v>
      </c>
    </row>
    <row r="362" spans="1:33" ht="11.25" customHeight="1" x14ac:dyDescent="0.25">
      <c r="A362" s="4" t="s">
        <v>28</v>
      </c>
      <c r="B362" s="4" t="s">
        <v>40</v>
      </c>
      <c r="C362" s="4" t="s">
        <v>23</v>
      </c>
      <c r="D362" s="4" t="s">
        <v>41</v>
      </c>
      <c r="E362" s="4" t="s">
        <v>49</v>
      </c>
      <c r="F362" s="4" t="s">
        <v>51</v>
      </c>
      <c r="G362" s="4" t="s">
        <v>25</v>
      </c>
      <c r="H362" s="4" t="s">
        <v>25</v>
      </c>
      <c r="I362" s="5">
        <v>44501</v>
      </c>
      <c r="J362" s="6">
        <v>0</v>
      </c>
      <c r="K362" s="6">
        <v>0</v>
      </c>
      <c r="L362" s="6">
        <v>4.0000000000000001E-3</v>
      </c>
      <c r="M362" s="6">
        <v>1.6000000000000001E-3</v>
      </c>
      <c r="N362" s="6">
        <v>4.0000000000000001E-3</v>
      </c>
      <c r="O362" s="6">
        <v>1.6000000000000001E-3</v>
      </c>
      <c r="P362" s="6">
        <v>0</v>
      </c>
      <c r="Q362" s="4" t="s">
        <v>26</v>
      </c>
      <c r="R362" s="4">
        <v>0</v>
      </c>
      <c r="S362" s="6">
        <v>0</v>
      </c>
      <c r="T362" s="6">
        <v>30</v>
      </c>
      <c r="U362" s="6">
        <v>55</v>
      </c>
      <c r="V362" s="6">
        <f>IF(ISERROR(VLOOKUP($S$362,'TAR FIN'!$A$1:$O$85,15,0)),0,VLOOKUP($S$362,'TAR FIN'!$A$1:$O$85,15,0))</f>
        <v>0</v>
      </c>
      <c r="W362" s="6">
        <f>IF(ISERROR(VLOOKUP($T$362,'TAR FIN'!$A$1:$O$85,15,0)),0,VLOOKUP($T$362,'TAR FIN'!$A$1:$O$85,15,0))</f>
        <v>331.77</v>
      </c>
      <c r="X362" s="6">
        <f>IF(ISERROR(VLOOKUP($U$362,'TAR FIN'!$A$1:$O$85,15,0)),0,VLOOKUP($U$362,'TAR FIN'!$A$1:$O$85,15,0))</f>
        <v>124.36</v>
      </c>
      <c r="Y362" s="6"/>
      <c r="Z362" s="6">
        <f ca="1">('TUSD BE'!$AM$33+'TUSD BF'!$AM$33+'TUSD CVA'!$AM$33)*(1-CUSTOS!$M$38)</f>
        <v>390.73403238820225</v>
      </c>
      <c r="AA362" s="6">
        <f>('TE BE'!$AB$23+'TE BF'!$AB$23+'TE CVA'!$AB$23)*(1-CUSTOS!$M$38)</f>
        <v>127.65788581931002</v>
      </c>
      <c r="AB362" s="6">
        <f>$K$362*$V$362</f>
        <v>0</v>
      </c>
      <c r="AC362" s="6">
        <f>$M$362*$W$362</f>
        <v>0.53083199999999997</v>
      </c>
      <c r="AD362" s="6">
        <f>$O$362*$X$362</f>
        <v>0.19897600000000001</v>
      </c>
      <c r="AE362" s="6">
        <f>$K$362*$Y$362</f>
        <v>0</v>
      </c>
      <c r="AF362" s="6">
        <f ca="1">$M$362*$Z$362</f>
        <v>0.62517445182112363</v>
      </c>
      <c r="AG362" s="6">
        <f>$O$362*$AA$362</f>
        <v>0.20425261731089606</v>
      </c>
    </row>
    <row r="363" spans="1:33" ht="11.25" customHeight="1" x14ac:dyDescent="0.25">
      <c r="A363" s="4" t="s">
        <v>21</v>
      </c>
      <c r="B363" s="4" t="s">
        <v>40</v>
      </c>
      <c r="C363" s="4" t="s">
        <v>23</v>
      </c>
      <c r="D363" s="4" t="s">
        <v>41</v>
      </c>
      <c r="E363" s="4" t="s">
        <v>49</v>
      </c>
      <c r="F363" s="4" t="s">
        <v>51</v>
      </c>
      <c r="G363" s="4" t="s">
        <v>25</v>
      </c>
      <c r="H363" s="4" t="s">
        <v>25</v>
      </c>
      <c r="I363" s="5">
        <v>44531</v>
      </c>
      <c r="J363" s="6">
        <v>0</v>
      </c>
      <c r="K363" s="6">
        <v>0</v>
      </c>
      <c r="L363" s="6">
        <v>4.6260000000000003</v>
      </c>
      <c r="M363" s="6">
        <v>1.8504</v>
      </c>
      <c r="N363" s="6">
        <v>4.6260000000000003</v>
      </c>
      <c r="O363" s="6">
        <v>1.8504</v>
      </c>
      <c r="P363" s="6">
        <v>0</v>
      </c>
      <c r="Q363" s="4" t="s">
        <v>26</v>
      </c>
      <c r="R363" s="4">
        <v>0</v>
      </c>
      <c r="S363" s="6">
        <v>0</v>
      </c>
      <c r="T363" s="6">
        <v>30</v>
      </c>
      <c r="U363" s="6">
        <v>55</v>
      </c>
      <c r="V363" s="6">
        <f>IF(ISERROR(VLOOKUP($S$363,'TAR FIN'!$A$1:$O$85,15,0)),0,VLOOKUP($S$363,'TAR FIN'!$A$1:$O$85,15,0))</f>
        <v>0</v>
      </c>
      <c r="W363" s="6">
        <f>IF(ISERROR(VLOOKUP($T$363,'TAR FIN'!$A$1:$O$85,15,0)),0,VLOOKUP($T$363,'TAR FIN'!$A$1:$O$85,15,0))</f>
        <v>331.77</v>
      </c>
      <c r="X363" s="6">
        <f>IF(ISERROR(VLOOKUP($U$363,'TAR FIN'!$A$1:$O$85,15,0)),0,VLOOKUP($U$363,'TAR FIN'!$A$1:$O$85,15,0))</f>
        <v>124.36</v>
      </c>
      <c r="Y363" s="6"/>
      <c r="Z363" s="6">
        <f ca="1">('TUSD BE'!$AM$33+'TUSD BF'!$AM$33+'TUSD CVA'!$AM$33)*(1-CUSTOS!$M$38)</f>
        <v>390.73403238820225</v>
      </c>
      <c r="AA363" s="6">
        <f>('TE BE'!$AB$23+'TE BF'!$AB$23+'TE CVA'!$AB$23)*(1-CUSTOS!$M$38)</f>
        <v>127.65788581931002</v>
      </c>
      <c r="AB363" s="6">
        <f>$K$363*$V$363</f>
        <v>0</v>
      </c>
      <c r="AC363" s="6">
        <f>$M$363*$W$363</f>
        <v>613.90720799999997</v>
      </c>
      <c r="AD363" s="6">
        <f>$O$363*$X$363</f>
        <v>230.11574400000001</v>
      </c>
      <c r="AE363" s="6">
        <f>$K$363*$Y$363</f>
        <v>0</v>
      </c>
      <c r="AF363" s="6">
        <f ca="1">$M$363*$Z$363</f>
        <v>723.0142535311295</v>
      </c>
      <c r="AG363" s="6">
        <f>$O$363*$AA$363</f>
        <v>236.21815192005127</v>
      </c>
    </row>
    <row r="364" spans="1:33" ht="11.25" customHeight="1" x14ac:dyDescent="0.25">
      <c r="A364" s="4" t="s">
        <v>28</v>
      </c>
      <c r="B364" s="4" t="s">
        <v>40</v>
      </c>
      <c r="C364" s="4" t="s">
        <v>23</v>
      </c>
      <c r="D364" s="4" t="s">
        <v>41</v>
      </c>
      <c r="E364" s="4" t="s">
        <v>49</v>
      </c>
      <c r="F364" s="4" t="s">
        <v>51</v>
      </c>
      <c r="G364" s="4" t="s">
        <v>25</v>
      </c>
      <c r="H364" s="4" t="s">
        <v>25</v>
      </c>
      <c r="I364" s="5">
        <v>44531</v>
      </c>
      <c r="J364" s="6">
        <v>0</v>
      </c>
      <c r="K364" s="6">
        <v>0</v>
      </c>
      <c r="L364" s="6">
        <v>0.39100000000000001</v>
      </c>
      <c r="M364" s="6">
        <v>0.15640000000000001</v>
      </c>
      <c r="N364" s="6">
        <v>0.39100000000000001</v>
      </c>
      <c r="O364" s="6">
        <v>0.15640000000000001</v>
      </c>
      <c r="P364" s="6">
        <v>0</v>
      </c>
      <c r="Q364" s="4" t="s">
        <v>26</v>
      </c>
      <c r="R364" s="4">
        <v>0</v>
      </c>
      <c r="S364" s="6">
        <v>0</v>
      </c>
      <c r="T364" s="6">
        <v>30</v>
      </c>
      <c r="U364" s="6">
        <v>55</v>
      </c>
      <c r="V364" s="6">
        <f>IF(ISERROR(VLOOKUP($S$364,'TAR FIN'!$A$1:$O$85,15,0)),0,VLOOKUP($S$364,'TAR FIN'!$A$1:$O$85,15,0))</f>
        <v>0</v>
      </c>
      <c r="W364" s="6">
        <f>IF(ISERROR(VLOOKUP($T$364,'TAR FIN'!$A$1:$O$85,15,0)),0,VLOOKUP($T$364,'TAR FIN'!$A$1:$O$85,15,0))</f>
        <v>331.77</v>
      </c>
      <c r="X364" s="6">
        <f>IF(ISERROR(VLOOKUP($U$364,'TAR FIN'!$A$1:$O$85,15,0)),0,VLOOKUP($U$364,'TAR FIN'!$A$1:$O$85,15,0))</f>
        <v>124.36</v>
      </c>
      <c r="Y364" s="6"/>
      <c r="Z364" s="6">
        <f ca="1">('TUSD BE'!$AM$33+'TUSD BF'!$AM$33+'TUSD CVA'!$AM$33)*(1-CUSTOS!$M$38)</f>
        <v>390.73403238820225</v>
      </c>
      <c r="AA364" s="6">
        <f>('TE BE'!$AB$23+'TE BF'!$AB$23+'TE CVA'!$AB$23)*(1-CUSTOS!$M$38)</f>
        <v>127.65788581931002</v>
      </c>
      <c r="AB364" s="6">
        <f>$K$364*$V$364</f>
        <v>0</v>
      </c>
      <c r="AC364" s="6">
        <f>$M$364*$W$364</f>
        <v>51.888828000000004</v>
      </c>
      <c r="AD364" s="6">
        <f>$O$364*$X$364</f>
        <v>19.449904</v>
      </c>
      <c r="AE364" s="6">
        <f>$K$364*$Y$364</f>
        <v>0</v>
      </c>
      <c r="AF364" s="6">
        <f ca="1">$M$364*$Z$364</f>
        <v>61.110802665514839</v>
      </c>
      <c r="AG364" s="6">
        <f>$O$364*$AA$364</f>
        <v>19.965693342140089</v>
      </c>
    </row>
    <row r="365" spans="1:33" ht="11.25" customHeight="1" x14ac:dyDescent="0.25">
      <c r="A365" s="4" t="s">
        <v>21</v>
      </c>
      <c r="B365" s="4" t="s">
        <v>40</v>
      </c>
      <c r="C365" s="4" t="s">
        <v>23</v>
      </c>
      <c r="D365" s="4" t="s">
        <v>41</v>
      </c>
      <c r="E365" s="4" t="s">
        <v>49</v>
      </c>
      <c r="F365" s="4" t="s">
        <v>51</v>
      </c>
      <c r="G365" s="4" t="s">
        <v>25</v>
      </c>
      <c r="H365" s="4" t="s">
        <v>25</v>
      </c>
      <c r="I365" s="5">
        <v>44562</v>
      </c>
      <c r="J365" s="6">
        <v>0</v>
      </c>
      <c r="K365" s="6">
        <v>0</v>
      </c>
      <c r="L365" s="6">
        <v>7.93</v>
      </c>
      <c r="M365" s="6">
        <v>3.1720000000000002</v>
      </c>
      <c r="N365" s="6">
        <v>7.93</v>
      </c>
      <c r="O365" s="6">
        <v>3.1720000000000002</v>
      </c>
      <c r="P365" s="6">
        <v>0</v>
      </c>
      <c r="Q365" s="4" t="s">
        <v>26</v>
      </c>
      <c r="R365" s="4">
        <v>0</v>
      </c>
      <c r="S365" s="6">
        <v>0</v>
      </c>
      <c r="T365" s="6">
        <v>30</v>
      </c>
      <c r="U365" s="6">
        <v>55</v>
      </c>
      <c r="V365" s="6">
        <f>IF(ISERROR(VLOOKUP($S$365,'TAR FIN'!$A$1:$O$85,15,0)),0,VLOOKUP($S$365,'TAR FIN'!$A$1:$O$85,15,0))</f>
        <v>0</v>
      </c>
      <c r="W365" s="6">
        <f>IF(ISERROR(VLOOKUP($T$365,'TAR FIN'!$A$1:$O$85,15,0)),0,VLOOKUP($T$365,'TAR FIN'!$A$1:$O$85,15,0))</f>
        <v>331.77</v>
      </c>
      <c r="X365" s="6">
        <f>IF(ISERROR(VLOOKUP($U$365,'TAR FIN'!$A$1:$O$85,15,0)),0,VLOOKUP($U$365,'TAR FIN'!$A$1:$O$85,15,0))</f>
        <v>124.36</v>
      </c>
      <c r="Y365" s="6"/>
      <c r="Z365" s="6">
        <f ca="1">('TUSD BE'!$AM$33+'TUSD BF'!$AM$33+'TUSD CVA'!$AM$33)*(1-CUSTOS!$M$38)</f>
        <v>390.73403238820225</v>
      </c>
      <c r="AA365" s="6">
        <f>('TE BE'!$AB$23+'TE BF'!$AB$23+'TE CVA'!$AB$23)*(1-CUSTOS!$M$38)</f>
        <v>127.65788581931002</v>
      </c>
      <c r="AB365" s="6">
        <f>$K$365*$V$365</f>
        <v>0</v>
      </c>
      <c r="AC365" s="6">
        <f>$M$365*$W$365</f>
        <v>1052.37444</v>
      </c>
      <c r="AD365" s="6">
        <f>$O$365*$X$365</f>
        <v>394.46992</v>
      </c>
      <c r="AE365" s="6">
        <f>$K$365*$Y$365</f>
        <v>0</v>
      </c>
      <c r="AF365" s="6">
        <f ca="1">$M$365*$Z$365</f>
        <v>1239.4083507353776</v>
      </c>
      <c r="AG365" s="6">
        <f>$O$365*$AA$365</f>
        <v>404.93081381885139</v>
      </c>
    </row>
    <row r="366" spans="1:33" ht="11.25" customHeight="1" x14ac:dyDescent="0.25">
      <c r="A366" s="4" t="s">
        <v>28</v>
      </c>
      <c r="B366" s="4" t="s">
        <v>40</v>
      </c>
      <c r="C366" s="4" t="s">
        <v>23</v>
      </c>
      <c r="D366" s="4" t="s">
        <v>41</v>
      </c>
      <c r="E366" s="4" t="s">
        <v>49</v>
      </c>
      <c r="F366" s="4" t="s">
        <v>51</v>
      </c>
      <c r="G366" s="4" t="s">
        <v>25</v>
      </c>
      <c r="H366" s="4" t="s">
        <v>25</v>
      </c>
      <c r="I366" s="5">
        <v>44562</v>
      </c>
      <c r="J366" s="6">
        <v>0</v>
      </c>
      <c r="K366" s="6">
        <v>0</v>
      </c>
      <c r="L366" s="6">
        <v>0.86899999999999999</v>
      </c>
      <c r="M366" s="6">
        <v>0.34760000000000002</v>
      </c>
      <c r="N366" s="6">
        <v>0.86899999999999999</v>
      </c>
      <c r="O366" s="6">
        <v>0.34760000000000002</v>
      </c>
      <c r="P366" s="6">
        <v>0</v>
      </c>
      <c r="Q366" s="4" t="s">
        <v>26</v>
      </c>
      <c r="R366" s="4">
        <v>0</v>
      </c>
      <c r="S366" s="6">
        <v>0</v>
      </c>
      <c r="T366" s="6">
        <v>30</v>
      </c>
      <c r="U366" s="6">
        <v>55</v>
      </c>
      <c r="V366" s="6">
        <f>IF(ISERROR(VLOOKUP($S$366,'TAR FIN'!$A$1:$O$85,15,0)),0,VLOOKUP($S$366,'TAR FIN'!$A$1:$O$85,15,0))</f>
        <v>0</v>
      </c>
      <c r="W366" s="6">
        <f>IF(ISERROR(VLOOKUP($T$366,'TAR FIN'!$A$1:$O$85,15,0)),0,VLOOKUP($T$366,'TAR FIN'!$A$1:$O$85,15,0))</f>
        <v>331.77</v>
      </c>
      <c r="X366" s="6">
        <f>IF(ISERROR(VLOOKUP($U$366,'TAR FIN'!$A$1:$O$85,15,0)),0,VLOOKUP($U$366,'TAR FIN'!$A$1:$O$85,15,0))</f>
        <v>124.36</v>
      </c>
      <c r="Y366" s="6"/>
      <c r="Z366" s="6">
        <f ca="1">('TUSD BE'!$AM$33+'TUSD BF'!$AM$33+'TUSD CVA'!$AM$33)*(1-CUSTOS!$M$38)</f>
        <v>390.73403238820225</v>
      </c>
      <c r="AA366" s="6">
        <f>('TE BE'!$AB$23+'TE BF'!$AB$23+'TE CVA'!$AB$23)*(1-CUSTOS!$M$38)</f>
        <v>127.65788581931002</v>
      </c>
      <c r="AB366" s="6">
        <f>$K$366*$V$366</f>
        <v>0</v>
      </c>
      <c r="AC366" s="6">
        <f>$M$366*$W$366</f>
        <v>115.323252</v>
      </c>
      <c r="AD366" s="6">
        <f>$O$366*$X$366</f>
        <v>43.227536000000001</v>
      </c>
      <c r="AE366" s="6">
        <f>$K$366*$Y$366</f>
        <v>0</v>
      </c>
      <c r="AF366" s="6">
        <f ca="1">$M$366*$Z$366</f>
        <v>135.81914965813911</v>
      </c>
      <c r="AG366" s="6">
        <f>$O$366*$AA$366</f>
        <v>44.373881110792169</v>
      </c>
    </row>
    <row r="367" spans="1:33" ht="11.25" customHeight="1" x14ac:dyDescent="0.25">
      <c r="A367" s="4" t="s">
        <v>21</v>
      </c>
      <c r="B367" s="4" t="s">
        <v>40</v>
      </c>
      <c r="C367" s="4" t="s">
        <v>23</v>
      </c>
      <c r="D367" s="4" t="s">
        <v>41</v>
      </c>
      <c r="E367" s="4" t="s">
        <v>49</v>
      </c>
      <c r="F367" s="4" t="s">
        <v>51</v>
      </c>
      <c r="G367" s="4" t="s">
        <v>25</v>
      </c>
      <c r="H367" s="4" t="s">
        <v>25</v>
      </c>
      <c r="I367" s="5">
        <v>44593</v>
      </c>
      <c r="J367" s="6">
        <v>0</v>
      </c>
      <c r="K367" s="6">
        <v>0</v>
      </c>
      <c r="L367" s="6">
        <v>4.54</v>
      </c>
      <c r="M367" s="6">
        <v>1.8160000000000001</v>
      </c>
      <c r="N367" s="6">
        <v>4.54</v>
      </c>
      <c r="O367" s="6">
        <v>1.8160000000000001</v>
      </c>
      <c r="P367" s="6">
        <v>0</v>
      </c>
      <c r="Q367" s="4" t="s">
        <v>26</v>
      </c>
      <c r="R367" s="4">
        <v>0</v>
      </c>
      <c r="S367" s="6">
        <v>0</v>
      </c>
      <c r="T367" s="6">
        <v>30</v>
      </c>
      <c r="U367" s="6">
        <v>55</v>
      </c>
      <c r="V367" s="6">
        <f>IF(ISERROR(VLOOKUP($S$367,'TAR FIN'!$A$1:$O$85,15,0)),0,VLOOKUP($S$367,'TAR FIN'!$A$1:$O$85,15,0))</f>
        <v>0</v>
      </c>
      <c r="W367" s="6">
        <f>IF(ISERROR(VLOOKUP($T$367,'TAR FIN'!$A$1:$O$85,15,0)),0,VLOOKUP($T$367,'TAR FIN'!$A$1:$O$85,15,0))</f>
        <v>331.77</v>
      </c>
      <c r="X367" s="6">
        <f>IF(ISERROR(VLOOKUP($U$367,'TAR FIN'!$A$1:$O$85,15,0)),0,VLOOKUP($U$367,'TAR FIN'!$A$1:$O$85,15,0))</f>
        <v>124.36</v>
      </c>
      <c r="Y367" s="6"/>
      <c r="Z367" s="6">
        <f ca="1">('TUSD BE'!$AM$33+'TUSD BF'!$AM$33+'TUSD CVA'!$AM$33)*(1-CUSTOS!$M$38)</f>
        <v>390.73403238820225</v>
      </c>
      <c r="AA367" s="6">
        <f>('TE BE'!$AB$23+'TE BF'!$AB$23+'TE CVA'!$AB$23)*(1-CUSTOS!$M$38)</f>
        <v>127.65788581931002</v>
      </c>
      <c r="AB367" s="6">
        <f>$K$367*$V$367</f>
        <v>0</v>
      </c>
      <c r="AC367" s="6">
        <f>$M$367*$W$367</f>
        <v>602.49432000000002</v>
      </c>
      <c r="AD367" s="6">
        <f>$O$367*$X$367</f>
        <v>225.83776</v>
      </c>
      <c r="AE367" s="6">
        <f>$K$367*$Y$367</f>
        <v>0</v>
      </c>
      <c r="AF367" s="6">
        <f ca="1">$M$367*$Z$367</f>
        <v>709.5730028169753</v>
      </c>
      <c r="AG367" s="6">
        <f>$O$367*$AA$367</f>
        <v>231.82672064786701</v>
      </c>
    </row>
    <row r="368" spans="1:33" ht="11.25" customHeight="1" x14ac:dyDescent="0.25">
      <c r="A368" s="4" t="s">
        <v>28</v>
      </c>
      <c r="B368" s="4" t="s">
        <v>40</v>
      </c>
      <c r="C368" s="4" t="s">
        <v>23</v>
      </c>
      <c r="D368" s="4" t="s">
        <v>41</v>
      </c>
      <c r="E368" s="4" t="s">
        <v>49</v>
      </c>
      <c r="F368" s="4" t="s">
        <v>51</v>
      </c>
      <c r="G368" s="4" t="s">
        <v>25</v>
      </c>
      <c r="H368" s="4" t="s">
        <v>25</v>
      </c>
      <c r="I368" s="5">
        <v>44593</v>
      </c>
      <c r="J368" s="6">
        <v>0</v>
      </c>
      <c r="K368" s="6">
        <v>0</v>
      </c>
      <c r="L368" s="6">
        <v>0.13700000000000001</v>
      </c>
      <c r="M368" s="6">
        <v>5.4800000000000001E-2</v>
      </c>
      <c r="N368" s="6">
        <v>0.13700000000000001</v>
      </c>
      <c r="O368" s="6">
        <v>5.4800000000000001E-2</v>
      </c>
      <c r="P368" s="6">
        <v>0</v>
      </c>
      <c r="Q368" s="4" t="s">
        <v>26</v>
      </c>
      <c r="R368" s="4">
        <v>0</v>
      </c>
      <c r="S368" s="6">
        <v>0</v>
      </c>
      <c r="T368" s="6">
        <v>30</v>
      </c>
      <c r="U368" s="6">
        <v>55</v>
      </c>
      <c r="V368" s="6">
        <f>IF(ISERROR(VLOOKUP($S$368,'TAR FIN'!$A$1:$O$85,15,0)),0,VLOOKUP($S$368,'TAR FIN'!$A$1:$O$85,15,0))</f>
        <v>0</v>
      </c>
      <c r="W368" s="6">
        <f>IF(ISERROR(VLOOKUP($T$368,'TAR FIN'!$A$1:$O$85,15,0)),0,VLOOKUP($T$368,'TAR FIN'!$A$1:$O$85,15,0))</f>
        <v>331.77</v>
      </c>
      <c r="X368" s="6">
        <f>IF(ISERROR(VLOOKUP($U$368,'TAR FIN'!$A$1:$O$85,15,0)),0,VLOOKUP($U$368,'TAR FIN'!$A$1:$O$85,15,0))</f>
        <v>124.36</v>
      </c>
      <c r="Y368" s="6"/>
      <c r="Z368" s="6">
        <f ca="1">('TUSD BE'!$AM$33+'TUSD BF'!$AM$33+'TUSD CVA'!$AM$33)*(1-CUSTOS!$M$38)</f>
        <v>390.73403238820225</v>
      </c>
      <c r="AA368" s="6">
        <f>('TE BE'!$AB$23+'TE BF'!$AB$23+'TE CVA'!$AB$23)*(1-CUSTOS!$M$38)</f>
        <v>127.65788581931002</v>
      </c>
      <c r="AB368" s="6">
        <f>$K$368*$V$368</f>
        <v>0</v>
      </c>
      <c r="AC368" s="6">
        <f>$M$368*$W$368</f>
        <v>18.180996</v>
      </c>
      <c r="AD368" s="6">
        <f>$O$368*$X$368</f>
        <v>6.8149280000000001</v>
      </c>
      <c r="AE368" s="6">
        <f>$K$368*$Y$368</f>
        <v>0</v>
      </c>
      <c r="AF368" s="6">
        <f ca="1">$M$368*$Z$368</f>
        <v>21.412224974873485</v>
      </c>
      <c r="AG368" s="6">
        <f>$O$368*$AA$368</f>
        <v>6.9956521428981899</v>
      </c>
    </row>
    <row r="369" spans="1:33" ht="11.25" customHeight="1" x14ac:dyDescent="0.25">
      <c r="A369" s="4" t="s">
        <v>21</v>
      </c>
      <c r="B369" s="4" t="s">
        <v>40</v>
      </c>
      <c r="C369" s="4" t="s">
        <v>23</v>
      </c>
      <c r="D369" s="4" t="s">
        <v>41</v>
      </c>
      <c r="E369" s="4" t="s">
        <v>49</v>
      </c>
      <c r="F369" s="4" t="s">
        <v>51</v>
      </c>
      <c r="G369" s="4" t="s">
        <v>25</v>
      </c>
      <c r="H369" s="4" t="s">
        <v>25</v>
      </c>
      <c r="I369" s="5">
        <v>44621</v>
      </c>
      <c r="J369" s="6">
        <v>0</v>
      </c>
      <c r="K369" s="6">
        <v>0</v>
      </c>
      <c r="L369" s="6">
        <v>3.331</v>
      </c>
      <c r="M369" s="6">
        <v>1.3324</v>
      </c>
      <c r="N369" s="6">
        <v>3.331</v>
      </c>
      <c r="O369" s="6">
        <v>1.3324</v>
      </c>
      <c r="P369" s="6">
        <v>0</v>
      </c>
      <c r="Q369" s="4" t="s">
        <v>26</v>
      </c>
      <c r="R369" s="4">
        <v>0</v>
      </c>
      <c r="S369" s="6">
        <v>0</v>
      </c>
      <c r="T369" s="6">
        <v>30</v>
      </c>
      <c r="U369" s="6">
        <v>55</v>
      </c>
      <c r="V369" s="6">
        <f>IF(ISERROR(VLOOKUP($S$369,'TAR FIN'!$A$1:$O$85,15,0)),0,VLOOKUP($S$369,'TAR FIN'!$A$1:$O$85,15,0))</f>
        <v>0</v>
      </c>
      <c r="W369" s="6">
        <f>IF(ISERROR(VLOOKUP($T$369,'TAR FIN'!$A$1:$O$85,15,0)),0,VLOOKUP($T$369,'TAR FIN'!$A$1:$O$85,15,0))</f>
        <v>331.77</v>
      </c>
      <c r="X369" s="6">
        <f>IF(ISERROR(VLOOKUP($U$369,'TAR FIN'!$A$1:$O$85,15,0)),0,VLOOKUP($U$369,'TAR FIN'!$A$1:$O$85,15,0))</f>
        <v>124.36</v>
      </c>
      <c r="Y369" s="6"/>
      <c r="Z369" s="6">
        <f ca="1">('TUSD BE'!$AM$33+'TUSD BF'!$AM$33+'TUSD CVA'!$AM$33)*(1-CUSTOS!$M$38)</f>
        <v>390.73403238820225</v>
      </c>
      <c r="AA369" s="6">
        <f>('TE BE'!$AB$23+'TE BF'!$AB$23+'TE CVA'!$AB$23)*(1-CUSTOS!$M$38)</f>
        <v>127.65788581931002</v>
      </c>
      <c r="AB369" s="6">
        <f>$K$369*$V$369</f>
        <v>0</v>
      </c>
      <c r="AC369" s="6">
        <f>$M$369*$W$369</f>
        <v>442.05034799999999</v>
      </c>
      <c r="AD369" s="6">
        <f>$O$369*$X$369</f>
        <v>165.69726399999999</v>
      </c>
      <c r="AE369" s="6">
        <f>$K$369*$Y$369</f>
        <v>0</v>
      </c>
      <c r="AF369" s="6">
        <f ca="1">$M$369*$Z$369</f>
        <v>520.61402475404066</v>
      </c>
      <c r="AG369" s="6">
        <f>$O$369*$AA$369</f>
        <v>170.09136706564868</v>
      </c>
    </row>
    <row r="370" spans="1:33" ht="11.25" customHeight="1" x14ac:dyDescent="0.25">
      <c r="A370" s="4" t="s">
        <v>28</v>
      </c>
      <c r="B370" s="4" t="s">
        <v>40</v>
      </c>
      <c r="C370" s="4" t="s">
        <v>23</v>
      </c>
      <c r="D370" s="4" t="s">
        <v>41</v>
      </c>
      <c r="E370" s="4" t="s">
        <v>49</v>
      </c>
      <c r="F370" s="4" t="s">
        <v>51</v>
      </c>
      <c r="G370" s="4" t="s">
        <v>25</v>
      </c>
      <c r="H370" s="4" t="s">
        <v>25</v>
      </c>
      <c r="I370" s="5">
        <v>44621</v>
      </c>
      <c r="J370" s="6">
        <v>0</v>
      </c>
      <c r="K370" s="6">
        <v>0</v>
      </c>
      <c r="L370" s="6">
        <v>0.246</v>
      </c>
      <c r="M370" s="6">
        <v>9.8400000000000001E-2</v>
      </c>
      <c r="N370" s="6">
        <v>0.246</v>
      </c>
      <c r="O370" s="6">
        <v>9.8400000000000001E-2</v>
      </c>
      <c r="P370" s="6">
        <v>0</v>
      </c>
      <c r="Q370" s="4" t="s">
        <v>26</v>
      </c>
      <c r="R370" s="4">
        <v>0</v>
      </c>
      <c r="S370" s="6">
        <v>0</v>
      </c>
      <c r="T370" s="6">
        <v>30</v>
      </c>
      <c r="U370" s="6">
        <v>55</v>
      </c>
      <c r="V370" s="6">
        <f>IF(ISERROR(VLOOKUP($S$370,'TAR FIN'!$A$1:$O$85,15,0)),0,VLOOKUP($S$370,'TAR FIN'!$A$1:$O$85,15,0))</f>
        <v>0</v>
      </c>
      <c r="W370" s="6">
        <f>IF(ISERROR(VLOOKUP($T$370,'TAR FIN'!$A$1:$O$85,15,0)),0,VLOOKUP($T$370,'TAR FIN'!$A$1:$O$85,15,0))</f>
        <v>331.77</v>
      </c>
      <c r="X370" s="6">
        <f>IF(ISERROR(VLOOKUP($U$370,'TAR FIN'!$A$1:$O$85,15,0)),0,VLOOKUP($U$370,'TAR FIN'!$A$1:$O$85,15,0))</f>
        <v>124.36</v>
      </c>
      <c r="Y370" s="6"/>
      <c r="Z370" s="6">
        <f ca="1">('TUSD BE'!$AM$33+'TUSD BF'!$AM$33+'TUSD CVA'!$AM$33)*(1-CUSTOS!$M$38)</f>
        <v>390.73403238820225</v>
      </c>
      <c r="AA370" s="6">
        <f>('TE BE'!$AB$23+'TE BF'!$AB$23+'TE CVA'!$AB$23)*(1-CUSTOS!$M$38)</f>
        <v>127.65788581931002</v>
      </c>
      <c r="AB370" s="6">
        <f>$K$370*$V$370</f>
        <v>0</v>
      </c>
      <c r="AC370" s="6">
        <f>$M$370*$W$370</f>
        <v>32.646167999999996</v>
      </c>
      <c r="AD370" s="6">
        <f>$O$370*$X$370</f>
        <v>12.237024</v>
      </c>
      <c r="AE370" s="6">
        <f>$K$370*$Y$370</f>
        <v>0</v>
      </c>
      <c r="AF370" s="6">
        <f ca="1">$M$370*$Z$370</f>
        <v>38.448228786999103</v>
      </c>
      <c r="AG370" s="6">
        <f>$O$370*$AA$370</f>
        <v>12.561535964620107</v>
      </c>
    </row>
    <row r="371" spans="1:33" ht="11.25" customHeight="1" x14ac:dyDescent="0.25">
      <c r="A371" s="4" t="s">
        <v>21</v>
      </c>
      <c r="B371" s="4" t="s">
        <v>40</v>
      </c>
      <c r="C371" s="4" t="s">
        <v>23</v>
      </c>
      <c r="D371" s="4" t="s">
        <v>41</v>
      </c>
      <c r="E371" s="4" t="s">
        <v>49</v>
      </c>
      <c r="F371" s="4" t="s">
        <v>51</v>
      </c>
      <c r="G371" s="4" t="s">
        <v>25</v>
      </c>
      <c r="H371" s="4" t="s">
        <v>25</v>
      </c>
      <c r="I371" s="5">
        <v>44652</v>
      </c>
      <c r="J371" s="6">
        <v>0</v>
      </c>
      <c r="K371" s="6">
        <v>0</v>
      </c>
      <c r="L371" s="6">
        <v>1.518</v>
      </c>
      <c r="M371" s="6">
        <v>0.60719999999999996</v>
      </c>
      <c r="N371" s="6">
        <v>1.518</v>
      </c>
      <c r="O371" s="6">
        <v>0.60719999999999996</v>
      </c>
      <c r="P371" s="6">
        <v>0</v>
      </c>
      <c r="Q371" s="4" t="s">
        <v>26</v>
      </c>
      <c r="R371" s="4">
        <v>0</v>
      </c>
      <c r="S371" s="6">
        <v>0</v>
      </c>
      <c r="T371" s="6">
        <v>30</v>
      </c>
      <c r="U371" s="6">
        <v>55</v>
      </c>
      <c r="V371" s="6">
        <f>IF(ISERROR(VLOOKUP($S$371,'TAR FIN'!$A$1:$O$85,15,0)),0,VLOOKUP($S$371,'TAR FIN'!$A$1:$O$85,15,0))</f>
        <v>0</v>
      </c>
      <c r="W371" s="6">
        <f>IF(ISERROR(VLOOKUP($T$371,'TAR FIN'!$A$1:$O$85,15,0)),0,VLOOKUP($T$371,'TAR FIN'!$A$1:$O$85,15,0))</f>
        <v>331.77</v>
      </c>
      <c r="X371" s="6">
        <f>IF(ISERROR(VLOOKUP($U$371,'TAR FIN'!$A$1:$O$85,15,0)),0,VLOOKUP($U$371,'TAR FIN'!$A$1:$O$85,15,0))</f>
        <v>124.36</v>
      </c>
      <c r="Y371" s="6"/>
      <c r="Z371" s="6">
        <f ca="1">('TUSD BE'!$AM$33+'TUSD BF'!$AM$33+'TUSD CVA'!$AM$33)*(1-CUSTOS!$M$38)</f>
        <v>390.73403238820225</v>
      </c>
      <c r="AA371" s="6">
        <f>('TE BE'!$AB$23+'TE BF'!$AB$23+'TE CVA'!$AB$23)*(1-CUSTOS!$M$38)</f>
        <v>127.65788581931002</v>
      </c>
      <c r="AB371" s="6">
        <f>$K$371*$V$371</f>
        <v>0</v>
      </c>
      <c r="AC371" s="6">
        <f>$M$371*$W$371</f>
        <v>201.45074399999999</v>
      </c>
      <c r="AD371" s="6">
        <f>$O$371*$X$371</f>
        <v>75.511392000000001</v>
      </c>
      <c r="AE371" s="6">
        <f>$K$371*$Y$371</f>
        <v>0</v>
      </c>
      <c r="AF371" s="6">
        <f ca="1">$M$371*$Z$371</f>
        <v>237.2537044661164</v>
      </c>
      <c r="AG371" s="6">
        <f>$O$371*$AA$371</f>
        <v>77.513868269485044</v>
      </c>
    </row>
    <row r="372" spans="1:33" ht="11.25" customHeight="1" x14ac:dyDescent="0.25">
      <c r="A372" s="4" t="s">
        <v>28</v>
      </c>
      <c r="B372" s="4" t="s">
        <v>40</v>
      </c>
      <c r="C372" s="4" t="s">
        <v>23</v>
      </c>
      <c r="D372" s="4" t="s">
        <v>41</v>
      </c>
      <c r="E372" s="4" t="s">
        <v>49</v>
      </c>
      <c r="F372" s="4" t="s">
        <v>51</v>
      </c>
      <c r="G372" s="4" t="s">
        <v>25</v>
      </c>
      <c r="H372" s="4" t="s">
        <v>25</v>
      </c>
      <c r="I372" s="5">
        <v>44652</v>
      </c>
      <c r="J372" s="6">
        <v>0</v>
      </c>
      <c r="K372" s="6">
        <v>0</v>
      </c>
      <c r="L372" s="6">
        <v>4.7E-2</v>
      </c>
      <c r="M372" s="6">
        <v>1.8800000000000001E-2</v>
      </c>
      <c r="N372" s="6">
        <v>4.7E-2</v>
      </c>
      <c r="O372" s="6">
        <v>1.8800000000000001E-2</v>
      </c>
      <c r="P372" s="6">
        <v>0</v>
      </c>
      <c r="Q372" s="4" t="s">
        <v>26</v>
      </c>
      <c r="R372" s="4">
        <v>0</v>
      </c>
      <c r="S372" s="6">
        <v>0</v>
      </c>
      <c r="T372" s="6">
        <v>30</v>
      </c>
      <c r="U372" s="6">
        <v>55</v>
      </c>
      <c r="V372" s="6">
        <f>IF(ISERROR(VLOOKUP($S$372,'TAR FIN'!$A$1:$O$85,15,0)),0,VLOOKUP($S$372,'TAR FIN'!$A$1:$O$85,15,0))</f>
        <v>0</v>
      </c>
      <c r="W372" s="6">
        <f>IF(ISERROR(VLOOKUP($T$372,'TAR FIN'!$A$1:$O$85,15,0)),0,VLOOKUP($T$372,'TAR FIN'!$A$1:$O$85,15,0))</f>
        <v>331.77</v>
      </c>
      <c r="X372" s="6">
        <f>IF(ISERROR(VLOOKUP($U$372,'TAR FIN'!$A$1:$O$85,15,0)),0,VLOOKUP($U$372,'TAR FIN'!$A$1:$O$85,15,0))</f>
        <v>124.36</v>
      </c>
      <c r="Y372" s="6"/>
      <c r="Z372" s="6">
        <f ca="1">('TUSD BE'!$AM$33+'TUSD BF'!$AM$33+'TUSD CVA'!$AM$33)*(1-CUSTOS!$M$38)</f>
        <v>390.73403238820225</v>
      </c>
      <c r="AA372" s="6">
        <f>('TE BE'!$AB$23+'TE BF'!$AB$23+'TE CVA'!$AB$23)*(1-CUSTOS!$M$38)</f>
        <v>127.65788581931002</v>
      </c>
      <c r="AB372" s="6">
        <f>$K$372*$V$372</f>
        <v>0</v>
      </c>
      <c r="AC372" s="6">
        <f>$M$372*$W$372</f>
        <v>6.2372759999999996</v>
      </c>
      <c r="AD372" s="6">
        <f>$O$372*$X$372</f>
        <v>2.337968</v>
      </c>
      <c r="AE372" s="6">
        <f>$K$372*$Y$372</f>
        <v>0</v>
      </c>
      <c r="AF372" s="6">
        <f ca="1">$M$372*$Z$372</f>
        <v>7.3457998088982031</v>
      </c>
      <c r="AG372" s="6">
        <f>$O$372*$AA$372</f>
        <v>2.3999682534030287</v>
      </c>
    </row>
    <row r="373" spans="1:33" ht="11.25" customHeight="1" x14ac:dyDescent="0.25">
      <c r="A373" s="4" t="s">
        <v>21</v>
      </c>
      <c r="B373" s="4" t="s">
        <v>40</v>
      </c>
      <c r="C373" s="4" t="s">
        <v>23</v>
      </c>
      <c r="D373" s="4" t="s">
        <v>41</v>
      </c>
      <c r="E373" s="4" t="s">
        <v>49</v>
      </c>
      <c r="F373" s="4" t="s">
        <v>51</v>
      </c>
      <c r="G373" s="4" t="s">
        <v>25</v>
      </c>
      <c r="H373" s="4" t="s">
        <v>25</v>
      </c>
      <c r="I373" s="5">
        <v>44682</v>
      </c>
      <c r="J373" s="6">
        <v>0</v>
      </c>
      <c r="K373" s="6">
        <v>0</v>
      </c>
      <c r="L373" s="6">
        <v>0.59099999999999997</v>
      </c>
      <c r="M373" s="6">
        <v>0.2364</v>
      </c>
      <c r="N373" s="6">
        <v>0.59099999999999997</v>
      </c>
      <c r="O373" s="6">
        <v>0.2364</v>
      </c>
      <c r="P373" s="6">
        <v>0</v>
      </c>
      <c r="Q373" s="4" t="s">
        <v>26</v>
      </c>
      <c r="R373" s="4">
        <v>0</v>
      </c>
      <c r="S373" s="6">
        <v>0</v>
      </c>
      <c r="T373" s="6">
        <v>30</v>
      </c>
      <c r="U373" s="6">
        <v>55</v>
      </c>
      <c r="V373" s="6">
        <f>IF(ISERROR(VLOOKUP($S$373,'TAR FIN'!$A$1:$O$85,15,0)),0,VLOOKUP($S$373,'TAR FIN'!$A$1:$O$85,15,0))</f>
        <v>0</v>
      </c>
      <c r="W373" s="6">
        <f>IF(ISERROR(VLOOKUP($T$373,'TAR FIN'!$A$1:$O$85,15,0)),0,VLOOKUP($T$373,'TAR FIN'!$A$1:$O$85,15,0))</f>
        <v>331.77</v>
      </c>
      <c r="X373" s="6">
        <f>IF(ISERROR(VLOOKUP($U$373,'TAR FIN'!$A$1:$O$85,15,0)),0,VLOOKUP($U$373,'TAR FIN'!$A$1:$O$85,15,0))</f>
        <v>124.36</v>
      </c>
      <c r="Y373" s="6"/>
      <c r="Z373" s="6">
        <f ca="1">('TUSD BE'!$AM$33+'TUSD BF'!$AM$33+'TUSD CVA'!$AM$33)*(1-CUSTOS!$M$38)</f>
        <v>390.73403238820225</v>
      </c>
      <c r="AA373" s="6">
        <f>('TE BE'!$AB$23+'TE BF'!$AB$23+'TE CVA'!$AB$23)*(1-CUSTOS!$M$38)</f>
        <v>127.65788581931002</v>
      </c>
      <c r="AB373" s="6">
        <f>$K$373*$V$373</f>
        <v>0</v>
      </c>
      <c r="AC373" s="6">
        <f>$M$373*$W$373</f>
        <v>78.430427999999992</v>
      </c>
      <c r="AD373" s="6">
        <f>$O$373*$X$373</f>
        <v>29.398703999999999</v>
      </c>
      <c r="AE373" s="6">
        <f>$K$373*$Y$373</f>
        <v>0</v>
      </c>
      <c r="AF373" s="6">
        <f ca="1">$M$373*$Z$373</f>
        <v>92.369525256571009</v>
      </c>
      <c r="AG373" s="6">
        <f>$O$373*$AA$373</f>
        <v>30.178324207684891</v>
      </c>
    </row>
    <row r="374" spans="1:33" ht="11.25" customHeight="1" x14ac:dyDescent="0.25">
      <c r="A374" s="4" t="s">
        <v>28</v>
      </c>
      <c r="B374" s="4" t="s">
        <v>40</v>
      </c>
      <c r="C374" s="4" t="s">
        <v>23</v>
      </c>
      <c r="D374" s="4" t="s">
        <v>41</v>
      </c>
      <c r="E374" s="4" t="s">
        <v>49</v>
      </c>
      <c r="F374" s="4" t="s">
        <v>51</v>
      </c>
      <c r="G374" s="4" t="s">
        <v>25</v>
      </c>
      <c r="H374" s="4" t="s">
        <v>25</v>
      </c>
      <c r="I374" s="5">
        <v>44682</v>
      </c>
      <c r="J374" s="6">
        <v>0</v>
      </c>
      <c r="K374" s="6">
        <v>0</v>
      </c>
      <c r="L374" s="6">
        <v>6.9000000000000006E-2</v>
      </c>
      <c r="M374" s="6">
        <v>2.76E-2</v>
      </c>
      <c r="N374" s="6">
        <v>6.9000000000000006E-2</v>
      </c>
      <c r="O374" s="6">
        <v>2.76E-2</v>
      </c>
      <c r="P374" s="6">
        <v>0</v>
      </c>
      <c r="Q374" s="4" t="s">
        <v>26</v>
      </c>
      <c r="R374" s="4">
        <v>0</v>
      </c>
      <c r="S374" s="6">
        <v>0</v>
      </c>
      <c r="T374" s="6">
        <v>30</v>
      </c>
      <c r="U374" s="6">
        <v>55</v>
      </c>
      <c r="V374" s="6">
        <f>IF(ISERROR(VLOOKUP($S$374,'TAR FIN'!$A$1:$O$85,15,0)),0,VLOOKUP($S$374,'TAR FIN'!$A$1:$O$85,15,0))</f>
        <v>0</v>
      </c>
      <c r="W374" s="6">
        <f>IF(ISERROR(VLOOKUP($T$374,'TAR FIN'!$A$1:$O$85,15,0)),0,VLOOKUP($T$374,'TAR FIN'!$A$1:$O$85,15,0))</f>
        <v>331.77</v>
      </c>
      <c r="X374" s="6">
        <f>IF(ISERROR(VLOOKUP($U$374,'TAR FIN'!$A$1:$O$85,15,0)),0,VLOOKUP($U$374,'TAR FIN'!$A$1:$O$85,15,0))</f>
        <v>124.36</v>
      </c>
      <c r="Y374" s="6"/>
      <c r="Z374" s="6">
        <f ca="1">('TUSD BE'!$AM$33+'TUSD BF'!$AM$33+'TUSD CVA'!$AM$33)*(1-CUSTOS!$M$38)</f>
        <v>390.73403238820225</v>
      </c>
      <c r="AA374" s="6">
        <f>('TE BE'!$AB$23+'TE BF'!$AB$23+'TE CVA'!$AB$23)*(1-CUSTOS!$M$38)</f>
        <v>127.65788581931002</v>
      </c>
      <c r="AB374" s="6">
        <f>$K$374*$V$374</f>
        <v>0</v>
      </c>
      <c r="AC374" s="6">
        <f>$M$374*$W$374</f>
        <v>9.1568519999999989</v>
      </c>
      <c r="AD374" s="6">
        <f>$O$374*$X$374</f>
        <v>3.4323359999999998</v>
      </c>
      <c r="AE374" s="6">
        <f>$K$374*$Y$374</f>
        <v>0</v>
      </c>
      <c r="AF374" s="6">
        <f ca="1">$M$374*$Z$374</f>
        <v>10.784259293914381</v>
      </c>
      <c r="AG374" s="6">
        <f>$O$374*$AA$374</f>
        <v>3.5233576486129565</v>
      </c>
    </row>
    <row r="375" spans="1:33" ht="11.25" customHeight="1" x14ac:dyDescent="0.25">
      <c r="A375" s="4" t="s">
        <v>21</v>
      </c>
      <c r="B375" s="4" t="s">
        <v>40</v>
      </c>
      <c r="C375" s="4" t="s">
        <v>23</v>
      </c>
      <c r="D375" s="4" t="s">
        <v>41</v>
      </c>
      <c r="E375" s="4" t="s">
        <v>49</v>
      </c>
      <c r="F375" s="4" t="s">
        <v>51</v>
      </c>
      <c r="G375" s="4" t="s">
        <v>25</v>
      </c>
      <c r="H375" s="4" t="s">
        <v>25</v>
      </c>
      <c r="I375" s="5">
        <v>44713</v>
      </c>
      <c r="J375" s="6">
        <v>0</v>
      </c>
      <c r="K375" s="6">
        <v>0</v>
      </c>
      <c r="L375" s="6">
        <v>0.83799999999999997</v>
      </c>
      <c r="M375" s="6">
        <v>0.3352</v>
      </c>
      <c r="N375" s="6">
        <v>0.83799999999999997</v>
      </c>
      <c r="O375" s="6">
        <v>0.3352</v>
      </c>
      <c r="P375" s="6">
        <v>0</v>
      </c>
      <c r="Q375" s="4" t="s">
        <v>26</v>
      </c>
      <c r="R375" s="4">
        <v>0</v>
      </c>
      <c r="S375" s="6">
        <v>0</v>
      </c>
      <c r="T375" s="6">
        <v>30</v>
      </c>
      <c r="U375" s="6">
        <v>55</v>
      </c>
      <c r="V375" s="6">
        <f>IF(ISERROR(VLOOKUP($S$375,'TAR FIN'!$A$1:$O$85,15,0)),0,VLOOKUP($S$375,'TAR FIN'!$A$1:$O$85,15,0))</f>
        <v>0</v>
      </c>
      <c r="W375" s="6">
        <f>IF(ISERROR(VLOOKUP($T$375,'TAR FIN'!$A$1:$O$85,15,0)),0,VLOOKUP($T$375,'TAR FIN'!$A$1:$O$85,15,0))</f>
        <v>331.77</v>
      </c>
      <c r="X375" s="6">
        <f>IF(ISERROR(VLOOKUP($U$375,'TAR FIN'!$A$1:$O$85,15,0)),0,VLOOKUP($U$375,'TAR FIN'!$A$1:$O$85,15,0))</f>
        <v>124.36</v>
      </c>
      <c r="Y375" s="6"/>
      <c r="Z375" s="6">
        <f ca="1">('TUSD BE'!$AM$33+'TUSD BF'!$AM$33+'TUSD CVA'!$AM$33)*(1-CUSTOS!$M$38)</f>
        <v>390.73403238820225</v>
      </c>
      <c r="AA375" s="6">
        <f>('TE BE'!$AB$23+'TE BF'!$AB$23+'TE CVA'!$AB$23)*(1-CUSTOS!$M$38)</f>
        <v>127.65788581931002</v>
      </c>
      <c r="AB375" s="6">
        <f>$K$375*$V$375</f>
        <v>0</v>
      </c>
      <c r="AC375" s="6">
        <f>$M$375*$W$375</f>
        <v>111.20930399999999</v>
      </c>
      <c r="AD375" s="6">
        <f>$O$375*$X$375</f>
        <v>41.685471999999997</v>
      </c>
      <c r="AE375" s="6">
        <f>$K$375*$Y$375</f>
        <v>0</v>
      </c>
      <c r="AF375" s="6">
        <f ca="1">$M$375*$Z$375</f>
        <v>130.97404765652539</v>
      </c>
      <c r="AG375" s="6">
        <f>$O$375*$AA$375</f>
        <v>42.790923326632722</v>
      </c>
    </row>
    <row r="376" spans="1:33" ht="11.25" customHeight="1" x14ac:dyDescent="0.25">
      <c r="A376" s="4" t="s">
        <v>21</v>
      </c>
      <c r="B376" s="4" t="s">
        <v>40</v>
      </c>
      <c r="C376" s="4" t="s">
        <v>23</v>
      </c>
      <c r="D376" s="4" t="s">
        <v>41</v>
      </c>
      <c r="E376" s="4" t="s">
        <v>49</v>
      </c>
      <c r="F376" s="4" t="s">
        <v>51</v>
      </c>
      <c r="G376" s="4" t="s">
        <v>25</v>
      </c>
      <c r="H376" s="4" t="s">
        <v>25</v>
      </c>
      <c r="I376" s="5">
        <v>44743</v>
      </c>
      <c r="J376" s="6">
        <v>0</v>
      </c>
      <c r="K376" s="6">
        <v>0</v>
      </c>
      <c r="L376" s="6">
        <v>0.85399999999999998</v>
      </c>
      <c r="M376" s="6">
        <v>0.34160000000000001</v>
      </c>
      <c r="N376" s="6">
        <v>0.85399999999999998</v>
      </c>
      <c r="O376" s="6">
        <v>0.34160000000000001</v>
      </c>
      <c r="P376" s="6">
        <v>0</v>
      </c>
      <c r="Q376" s="4" t="s">
        <v>26</v>
      </c>
      <c r="R376" s="4">
        <v>0</v>
      </c>
      <c r="S376" s="6">
        <v>0</v>
      </c>
      <c r="T376" s="6">
        <v>30</v>
      </c>
      <c r="U376" s="6">
        <v>55</v>
      </c>
      <c r="V376" s="6">
        <f>IF(ISERROR(VLOOKUP($S$376,'TAR FIN'!$A$1:$O$85,15,0)),0,VLOOKUP($S$376,'TAR FIN'!$A$1:$O$85,15,0))</f>
        <v>0</v>
      </c>
      <c r="W376" s="6">
        <f>IF(ISERROR(VLOOKUP($T$376,'TAR FIN'!$A$1:$O$85,15,0)),0,VLOOKUP($T$376,'TAR FIN'!$A$1:$O$85,15,0))</f>
        <v>331.77</v>
      </c>
      <c r="X376" s="6">
        <f>IF(ISERROR(VLOOKUP($U$376,'TAR FIN'!$A$1:$O$85,15,0)),0,VLOOKUP($U$376,'TAR FIN'!$A$1:$O$85,15,0))</f>
        <v>124.36</v>
      </c>
      <c r="Y376" s="6"/>
      <c r="Z376" s="6">
        <f ca="1">('TUSD BE'!$AM$33+'TUSD BF'!$AM$33+'TUSD CVA'!$AM$33)*(1-CUSTOS!$M$38)</f>
        <v>390.73403238820225</v>
      </c>
      <c r="AA376" s="6">
        <f>('TE BE'!$AB$23+'TE BF'!$AB$23+'TE CVA'!$AB$23)*(1-CUSTOS!$M$38)</f>
        <v>127.65788581931002</v>
      </c>
      <c r="AB376" s="6">
        <f>$K$376*$V$376</f>
        <v>0</v>
      </c>
      <c r="AC376" s="6">
        <f>$M$376*$W$376</f>
        <v>113.332632</v>
      </c>
      <c r="AD376" s="6">
        <f>$O$376*$X$376</f>
        <v>42.481376000000004</v>
      </c>
      <c r="AE376" s="6">
        <f>$K$376*$Y$376</f>
        <v>0</v>
      </c>
      <c r="AF376" s="6">
        <f ca="1">$M$376*$Z$376</f>
        <v>133.47474546380988</v>
      </c>
      <c r="AG376" s="6">
        <f>$O$376*$AA$376</f>
        <v>43.607933795876306</v>
      </c>
    </row>
    <row r="377" spans="1:33" ht="11.25" customHeight="1" x14ac:dyDescent="0.25">
      <c r="A377" s="4" t="s">
        <v>27</v>
      </c>
      <c r="B377" s="4" t="s">
        <v>40</v>
      </c>
      <c r="C377" s="4" t="s">
        <v>23</v>
      </c>
      <c r="D377" s="4" t="s">
        <v>41</v>
      </c>
      <c r="E377" s="4" t="s">
        <v>49</v>
      </c>
      <c r="F377" s="4" t="s">
        <v>51</v>
      </c>
      <c r="G377" s="4" t="s">
        <v>25</v>
      </c>
      <c r="H377" s="4" t="s">
        <v>25</v>
      </c>
      <c r="I377" s="5">
        <v>44743</v>
      </c>
      <c r="J377" s="6">
        <v>0</v>
      </c>
      <c r="K377" s="6">
        <v>0</v>
      </c>
      <c r="L377" s="6">
        <v>-0.187</v>
      </c>
      <c r="M377" s="6">
        <v>-7.4800000000000005E-2</v>
      </c>
      <c r="N377" s="6">
        <v>-0.187</v>
      </c>
      <c r="O377" s="6">
        <v>-7.4800000000000005E-2</v>
      </c>
      <c r="P377" s="6">
        <v>0</v>
      </c>
      <c r="Q377" s="4" t="s">
        <v>26</v>
      </c>
      <c r="R377" s="4">
        <v>0</v>
      </c>
      <c r="S377" s="6">
        <v>0</v>
      </c>
      <c r="T377" s="6">
        <v>30</v>
      </c>
      <c r="U377" s="6">
        <v>55</v>
      </c>
      <c r="V377" s="6">
        <f>IF(ISERROR(VLOOKUP($S$377,'TAR FIN'!$A$1:$O$85,15,0)),0,VLOOKUP($S$377,'TAR FIN'!$A$1:$O$85,15,0))</f>
        <v>0</v>
      </c>
      <c r="W377" s="6">
        <f>IF(ISERROR(VLOOKUP($T$377,'TAR FIN'!$A$1:$O$85,15,0)),0,VLOOKUP($T$377,'TAR FIN'!$A$1:$O$85,15,0))</f>
        <v>331.77</v>
      </c>
      <c r="X377" s="6">
        <f>IF(ISERROR(VLOOKUP($U$377,'TAR FIN'!$A$1:$O$85,15,0)),0,VLOOKUP($U$377,'TAR FIN'!$A$1:$O$85,15,0))</f>
        <v>124.36</v>
      </c>
      <c r="Y377" s="6"/>
      <c r="Z377" s="6">
        <f ca="1">('TUSD BE'!$AM$33+'TUSD BF'!$AM$33+'TUSD CVA'!$AM$33)*(1-CUSTOS!$M$38)</f>
        <v>390.73403238820225</v>
      </c>
      <c r="AA377" s="6">
        <f>('TE BE'!$AB$23+'TE BF'!$AB$23+'TE CVA'!$AB$23)*(1-CUSTOS!$M$38)</f>
        <v>127.65788581931002</v>
      </c>
      <c r="AB377" s="6">
        <f>$K$377*$V$377</f>
        <v>0</v>
      </c>
      <c r="AC377" s="6">
        <f>$M$377*$W$377</f>
        <v>-24.816396000000001</v>
      </c>
      <c r="AD377" s="6">
        <f>$O$377*$X$377</f>
        <v>-9.3021280000000015</v>
      </c>
      <c r="AE377" s="6">
        <f>$K$377*$Y$377</f>
        <v>0</v>
      </c>
      <c r="AF377" s="6">
        <f ca="1">$M$377*$Z$377</f>
        <v>-29.226905622637531</v>
      </c>
      <c r="AG377" s="6">
        <f>$O$377*$AA$377</f>
        <v>-9.5488098592843897</v>
      </c>
    </row>
    <row r="378" spans="1:33" ht="11.25" customHeight="1" x14ac:dyDescent="0.25">
      <c r="A378" s="4" t="s">
        <v>21</v>
      </c>
      <c r="B378" s="4" t="s">
        <v>40</v>
      </c>
      <c r="C378" s="4" t="s">
        <v>23</v>
      </c>
      <c r="D378" s="4" t="s">
        <v>41</v>
      </c>
      <c r="E378" s="4" t="s">
        <v>49</v>
      </c>
      <c r="F378" s="4" t="s">
        <v>51</v>
      </c>
      <c r="G378" s="4" t="s">
        <v>25</v>
      </c>
      <c r="H378" s="4" t="s">
        <v>25</v>
      </c>
      <c r="I378" s="5">
        <v>44774</v>
      </c>
      <c r="J378" s="6">
        <v>0</v>
      </c>
      <c r="K378" s="6">
        <v>0</v>
      </c>
      <c r="L378" s="6">
        <v>0.77700000000000002</v>
      </c>
      <c r="M378" s="6">
        <v>0.31080000000000002</v>
      </c>
      <c r="N378" s="6">
        <v>0.77700000000000002</v>
      </c>
      <c r="O378" s="6">
        <v>0.31080000000000002</v>
      </c>
      <c r="P378" s="6">
        <v>0</v>
      </c>
      <c r="Q378" s="4" t="s">
        <v>26</v>
      </c>
      <c r="R378" s="4">
        <v>0</v>
      </c>
      <c r="S378" s="6">
        <v>0</v>
      </c>
      <c r="T378" s="6">
        <v>30</v>
      </c>
      <c r="U378" s="6">
        <v>55</v>
      </c>
      <c r="V378" s="6">
        <f>IF(ISERROR(VLOOKUP($S$378,'TAR FIN'!$A$1:$O$85,15,0)),0,VLOOKUP($S$378,'TAR FIN'!$A$1:$O$85,15,0))</f>
        <v>0</v>
      </c>
      <c r="W378" s="6">
        <f>IF(ISERROR(VLOOKUP($T$378,'TAR FIN'!$A$1:$O$85,15,0)),0,VLOOKUP($T$378,'TAR FIN'!$A$1:$O$85,15,0))</f>
        <v>331.77</v>
      </c>
      <c r="X378" s="6">
        <f>IF(ISERROR(VLOOKUP($U$378,'TAR FIN'!$A$1:$O$85,15,0)),0,VLOOKUP($U$378,'TAR FIN'!$A$1:$O$85,15,0))</f>
        <v>124.36</v>
      </c>
      <c r="Y378" s="6"/>
      <c r="Z378" s="6">
        <f ca="1">('TUSD BE'!$AM$33+'TUSD BF'!$AM$33+'TUSD CVA'!$AM$33)*(1-CUSTOS!$M$38)</f>
        <v>390.73403238820225</v>
      </c>
      <c r="AA378" s="6">
        <f>('TE BE'!$AB$23+'TE BF'!$AB$23+'TE CVA'!$AB$23)*(1-CUSTOS!$M$38)</f>
        <v>127.65788581931002</v>
      </c>
      <c r="AB378" s="6">
        <f>$K$378*$V$378</f>
        <v>0</v>
      </c>
      <c r="AC378" s="6">
        <f>$M$378*$W$378</f>
        <v>103.114116</v>
      </c>
      <c r="AD378" s="6">
        <f>$O$378*$X$378</f>
        <v>38.651088000000001</v>
      </c>
      <c r="AE378" s="6">
        <f>$K$378*$Y$378</f>
        <v>0</v>
      </c>
      <c r="AF378" s="6">
        <f ca="1">$M$378*$Z$378</f>
        <v>121.44013726625327</v>
      </c>
      <c r="AG378" s="6">
        <f>$O$378*$AA$378</f>
        <v>39.676070912641556</v>
      </c>
    </row>
    <row r="379" spans="1:33" ht="11.25" customHeight="1" x14ac:dyDescent="0.25">
      <c r="A379" s="4" t="s">
        <v>21</v>
      </c>
      <c r="B379" s="4" t="s">
        <v>40</v>
      </c>
      <c r="C379" s="4" t="s">
        <v>23</v>
      </c>
      <c r="D379" s="4" t="s">
        <v>41</v>
      </c>
      <c r="E379" s="4" t="s">
        <v>52</v>
      </c>
      <c r="F379" s="4" t="s">
        <v>50</v>
      </c>
      <c r="G379" s="4" t="s">
        <v>25</v>
      </c>
      <c r="H379" s="4" t="s">
        <v>25</v>
      </c>
      <c r="I379" s="5">
        <v>44440</v>
      </c>
      <c r="J379" s="6">
        <v>0</v>
      </c>
      <c r="K379" s="6">
        <v>0</v>
      </c>
      <c r="L379" s="6">
        <v>7.766</v>
      </c>
      <c r="M379" s="6">
        <v>7.766</v>
      </c>
      <c r="N379" s="6">
        <v>7.766</v>
      </c>
      <c r="O379" s="6">
        <v>7.766</v>
      </c>
      <c r="P379" s="6">
        <v>0</v>
      </c>
      <c r="Q379" s="4" t="s">
        <v>26</v>
      </c>
      <c r="R379" s="4">
        <v>0</v>
      </c>
      <c r="S379" s="6">
        <v>0</v>
      </c>
      <c r="T379" s="6">
        <v>30</v>
      </c>
      <c r="U379" s="6">
        <v>55</v>
      </c>
      <c r="V379" s="6">
        <f>IF(ISERROR(VLOOKUP($S$379,'TAR FIN'!$A$1:$O$85,15,0)),0,VLOOKUP($S$379,'TAR FIN'!$A$1:$O$85,15,0))</f>
        <v>0</v>
      </c>
      <c r="W379" s="6">
        <f>IF(ISERROR(VLOOKUP($T$379,'TAR FIN'!$A$1:$O$85,15,0)),0,VLOOKUP($T$379,'TAR FIN'!$A$1:$O$85,15,0))</f>
        <v>331.77</v>
      </c>
      <c r="X379" s="6">
        <f>IF(ISERROR(VLOOKUP($U$379,'TAR FIN'!$A$1:$O$85,15,0)),0,VLOOKUP($U$379,'TAR FIN'!$A$1:$O$85,15,0))</f>
        <v>124.36</v>
      </c>
      <c r="Y379" s="6"/>
      <c r="Z379" s="6">
        <f ca="1">('TUSD BE'!$AM$33+'TUSD BF'!$AM$33+'TUSD CVA'!$AM$33)*(1-CUSTOS!$M$38)</f>
        <v>390.73403238820225</v>
      </c>
      <c r="AA379" s="6">
        <f>('TE BE'!$AB$23+'TE BF'!$AB$23+'TE CVA'!$AB$23)*(1-CUSTOS!$M$38)</f>
        <v>127.65788581931002</v>
      </c>
      <c r="AB379" s="6">
        <f>$K$379*$V$379</f>
        <v>0</v>
      </c>
      <c r="AC379" s="6">
        <f>$M$379*$W$379</f>
        <v>2576.5258199999998</v>
      </c>
      <c r="AD379" s="6">
        <f>$O$379*$X$379</f>
        <v>965.77976000000001</v>
      </c>
      <c r="AE379" s="6">
        <f>$K$379*$Y$379</f>
        <v>0</v>
      </c>
      <c r="AF379" s="6">
        <f ca="1">$M$379*$Z$379</f>
        <v>3034.4404955267787</v>
      </c>
      <c r="AG379" s="6">
        <f>$O$379*$AA$379</f>
        <v>991.39114127276162</v>
      </c>
    </row>
    <row r="380" spans="1:33" ht="11.25" customHeight="1" x14ac:dyDescent="0.25">
      <c r="A380" s="4" t="s">
        <v>28</v>
      </c>
      <c r="B380" s="4" t="s">
        <v>40</v>
      </c>
      <c r="C380" s="4" t="s">
        <v>23</v>
      </c>
      <c r="D380" s="4" t="s">
        <v>41</v>
      </c>
      <c r="E380" s="4" t="s">
        <v>52</v>
      </c>
      <c r="F380" s="4" t="s">
        <v>50</v>
      </c>
      <c r="G380" s="4" t="s">
        <v>25</v>
      </c>
      <c r="H380" s="4" t="s">
        <v>25</v>
      </c>
      <c r="I380" s="5">
        <v>44440</v>
      </c>
      <c r="J380" s="6">
        <v>0</v>
      </c>
      <c r="K380" s="6">
        <v>0</v>
      </c>
      <c r="L380" s="6">
        <v>0.05</v>
      </c>
      <c r="M380" s="6">
        <v>0.05</v>
      </c>
      <c r="N380" s="6">
        <v>0.05</v>
      </c>
      <c r="O380" s="6">
        <v>0.05</v>
      </c>
      <c r="P380" s="6">
        <v>0</v>
      </c>
      <c r="Q380" s="4" t="s">
        <v>26</v>
      </c>
      <c r="R380" s="4">
        <v>0</v>
      </c>
      <c r="S380" s="6">
        <v>0</v>
      </c>
      <c r="T380" s="6">
        <v>30</v>
      </c>
      <c r="U380" s="6">
        <v>55</v>
      </c>
      <c r="V380" s="6">
        <f>IF(ISERROR(VLOOKUP($S$380,'TAR FIN'!$A$1:$O$85,15,0)),0,VLOOKUP($S$380,'TAR FIN'!$A$1:$O$85,15,0))</f>
        <v>0</v>
      </c>
      <c r="W380" s="6">
        <f>IF(ISERROR(VLOOKUP($T$380,'TAR FIN'!$A$1:$O$85,15,0)),0,VLOOKUP($T$380,'TAR FIN'!$A$1:$O$85,15,0))</f>
        <v>331.77</v>
      </c>
      <c r="X380" s="6">
        <f>IF(ISERROR(VLOOKUP($U$380,'TAR FIN'!$A$1:$O$85,15,0)),0,VLOOKUP($U$380,'TAR FIN'!$A$1:$O$85,15,0))</f>
        <v>124.36</v>
      </c>
      <c r="Y380" s="6"/>
      <c r="Z380" s="6">
        <f ca="1">('TUSD BE'!$AM$33+'TUSD BF'!$AM$33+'TUSD CVA'!$AM$33)*(1-CUSTOS!$M$38)</f>
        <v>390.73403238820225</v>
      </c>
      <c r="AA380" s="6">
        <f>('TE BE'!$AB$23+'TE BF'!$AB$23+'TE CVA'!$AB$23)*(1-CUSTOS!$M$38)</f>
        <v>127.65788581931002</v>
      </c>
      <c r="AB380" s="6">
        <f>$K$380*$V$380</f>
        <v>0</v>
      </c>
      <c r="AC380" s="6">
        <f>$M$380*$W$380</f>
        <v>16.5885</v>
      </c>
      <c r="AD380" s="6">
        <f>$O$380*$X$380</f>
        <v>6.218</v>
      </c>
      <c r="AE380" s="6">
        <f>$K$380*$Y$380</f>
        <v>0</v>
      </c>
      <c r="AF380" s="6">
        <f ca="1">$M$380*$Z$380</f>
        <v>19.536701619410113</v>
      </c>
      <c r="AG380" s="6">
        <f>$O$380*$AA$380</f>
        <v>6.3828942909655018</v>
      </c>
    </row>
    <row r="381" spans="1:33" ht="11.25" customHeight="1" x14ac:dyDescent="0.25">
      <c r="A381" s="4" t="s">
        <v>21</v>
      </c>
      <c r="B381" s="4" t="s">
        <v>40</v>
      </c>
      <c r="C381" s="4" t="s">
        <v>23</v>
      </c>
      <c r="D381" s="4" t="s">
        <v>41</v>
      </c>
      <c r="E381" s="4" t="s">
        <v>52</v>
      </c>
      <c r="F381" s="4" t="s">
        <v>50</v>
      </c>
      <c r="G381" s="4" t="s">
        <v>25</v>
      </c>
      <c r="H381" s="4" t="s">
        <v>25</v>
      </c>
      <c r="I381" s="5">
        <v>44470</v>
      </c>
      <c r="J381" s="6">
        <v>0</v>
      </c>
      <c r="K381" s="6">
        <v>0</v>
      </c>
      <c r="L381" s="6">
        <v>7.407</v>
      </c>
      <c r="M381" s="6">
        <v>7.407</v>
      </c>
      <c r="N381" s="6">
        <v>7.407</v>
      </c>
      <c r="O381" s="6">
        <v>7.407</v>
      </c>
      <c r="P381" s="6">
        <v>0</v>
      </c>
      <c r="Q381" s="4" t="s">
        <v>26</v>
      </c>
      <c r="R381" s="4">
        <v>0</v>
      </c>
      <c r="S381" s="6">
        <v>0</v>
      </c>
      <c r="T381" s="6">
        <v>30</v>
      </c>
      <c r="U381" s="6">
        <v>55</v>
      </c>
      <c r="V381" s="6">
        <f>IF(ISERROR(VLOOKUP($S$381,'TAR FIN'!$A$1:$O$85,15,0)),0,VLOOKUP($S$381,'TAR FIN'!$A$1:$O$85,15,0))</f>
        <v>0</v>
      </c>
      <c r="W381" s="6">
        <f>IF(ISERROR(VLOOKUP($T$381,'TAR FIN'!$A$1:$O$85,15,0)),0,VLOOKUP($T$381,'TAR FIN'!$A$1:$O$85,15,0))</f>
        <v>331.77</v>
      </c>
      <c r="X381" s="6">
        <f>IF(ISERROR(VLOOKUP($U$381,'TAR FIN'!$A$1:$O$85,15,0)),0,VLOOKUP($U$381,'TAR FIN'!$A$1:$O$85,15,0))</f>
        <v>124.36</v>
      </c>
      <c r="Y381" s="6"/>
      <c r="Z381" s="6">
        <f ca="1">('TUSD BE'!$AM$33+'TUSD BF'!$AM$33+'TUSD CVA'!$AM$33)*(1-CUSTOS!$M$38)</f>
        <v>390.73403238820225</v>
      </c>
      <c r="AA381" s="6">
        <f>('TE BE'!$AB$23+'TE BF'!$AB$23+'TE CVA'!$AB$23)*(1-CUSTOS!$M$38)</f>
        <v>127.65788581931002</v>
      </c>
      <c r="AB381" s="6">
        <f>$K$381*$V$381</f>
        <v>0</v>
      </c>
      <c r="AC381" s="6">
        <f>$M$381*$W$381</f>
        <v>2457.4203899999998</v>
      </c>
      <c r="AD381" s="6">
        <f>$O$381*$X$381</f>
        <v>921.13451999999995</v>
      </c>
      <c r="AE381" s="6">
        <f>$K$381*$Y$381</f>
        <v>0</v>
      </c>
      <c r="AF381" s="6">
        <f ca="1">$M$381*$Z$381</f>
        <v>2894.1669778994142</v>
      </c>
      <c r="AG381" s="6">
        <f>$O$381*$AA$381</f>
        <v>945.56196026362932</v>
      </c>
    </row>
    <row r="382" spans="1:33" ht="11.25" customHeight="1" x14ac:dyDescent="0.25">
      <c r="A382" s="4" t="s">
        <v>28</v>
      </c>
      <c r="B382" s="4" t="s">
        <v>40</v>
      </c>
      <c r="C382" s="4" t="s">
        <v>23</v>
      </c>
      <c r="D382" s="4" t="s">
        <v>41</v>
      </c>
      <c r="E382" s="4" t="s">
        <v>52</v>
      </c>
      <c r="F382" s="4" t="s">
        <v>50</v>
      </c>
      <c r="G382" s="4" t="s">
        <v>25</v>
      </c>
      <c r="H382" s="4" t="s">
        <v>25</v>
      </c>
      <c r="I382" s="5">
        <v>44470</v>
      </c>
      <c r="J382" s="6">
        <v>0</v>
      </c>
      <c r="K382" s="6">
        <v>0</v>
      </c>
      <c r="L382" s="6">
        <v>0.05</v>
      </c>
      <c r="M382" s="6">
        <v>0.05</v>
      </c>
      <c r="N382" s="6">
        <v>0.05</v>
      </c>
      <c r="O382" s="6">
        <v>0.05</v>
      </c>
      <c r="P382" s="6">
        <v>0</v>
      </c>
      <c r="Q382" s="4" t="s">
        <v>26</v>
      </c>
      <c r="R382" s="4">
        <v>0</v>
      </c>
      <c r="S382" s="6">
        <v>0</v>
      </c>
      <c r="T382" s="6">
        <v>30</v>
      </c>
      <c r="U382" s="6">
        <v>55</v>
      </c>
      <c r="V382" s="6">
        <f>IF(ISERROR(VLOOKUP($S$382,'TAR FIN'!$A$1:$O$85,15,0)),0,VLOOKUP($S$382,'TAR FIN'!$A$1:$O$85,15,0))</f>
        <v>0</v>
      </c>
      <c r="W382" s="6">
        <f>IF(ISERROR(VLOOKUP($T$382,'TAR FIN'!$A$1:$O$85,15,0)),0,VLOOKUP($T$382,'TAR FIN'!$A$1:$O$85,15,0))</f>
        <v>331.77</v>
      </c>
      <c r="X382" s="6">
        <f>IF(ISERROR(VLOOKUP($U$382,'TAR FIN'!$A$1:$O$85,15,0)),0,VLOOKUP($U$382,'TAR FIN'!$A$1:$O$85,15,0))</f>
        <v>124.36</v>
      </c>
      <c r="Y382" s="6"/>
      <c r="Z382" s="6">
        <f ca="1">('TUSD BE'!$AM$33+'TUSD BF'!$AM$33+'TUSD CVA'!$AM$33)*(1-CUSTOS!$M$38)</f>
        <v>390.73403238820225</v>
      </c>
      <c r="AA382" s="6">
        <f>('TE BE'!$AB$23+'TE BF'!$AB$23+'TE CVA'!$AB$23)*(1-CUSTOS!$M$38)</f>
        <v>127.65788581931002</v>
      </c>
      <c r="AB382" s="6">
        <f>$K$382*$V$382</f>
        <v>0</v>
      </c>
      <c r="AC382" s="6">
        <f>$M$382*$W$382</f>
        <v>16.5885</v>
      </c>
      <c r="AD382" s="6">
        <f>$O$382*$X$382</f>
        <v>6.218</v>
      </c>
      <c r="AE382" s="6">
        <f>$K$382*$Y$382</f>
        <v>0</v>
      </c>
      <c r="AF382" s="6">
        <f ca="1">$M$382*$Z$382</f>
        <v>19.536701619410113</v>
      </c>
      <c r="AG382" s="6">
        <f>$O$382*$AA$382</f>
        <v>6.3828942909655018</v>
      </c>
    </row>
    <row r="383" spans="1:33" ht="11.25" customHeight="1" x14ac:dyDescent="0.25">
      <c r="A383" s="4" t="s">
        <v>21</v>
      </c>
      <c r="B383" s="4" t="s">
        <v>40</v>
      </c>
      <c r="C383" s="4" t="s">
        <v>23</v>
      </c>
      <c r="D383" s="4" t="s">
        <v>41</v>
      </c>
      <c r="E383" s="4" t="s">
        <v>52</v>
      </c>
      <c r="F383" s="4" t="s">
        <v>50</v>
      </c>
      <c r="G383" s="4" t="s">
        <v>25</v>
      </c>
      <c r="H383" s="4" t="s">
        <v>25</v>
      </c>
      <c r="I383" s="5">
        <v>44501</v>
      </c>
      <c r="J383" s="6">
        <v>0</v>
      </c>
      <c r="K383" s="6">
        <v>0</v>
      </c>
      <c r="L383" s="6">
        <v>4.6059999999999999</v>
      </c>
      <c r="M383" s="6">
        <v>4.6059999999999999</v>
      </c>
      <c r="N383" s="6">
        <v>4.6059999999999999</v>
      </c>
      <c r="O383" s="6">
        <v>4.6059999999999999</v>
      </c>
      <c r="P383" s="6">
        <v>0</v>
      </c>
      <c r="Q383" s="4" t="s">
        <v>26</v>
      </c>
      <c r="R383" s="4">
        <v>0</v>
      </c>
      <c r="S383" s="6">
        <v>0</v>
      </c>
      <c r="T383" s="6">
        <v>30</v>
      </c>
      <c r="U383" s="6">
        <v>55</v>
      </c>
      <c r="V383" s="6">
        <f>IF(ISERROR(VLOOKUP($S$383,'TAR FIN'!$A$1:$O$85,15,0)),0,VLOOKUP($S$383,'TAR FIN'!$A$1:$O$85,15,0))</f>
        <v>0</v>
      </c>
      <c r="W383" s="6">
        <f>IF(ISERROR(VLOOKUP($T$383,'TAR FIN'!$A$1:$O$85,15,0)),0,VLOOKUP($T$383,'TAR FIN'!$A$1:$O$85,15,0))</f>
        <v>331.77</v>
      </c>
      <c r="X383" s="6">
        <f>IF(ISERROR(VLOOKUP($U$383,'TAR FIN'!$A$1:$O$85,15,0)),0,VLOOKUP($U$383,'TAR FIN'!$A$1:$O$85,15,0))</f>
        <v>124.36</v>
      </c>
      <c r="Y383" s="6"/>
      <c r="Z383" s="6">
        <f ca="1">('TUSD BE'!$AM$33+'TUSD BF'!$AM$33+'TUSD CVA'!$AM$33)*(1-CUSTOS!$M$38)</f>
        <v>390.73403238820225</v>
      </c>
      <c r="AA383" s="6">
        <f>('TE BE'!$AB$23+'TE BF'!$AB$23+'TE CVA'!$AB$23)*(1-CUSTOS!$M$38)</f>
        <v>127.65788581931002</v>
      </c>
      <c r="AB383" s="6">
        <f>$K$383*$V$383</f>
        <v>0</v>
      </c>
      <c r="AC383" s="6">
        <f>$M$383*$W$383</f>
        <v>1528.1326199999999</v>
      </c>
      <c r="AD383" s="6">
        <f>$O$383*$X$383</f>
        <v>572.80215999999996</v>
      </c>
      <c r="AE383" s="6">
        <f>$K$383*$Y$383</f>
        <v>0</v>
      </c>
      <c r="AF383" s="6">
        <f ca="1">$M$383*$Z$383</f>
        <v>1799.7209531800595</v>
      </c>
      <c r="AG383" s="6">
        <f>$O$383*$AA$383</f>
        <v>587.99222208374192</v>
      </c>
    </row>
    <row r="384" spans="1:33" ht="11.25" customHeight="1" x14ac:dyDescent="0.25">
      <c r="A384" s="4" t="s">
        <v>28</v>
      </c>
      <c r="B384" s="4" t="s">
        <v>40</v>
      </c>
      <c r="C384" s="4" t="s">
        <v>23</v>
      </c>
      <c r="D384" s="4" t="s">
        <v>41</v>
      </c>
      <c r="E384" s="4" t="s">
        <v>52</v>
      </c>
      <c r="F384" s="4" t="s">
        <v>50</v>
      </c>
      <c r="G384" s="4" t="s">
        <v>25</v>
      </c>
      <c r="H384" s="4" t="s">
        <v>25</v>
      </c>
      <c r="I384" s="5">
        <v>44501</v>
      </c>
      <c r="J384" s="6">
        <v>0</v>
      </c>
      <c r="K384" s="6">
        <v>0</v>
      </c>
      <c r="L384" s="6">
        <v>1.756</v>
      </c>
      <c r="M384" s="6">
        <v>1.756</v>
      </c>
      <c r="N384" s="6">
        <v>1.756</v>
      </c>
      <c r="O384" s="6">
        <v>1.756</v>
      </c>
      <c r="P384" s="6">
        <v>0</v>
      </c>
      <c r="Q384" s="4" t="s">
        <v>26</v>
      </c>
      <c r="R384" s="4">
        <v>0</v>
      </c>
      <c r="S384" s="6">
        <v>0</v>
      </c>
      <c r="T384" s="6">
        <v>30</v>
      </c>
      <c r="U384" s="6">
        <v>55</v>
      </c>
      <c r="V384" s="6">
        <f>IF(ISERROR(VLOOKUP($S$384,'TAR FIN'!$A$1:$O$85,15,0)),0,VLOOKUP($S$384,'TAR FIN'!$A$1:$O$85,15,0))</f>
        <v>0</v>
      </c>
      <c r="W384" s="6">
        <f>IF(ISERROR(VLOOKUP($T$384,'TAR FIN'!$A$1:$O$85,15,0)),0,VLOOKUP($T$384,'TAR FIN'!$A$1:$O$85,15,0))</f>
        <v>331.77</v>
      </c>
      <c r="X384" s="6">
        <f>IF(ISERROR(VLOOKUP($U$384,'TAR FIN'!$A$1:$O$85,15,0)),0,VLOOKUP($U$384,'TAR FIN'!$A$1:$O$85,15,0))</f>
        <v>124.36</v>
      </c>
      <c r="Y384" s="6"/>
      <c r="Z384" s="6">
        <f ca="1">('TUSD BE'!$AM$33+'TUSD BF'!$AM$33+'TUSD CVA'!$AM$33)*(1-CUSTOS!$M$38)</f>
        <v>390.73403238820225</v>
      </c>
      <c r="AA384" s="6">
        <f>('TE BE'!$AB$23+'TE BF'!$AB$23+'TE CVA'!$AB$23)*(1-CUSTOS!$M$38)</f>
        <v>127.65788581931002</v>
      </c>
      <c r="AB384" s="6">
        <f>$K$384*$V$384</f>
        <v>0</v>
      </c>
      <c r="AC384" s="6">
        <f>$M$384*$W$384</f>
        <v>582.58812</v>
      </c>
      <c r="AD384" s="6">
        <f>$O$384*$X$384</f>
        <v>218.37616</v>
      </c>
      <c r="AE384" s="6">
        <f>$K$384*$Y$384</f>
        <v>0</v>
      </c>
      <c r="AF384" s="6">
        <f ca="1">$M$384*$Z$384</f>
        <v>686.12896087368313</v>
      </c>
      <c r="AG384" s="6">
        <f>$O$384*$AA$384</f>
        <v>224.16724749870841</v>
      </c>
    </row>
    <row r="385" spans="1:33" ht="11.25" customHeight="1" x14ac:dyDescent="0.25">
      <c r="A385" s="4" t="s">
        <v>21</v>
      </c>
      <c r="B385" s="4" t="s">
        <v>40</v>
      </c>
      <c r="C385" s="4" t="s">
        <v>23</v>
      </c>
      <c r="D385" s="4" t="s">
        <v>41</v>
      </c>
      <c r="E385" s="4" t="s">
        <v>52</v>
      </c>
      <c r="F385" s="4" t="s">
        <v>50</v>
      </c>
      <c r="G385" s="4" t="s">
        <v>25</v>
      </c>
      <c r="H385" s="4" t="s">
        <v>25</v>
      </c>
      <c r="I385" s="5">
        <v>44531</v>
      </c>
      <c r="J385" s="6">
        <v>0</v>
      </c>
      <c r="K385" s="6">
        <v>0</v>
      </c>
      <c r="L385" s="6">
        <v>4.41</v>
      </c>
      <c r="M385" s="6">
        <v>4.41</v>
      </c>
      <c r="N385" s="6">
        <v>4.41</v>
      </c>
      <c r="O385" s="6">
        <v>4.41</v>
      </c>
      <c r="P385" s="6">
        <v>0</v>
      </c>
      <c r="Q385" s="4" t="s">
        <v>26</v>
      </c>
      <c r="R385" s="4">
        <v>0</v>
      </c>
      <c r="S385" s="6">
        <v>0</v>
      </c>
      <c r="T385" s="6">
        <v>30</v>
      </c>
      <c r="U385" s="6">
        <v>55</v>
      </c>
      <c r="V385" s="6">
        <f>IF(ISERROR(VLOOKUP($S$385,'TAR FIN'!$A$1:$O$85,15,0)),0,VLOOKUP($S$385,'TAR FIN'!$A$1:$O$85,15,0))</f>
        <v>0</v>
      </c>
      <c r="W385" s="6">
        <f>IF(ISERROR(VLOOKUP($T$385,'TAR FIN'!$A$1:$O$85,15,0)),0,VLOOKUP($T$385,'TAR FIN'!$A$1:$O$85,15,0))</f>
        <v>331.77</v>
      </c>
      <c r="X385" s="6">
        <f>IF(ISERROR(VLOOKUP($U$385,'TAR FIN'!$A$1:$O$85,15,0)),0,VLOOKUP($U$385,'TAR FIN'!$A$1:$O$85,15,0))</f>
        <v>124.36</v>
      </c>
      <c r="Y385" s="6"/>
      <c r="Z385" s="6">
        <f ca="1">('TUSD BE'!$AM$33+'TUSD BF'!$AM$33+'TUSD CVA'!$AM$33)*(1-CUSTOS!$M$38)</f>
        <v>390.73403238820225</v>
      </c>
      <c r="AA385" s="6">
        <f>('TE BE'!$AB$23+'TE BF'!$AB$23+'TE CVA'!$AB$23)*(1-CUSTOS!$M$38)</f>
        <v>127.65788581931002</v>
      </c>
      <c r="AB385" s="6">
        <f>$K$385*$V$385</f>
        <v>0</v>
      </c>
      <c r="AC385" s="6">
        <f>$M$385*$W$385</f>
        <v>1463.1057000000001</v>
      </c>
      <c r="AD385" s="6">
        <f>$O$385*$X$385</f>
        <v>548.42759999999998</v>
      </c>
      <c r="AE385" s="6">
        <f>$K$385*$Y$385</f>
        <v>0</v>
      </c>
      <c r="AF385" s="6">
        <f ca="1">$M$385*$Z$385</f>
        <v>1723.1370828319721</v>
      </c>
      <c r="AG385" s="6">
        <f>$O$385*$AA$385</f>
        <v>562.97127646315721</v>
      </c>
    </row>
    <row r="386" spans="1:33" ht="11.25" customHeight="1" x14ac:dyDescent="0.25">
      <c r="A386" s="4" t="s">
        <v>28</v>
      </c>
      <c r="B386" s="4" t="s">
        <v>40</v>
      </c>
      <c r="C386" s="4" t="s">
        <v>23</v>
      </c>
      <c r="D386" s="4" t="s">
        <v>41</v>
      </c>
      <c r="E386" s="4" t="s">
        <v>52</v>
      </c>
      <c r="F386" s="4" t="s">
        <v>50</v>
      </c>
      <c r="G386" s="4" t="s">
        <v>25</v>
      </c>
      <c r="H386" s="4" t="s">
        <v>25</v>
      </c>
      <c r="I386" s="5">
        <v>44531</v>
      </c>
      <c r="J386" s="6">
        <v>0</v>
      </c>
      <c r="K386" s="6">
        <v>0</v>
      </c>
      <c r="L386" s="6">
        <v>1.4179999999999999</v>
      </c>
      <c r="M386" s="6">
        <v>1.4179999999999999</v>
      </c>
      <c r="N386" s="6">
        <v>1.4179999999999999</v>
      </c>
      <c r="O386" s="6">
        <v>1.4179999999999999</v>
      </c>
      <c r="P386" s="6">
        <v>0</v>
      </c>
      <c r="Q386" s="4" t="s">
        <v>26</v>
      </c>
      <c r="R386" s="4">
        <v>0</v>
      </c>
      <c r="S386" s="6">
        <v>0</v>
      </c>
      <c r="T386" s="6">
        <v>30</v>
      </c>
      <c r="U386" s="6">
        <v>55</v>
      </c>
      <c r="V386" s="6">
        <f>IF(ISERROR(VLOOKUP($S$386,'TAR FIN'!$A$1:$O$85,15,0)),0,VLOOKUP($S$386,'TAR FIN'!$A$1:$O$85,15,0))</f>
        <v>0</v>
      </c>
      <c r="W386" s="6">
        <f>IF(ISERROR(VLOOKUP($T$386,'TAR FIN'!$A$1:$O$85,15,0)),0,VLOOKUP($T$386,'TAR FIN'!$A$1:$O$85,15,0))</f>
        <v>331.77</v>
      </c>
      <c r="X386" s="6">
        <f>IF(ISERROR(VLOOKUP($U$386,'TAR FIN'!$A$1:$O$85,15,0)),0,VLOOKUP($U$386,'TAR FIN'!$A$1:$O$85,15,0))</f>
        <v>124.36</v>
      </c>
      <c r="Y386" s="6"/>
      <c r="Z386" s="6">
        <f ca="1">('TUSD BE'!$AM$33+'TUSD BF'!$AM$33+'TUSD CVA'!$AM$33)*(1-CUSTOS!$M$38)</f>
        <v>390.73403238820225</v>
      </c>
      <c r="AA386" s="6">
        <f>('TE BE'!$AB$23+'TE BF'!$AB$23+'TE CVA'!$AB$23)*(1-CUSTOS!$M$38)</f>
        <v>127.65788581931002</v>
      </c>
      <c r="AB386" s="6">
        <f>$K$386*$V$386</f>
        <v>0</v>
      </c>
      <c r="AC386" s="6">
        <f>$M$386*$W$386</f>
        <v>470.44985999999994</v>
      </c>
      <c r="AD386" s="6">
        <f>$O$386*$X$386</f>
        <v>176.34247999999999</v>
      </c>
      <c r="AE386" s="6">
        <f>$K$386*$Y$386</f>
        <v>0</v>
      </c>
      <c r="AF386" s="6">
        <f ca="1">$M$386*$Z$386</f>
        <v>554.06085792647082</v>
      </c>
      <c r="AG386" s="6">
        <f>$O$386*$AA$386</f>
        <v>181.01888209178159</v>
      </c>
    </row>
    <row r="387" spans="1:33" ht="11.25" customHeight="1" x14ac:dyDescent="0.25">
      <c r="A387" s="4" t="s">
        <v>21</v>
      </c>
      <c r="B387" s="4" t="s">
        <v>40</v>
      </c>
      <c r="C387" s="4" t="s">
        <v>23</v>
      </c>
      <c r="D387" s="4" t="s">
        <v>41</v>
      </c>
      <c r="E387" s="4" t="s">
        <v>52</v>
      </c>
      <c r="F387" s="4" t="s">
        <v>50</v>
      </c>
      <c r="G387" s="4" t="s">
        <v>25</v>
      </c>
      <c r="H387" s="4" t="s">
        <v>25</v>
      </c>
      <c r="I387" s="5">
        <v>44562</v>
      </c>
      <c r="J387" s="6">
        <v>0</v>
      </c>
      <c r="K387" s="6">
        <v>0</v>
      </c>
      <c r="L387" s="6">
        <v>8.9499999999999993</v>
      </c>
      <c r="M387" s="6">
        <v>8.9499999999999993</v>
      </c>
      <c r="N387" s="6">
        <v>8.9499999999999993</v>
      </c>
      <c r="O387" s="6">
        <v>8.9499999999999993</v>
      </c>
      <c r="P387" s="6">
        <v>0</v>
      </c>
      <c r="Q387" s="4" t="s">
        <v>26</v>
      </c>
      <c r="R387" s="4">
        <v>0</v>
      </c>
      <c r="S387" s="6">
        <v>0</v>
      </c>
      <c r="T387" s="6">
        <v>30</v>
      </c>
      <c r="U387" s="6">
        <v>55</v>
      </c>
      <c r="V387" s="6">
        <f>IF(ISERROR(VLOOKUP($S$387,'TAR FIN'!$A$1:$O$85,15,0)),0,VLOOKUP($S$387,'TAR FIN'!$A$1:$O$85,15,0))</f>
        <v>0</v>
      </c>
      <c r="W387" s="6">
        <f>IF(ISERROR(VLOOKUP($T$387,'TAR FIN'!$A$1:$O$85,15,0)),0,VLOOKUP($T$387,'TAR FIN'!$A$1:$O$85,15,0))</f>
        <v>331.77</v>
      </c>
      <c r="X387" s="6">
        <f>IF(ISERROR(VLOOKUP($U$387,'TAR FIN'!$A$1:$O$85,15,0)),0,VLOOKUP($U$387,'TAR FIN'!$A$1:$O$85,15,0))</f>
        <v>124.36</v>
      </c>
      <c r="Y387" s="6"/>
      <c r="Z387" s="6">
        <f ca="1">('TUSD BE'!$AM$33+'TUSD BF'!$AM$33+'TUSD CVA'!$AM$33)*(1-CUSTOS!$M$38)</f>
        <v>390.73403238820225</v>
      </c>
      <c r="AA387" s="6">
        <f>('TE BE'!$AB$23+'TE BF'!$AB$23+'TE CVA'!$AB$23)*(1-CUSTOS!$M$38)</f>
        <v>127.65788581931002</v>
      </c>
      <c r="AB387" s="6">
        <f>$K$387*$V$387</f>
        <v>0</v>
      </c>
      <c r="AC387" s="6">
        <f>$M$387*$W$387</f>
        <v>2969.3414999999995</v>
      </c>
      <c r="AD387" s="6">
        <f>$O$387*$X$387</f>
        <v>1113.0219999999999</v>
      </c>
      <c r="AE387" s="6">
        <f>$K$387*$Y$387</f>
        <v>0</v>
      </c>
      <c r="AF387" s="6">
        <f ca="1">$M$387*$Z$387</f>
        <v>3497.0695898744098</v>
      </c>
      <c r="AG387" s="6">
        <f>$O$387*$AA$387</f>
        <v>1142.5380780828245</v>
      </c>
    </row>
    <row r="388" spans="1:33" ht="11.25" customHeight="1" x14ac:dyDescent="0.25">
      <c r="A388" s="4" t="s">
        <v>28</v>
      </c>
      <c r="B388" s="4" t="s">
        <v>40</v>
      </c>
      <c r="C388" s="4" t="s">
        <v>23</v>
      </c>
      <c r="D388" s="4" t="s">
        <v>41</v>
      </c>
      <c r="E388" s="4" t="s">
        <v>52</v>
      </c>
      <c r="F388" s="4" t="s">
        <v>50</v>
      </c>
      <c r="G388" s="4" t="s">
        <v>25</v>
      </c>
      <c r="H388" s="4" t="s">
        <v>25</v>
      </c>
      <c r="I388" s="5">
        <v>44562</v>
      </c>
      <c r="J388" s="6">
        <v>0</v>
      </c>
      <c r="K388" s="6">
        <v>0</v>
      </c>
      <c r="L388" s="6">
        <v>0.76900000000000002</v>
      </c>
      <c r="M388" s="6">
        <v>0.76900000000000002</v>
      </c>
      <c r="N388" s="6">
        <v>0.76900000000000002</v>
      </c>
      <c r="O388" s="6">
        <v>0.76900000000000002</v>
      </c>
      <c r="P388" s="6">
        <v>0</v>
      </c>
      <c r="Q388" s="4" t="s">
        <v>26</v>
      </c>
      <c r="R388" s="4">
        <v>0</v>
      </c>
      <c r="S388" s="6">
        <v>0</v>
      </c>
      <c r="T388" s="6">
        <v>30</v>
      </c>
      <c r="U388" s="6">
        <v>55</v>
      </c>
      <c r="V388" s="6">
        <f>IF(ISERROR(VLOOKUP($S$388,'TAR FIN'!$A$1:$O$85,15,0)),0,VLOOKUP($S$388,'TAR FIN'!$A$1:$O$85,15,0))</f>
        <v>0</v>
      </c>
      <c r="W388" s="6">
        <f>IF(ISERROR(VLOOKUP($T$388,'TAR FIN'!$A$1:$O$85,15,0)),0,VLOOKUP($T$388,'TAR FIN'!$A$1:$O$85,15,0))</f>
        <v>331.77</v>
      </c>
      <c r="X388" s="6">
        <f>IF(ISERROR(VLOOKUP($U$388,'TAR FIN'!$A$1:$O$85,15,0)),0,VLOOKUP($U$388,'TAR FIN'!$A$1:$O$85,15,0))</f>
        <v>124.36</v>
      </c>
      <c r="Y388" s="6"/>
      <c r="Z388" s="6">
        <f ca="1">('TUSD BE'!$AM$33+'TUSD BF'!$AM$33+'TUSD CVA'!$AM$33)*(1-CUSTOS!$M$38)</f>
        <v>390.73403238820225</v>
      </c>
      <c r="AA388" s="6">
        <f>('TE BE'!$AB$23+'TE BF'!$AB$23+'TE CVA'!$AB$23)*(1-CUSTOS!$M$38)</f>
        <v>127.65788581931002</v>
      </c>
      <c r="AB388" s="6">
        <f>$K$388*$V$388</f>
        <v>0</v>
      </c>
      <c r="AC388" s="6">
        <f>$M$388*$W$388</f>
        <v>255.13112999999998</v>
      </c>
      <c r="AD388" s="6">
        <f>$O$388*$X$388</f>
        <v>95.632840000000002</v>
      </c>
      <c r="AE388" s="6">
        <f>$K$388*$Y$388</f>
        <v>0</v>
      </c>
      <c r="AF388" s="6">
        <f ca="1">$M$388*$Z$388</f>
        <v>300.47447090652753</v>
      </c>
      <c r="AG388" s="6">
        <f>$O$388*$AA$388</f>
        <v>98.16891419504941</v>
      </c>
    </row>
    <row r="389" spans="1:33" ht="11.25" customHeight="1" x14ac:dyDescent="0.25">
      <c r="A389" s="4" t="s">
        <v>21</v>
      </c>
      <c r="B389" s="4" t="s">
        <v>40</v>
      </c>
      <c r="C389" s="4" t="s">
        <v>23</v>
      </c>
      <c r="D389" s="4" t="s">
        <v>41</v>
      </c>
      <c r="E389" s="4" t="s">
        <v>52</v>
      </c>
      <c r="F389" s="4" t="s">
        <v>50</v>
      </c>
      <c r="G389" s="4" t="s">
        <v>25</v>
      </c>
      <c r="H389" s="4" t="s">
        <v>25</v>
      </c>
      <c r="I389" s="5">
        <v>44593</v>
      </c>
      <c r="J389" s="6">
        <v>0</v>
      </c>
      <c r="K389" s="6">
        <v>0</v>
      </c>
      <c r="L389" s="6">
        <v>11.526999999999999</v>
      </c>
      <c r="M389" s="6">
        <v>11.526999999999999</v>
      </c>
      <c r="N389" s="6">
        <v>11.526999999999999</v>
      </c>
      <c r="O389" s="6">
        <v>11.526999999999999</v>
      </c>
      <c r="P389" s="6">
        <v>0</v>
      </c>
      <c r="Q389" s="4" t="s">
        <v>26</v>
      </c>
      <c r="R389" s="4">
        <v>0</v>
      </c>
      <c r="S389" s="6">
        <v>0</v>
      </c>
      <c r="T389" s="6">
        <v>30</v>
      </c>
      <c r="U389" s="6">
        <v>55</v>
      </c>
      <c r="V389" s="6">
        <f>IF(ISERROR(VLOOKUP($S$389,'TAR FIN'!$A$1:$O$85,15,0)),0,VLOOKUP($S$389,'TAR FIN'!$A$1:$O$85,15,0))</f>
        <v>0</v>
      </c>
      <c r="W389" s="6">
        <f>IF(ISERROR(VLOOKUP($T$389,'TAR FIN'!$A$1:$O$85,15,0)),0,VLOOKUP($T$389,'TAR FIN'!$A$1:$O$85,15,0))</f>
        <v>331.77</v>
      </c>
      <c r="X389" s="6">
        <f>IF(ISERROR(VLOOKUP($U$389,'TAR FIN'!$A$1:$O$85,15,0)),0,VLOOKUP($U$389,'TAR FIN'!$A$1:$O$85,15,0))</f>
        <v>124.36</v>
      </c>
      <c r="Y389" s="6"/>
      <c r="Z389" s="6">
        <f ca="1">('TUSD BE'!$AM$33+'TUSD BF'!$AM$33+'TUSD CVA'!$AM$33)*(1-CUSTOS!$M$38)</f>
        <v>390.73403238820225</v>
      </c>
      <c r="AA389" s="6">
        <f>('TE BE'!$AB$23+'TE BF'!$AB$23+'TE CVA'!$AB$23)*(1-CUSTOS!$M$38)</f>
        <v>127.65788581931002</v>
      </c>
      <c r="AB389" s="6">
        <f>$K$389*$V$389</f>
        <v>0</v>
      </c>
      <c r="AC389" s="6">
        <f>$M$389*$W$389</f>
        <v>3824.3127899999995</v>
      </c>
      <c r="AD389" s="6">
        <f>$O$389*$X$389</f>
        <v>1433.4977199999998</v>
      </c>
      <c r="AE389" s="6">
        <f>$K$389*$Y$389</f>
        <v>0</v>
      </c>
      <c r="AF389" s="6">
        <f ca="1">$M$389*$Z$389</f>
        <v>4503.9911913388069</v>
      </c>
      <c r="AG389" s="6">
        <f>$O$389*$AA$389</f>
        <v>1471.5124498391865</v>
      </c>
    </row>
    <row r="390" spans="1:33" ht="11.25" customHeight="1" x14ac:dyDescent="0.25">
      <c r="A390" s="4" t="s">
        <v>28</v>
      </c>
      <c r="B390" s="4" t="s">
        <v>40</v>
      </c>
      <c r="C390" s="4" t="s">
        <v>23</v>
      </c>
      <c r="D390" s="4" t="s">
        <v>41</v>
      </c>
      <c r="E390" s="4" t="s">
        <v>52</v>
      </c>
      <c r="F390" s="4" t="s">
        <v>50</v>
      </c>
      <c r="G390" s="4" t="s">
        <v>25</v>
      </c>
      <c r="H390" s="4" t="s">
        <v>25</v>
      </c>
      <c r="I390" s="5">
        <v>44593</v>
      </c>
      <c r="J390" s="6">
        <v>0</v>
      </c>
      <c r="K390" s="6">
        <v>0</v>
      </c>
      <c r="L390" s="6">
        <v>1.095</v>
      </c>
      <c r="M390" s="6">
        <v>1.095</v>
      </c>
      <c r="N390" s="6">
        <v>1.095</v>
      </c>
      <c r="O390" s="6">
        <v>1.095</v>
      </c>
      <c r="P390" s="6">
        <v>0</v>
      </c>
      <c r="Q390" s="4" t="s">
        <v>26</v>
      </c>
      <c r="R390" s="4">
        <v>0</v>
      </c>
      <c r="S390" s="6">
        <v>0</v>
      </c>
      <c r="T390" s="6">
        <v>30</v>
      </c>
      <c r="U390" s="6">
        <v>55</v>
      </c>
      <c r="V390" s="6">
        <f>IF(ISERROR(VLOOKUP($S$390,'TAR FIN'!$A$1:$O$85,15,0)),0,VLOOKUP($S$390,'TAR FIN'!$A$1:$O$85,15,0))</f>
        <v>0</v>
      </c>
      <c r="W390" s="6">
        <f>IF(ISERROR(VLOOKUP($T$390,'TAR FIN'!$A$1:$O$85,15,0)),0,VLOOKUP($T$390,'TAR FIN'!$A$1:$O$85,15,0))</f>
        <v>331.77</v>
      </c>
      <c r="X390" s="6">
        <f>IF(ISERROR(VLOOKUP($U$390,'TAR FIN'!$A$1:$O$85,15,0)),0,VLOOKUP($U$390,'TAR FIN'!$A$1:$O$85,15,0))</f>
        <v>124.36</v>
      </c>
      <c r="Y390" s="6"/>
      <c r="Z390" s="6">
        <f ca="1">('TUSD BE'!$AM$33+'TUSD BF'!$AM$33+'TUSD CVA'!$AM$33)*(1-CUSTOS!$M$38)</f>
        <v>390.73403238820225</v>
      </c>
      <c r="AA390" s="6">
        <f>('TE BE'!$AB$23+'TE BF'!$AB$23+'TE CVA'!$AB$23)*(1-CUSTOS!$M$38)</f>
        <v>127.65788581931002</v>
      </c>
      <c r="AB390" s="6">
        <f>$K$390*$V$390</f>
        <v>0</v>
      </c>
      <c r="AC390" s="6">
        <f>$M$390*$W$390</f>
        <v>363.28814999999997</v>
      </c>
      <c r="AD390" s="6">
        <f>$O$390*$X$390</f>
        <v>136.17419999999998</v>
      </c>
      <c r="AE390" s="6">
        <f>$K$390*$Y$390</f>
        <v>0</v>
      </c>
      <c r="AF390" s="6">
        <f ca="1">$M$390*$Z$390</f>
        <v>427.85376546508144</v>
      </c>
      <c r="AG390" s="6">
        <f>$O$390*$AA$390</f>
        <v>139.78538497214447</v>
      </c>
    </row>
    <row r="391" spans="1:33" ht="11.25" customHeight="1" x14ac:dyDescent="0.25">
      <c r="A391" s="4" t="s">
        <v>21</v>
      </c>
      <c r="B391" s="4" t="s">
        <v>40</v>
      </c>
      <c r="C391" s="4" t="s">
        <v>23</v>
      </c>
      <c r="D391" s="4" t="s">
        <v>41</v>
      </c>
      <c r="E391" s="4" t="s">
        <v>52</v>
      </c>
      <c r="F391" s="4" t="s">
        <v>50</v>
      </c>
      <c r="G391" s="4" t="s">
        <v>25</v>
      </c>
      <c r="H391" s="4" t="s">
        <v>25</v>
      </c>
      <c r="I391" s="5">
        <v>44621</v>
      </c>
      <c r="J391" s="6">
        <v>0</v>
      </c>
      <c r="K391" s="6">
        <v>0</v>
      </c>
      <c r="L391" s="6">
        <v>7.798</v>
      </c>
      <c r="M391" s="6">
        <v>7.798</v>
      </c>
      <c r="N391" s="6">
        <v>7.798</v>
      </c>
      <c r="O391" s="6">
        <v>7.798</v>
      </c>
      <c r="P391" s="6">
        <v>0</v>
      </c>
      <c r="Q391" s="4" t="s">
        <v>26</v>
      </c>
      <c r="R391" s="4">
        <v>0</v>
      </c>
      <c r="S391" s="6">
        <v>0</v>
      </c>
      <c r="T391" s="6">
        <v>30</v>
      </c>
      <c r="U391" s="6">
        <v>55</v>
      </c>
      <c r="V391" s="6">
        <f>IF(ISERROR(VLOOKUP($S$391,'TAR FIN'!$A$1:$O$85,15,0)),0,VLOOKUP($S$391,'TAR FIN'!$A$1:$O$85,15,0))</f>
        <v>0</v>
      </c>
      <c r="W391" s="6">
        <f>IF(ISERROR(VLOOKUP($T$391,'TAR FIN'!$A$1:$O$85,15,0)),0,VLOOKUP($T$391,'TAR FIN'!$A$1:$O$85,15,0))</f>
        <v>331.77</v>
      </c>
      <c r="X391" s="6">
        <f>IF(ISERROR(VLOOKUP($U$391,'TAR FIN'!$A$1:$O$85,15,0)),0,VLOOKUP($U$391,'TAR FIN'!$A$1:$O$85,15,0))</f>
        <v>124.36</v>
      </c>
      <c r="Y391" s="6"/>
      <c r="Z391" s="6">
        <f ca="1">('TUSD BE'!$AM$33+'TUSD BF'!$AM$33+'TUSD CVA'!$AM$33)*(1-CUSTOS!$M$38)</f>
        <v>390.73403238820225</v>
      </c>
      <c r="AA391" s="6">
        <f>('TE BE'!$AB$23+'TE BF'!$AB$23+'TE CVA'!$AB$23)*(1-CUSTOS!$M$38)</f>
        <v>127.65788581931002</v>
      </c>
      <c r="AB391" s="6">
        <f>$K$391*$V$391</f>
        <v>0</v>
      </c>
      <c r="AC391" s="6">
        <f>$M$391*$W$391</f>
        <v>2587.14246</v>
      </c>
      <c r="AD391" s="6">
        <f>$O$391*$X$391</f>
        <v>969.75927999999999</v>
      </c>
      <c r="AE391" s="6">
        <f>$K$391*$Y$391</f>
        <v>0</v>
      </c>
      <c r="AF391" s="6">
        <f ca="1">$M$391*$Z$391</f>
        <v>3046.943984563201</v>
      </c>
      <c r="AG391" s="6">
        <f>$O$391*$AA$391</f>
        <v>995.47619361897955</v>
      </c>
    </row>
    <row r="392" spans="1:33" ht="11.25" customHeight="1" x14ac:dyDescent="0.25">
      <c r="A392" s="4" t="s">
        <v>28</v>
      </c>
      <c r="B392" s="4" t="s">
        <v>40</v>
      </c>
      <c r="C392" s="4" t="s">
        <v>23</v>
      </c>
      <c r="D392" s="4" t="s">
        <v>41</v>
      </c>
      <c r="E392" s="4" t="s">
        <v>52</v>
      </c>
      <c r="F392" s="4" t="s">
        <v>50</v>
      </c>
      <c r="G392" s="4" t="s">
        <v>25</v>
      </c>
      <c r="H392" s="4" t="s">
        <v>25</v>
      </c>
      <c r="I392" s="5">
        <v>44621</v>
      </c>
      <c r="J392" s="6">
        <v>0</v>
      </c>
      <c r="K392" s="6">
        <v>0</v>
      </c>
      <c r="L392" s="6">
        <v>1.1040000000000001</v>
      </c>
      <c r="M392" s="6">
        <v>1.1040000000000001</v>
      </c>
      <c r="N392" s="6">
        <v>1.1040000000000001</v>
      </c>
      <c r="O392" s="6">
        <v>1.1040000000000001</v>
      </c>
      <c r="P392" s="6">
        <v>0</v>
      </c>
      <c r="Q392" s="4" t="s">
        <v>26</v>
      </c>
      <c r="R392" s="4">
        <v>0</v>
      </c>
      <c r="S392" s="6">
        <v>0</v>
      </c>
      <c r="T392" s="6">
        <v>30</v>
      </c>
      <c r="U392" s="6">
        <v>55</v>
      </c>
      <c r="V392" s="6">
        <f>IF(ISERROR(VLOOKUP($S$392,'TAR FIN'!$A$1:$O$85,15,0)),0,VLOOKUP($S$392,'TAR FIN'!$A$1:$O$85,15,0))</f>
        <v>0</v>
      </c>
      <c r="W392" s="6">
        <f>IF(ISERROR(VLOOKUP($T$392,'TAR FIN'!$A$1:$O$85,15,0)),0,VLOOKUP($T$392,'TAR FIN'!$A$1:$O$85,15,0))</f>
        <v>331.77</v>
      </c>
      <c r="X392" s="6">
        <f>IF(ISERROR(VLOOKUP($U$392,'TAR FIN'!$A$1:$O$85,15,0)),0,VLOOKUP($U$392,'TAR FIN'!$A$1:$O$85,15,0))</f>
        <v>124.36</v>
      </c>
      <c r="Y392" s="6"/>
      <c r="Z392" s="6">
        <f ca="1">('TUSD BE'!$AM$33+'TUSD BF'!$AM$33+'TUSD CVA'!$AM$33)*(1-CUSTOS!$M$38)</f>
        <v>390.73403238820225</v>
      </c>
      <c r="AA392" s="6">
        <f>('TE BE'!$AB$23+'TE BF'!$AB$23+'TE CVA'!$AB$23)*(1-CUSTOS!$M$38)</f>
        <v>127.65788581931002</v>
      </c>
      <c r="AB392" s="6">
        <f>$K$392*$V$392</f>
        <v>0</v>
      </c>
      <c r="AC392" s="6">
        <f>$M$392*$W$392</f>
        <v>366.27408000000003</v>
      </c>
      <c r="AD392" s="6">
        <f>$O$392*$X$392</f>
        <v>137.29344</v>
      </c>
      <c r="AE392" s="6">
        <f>$K$392*$Y$392</f>
        <v>0</v>
      </c>
      <c r="AF392" s="6">
        <f ca="1">$M$392*$Z$392</f>
        <v>431.37037175657531</v>
      </c>
      <c r="AG392" s="6">
        <f>$O$392*$AA$392</f>
        <v>140.93430594451829</v>
      </c>
    </row>
    <row r="393" spans="1:33" ht="11.25" customHeight="1" x14ac:dyDescent="0.25">
      <c r="A393" s="4" t="s">
        <v>21</v>
      </c>
      <c r="B393" s="4" t="s">
        <v>40</v>
      </c>
      <c r="C393" s="4" t="s">
        <v>23</v>
      </c>
      <c r="D393" s="4" t="s">
        <v>41</v>
      </c>
      <c r="E393" s="4" t="s">
        <v>52</v>
      </c>
      <c r="F393" s="4" t="s">
        <v>50</v>
      </c>
      <c r="G393" s="4" t="s">
        <v>25</v>
      </c>
      <c r="H393" s="4" t="s">
        <v>25</v>
      </c>
      <c r="I393" s="5">
        <v>44652</v>
      </c>
      <c r="J393" s="6">
        <v>0</v>
      </c>
      <c r="K393" s="6">
        <v>0</v>
      </c>
      <c r="L393" s="6">
        <v>6.8460000000000001</v>
      </c>
      <c r="M393" s="6">
        <v>6.8460000000000001</v>
      </c>
      <c r="N393" s="6">
        <v>6.8460000000000001</v>
      </c>
      <c r="O393" s="6">
        <v>6.8460000000000001</v>
      </c>
      <c r="P393" s="6">
        <v>0</v>
      </c>
      <c r="Q393" s="4" t="s">
        <v>26</v>
      </c>
      <c r="R393" s="4">
        <v>0</v>
      </c>
      <c r="S393" s="6">
        <v>0</v>
      </c>
      <c r="T393" s="6">
        <v>30</v>
      </c>
      <c r="U393" s="6">
        <v>55</v>
      </c>
      <c r="V393" s="6">
        <f>IF(ISERROR(VLOOKUP($S$393,'TAR FIN'!$A$1:$O$85,15,0)),0,VLOOKUP($S$393,'TAR FIN'!$A$1:$O$85,15,0))</f>
        <v>0</v>
      </c>
      <c r="W393" s="6">
        <f>IF(ISERROR(VLOOKUP($T$393,'TAR FIN'!$A$1:$O$85,15,0)),0,VLOOKUP($T$393,'TAR FIN'!$A$1:$O$85,15,0))</f>
        <v>331.77</v>
      </c>
      <c r="X393" s="6">
        <f>IF(ISERROR(VLOOKUP($U$393,'TAR FIN'!$A$1:$O$85,15,0)),0,VLOOKUP($U$393,'TAR FIN'!$A$1:$O$85,15,0))</f>
        <v>124.36</v>
      </c>
      <c r="Y393" s="6"/>
      <c r="Z393" s="6">
        <f ca="1">('TUSD BE'!$AM$33+'TUSD BF'!$AM$33+'TUSD CVA'!$AM$33)*(1-CUSTOS!$M$38)</f>
        <v>390.73403238820225</v>
      </c>
      <c r="AA393" s="6">
        <f>('TE BE'!$AB$23+'TE BF'!$AB$23+'TE CVA'!$AB$23)*(1-CUSTOS!$M$38)</f>
        <v>127.65788581931002</v>
      </c>
      <c r="AB393" s="6">
        <f>$K$393*$V$393</f>
        <v>0</v>
      </c>
      <c r="AC393" s="6">
        <f>$M$393*$W$393</f>
        <v>2271.2974199999999</v>
      </c>
      <c r="AD393" s="6">
        <f>$O$393*$X$393</f>
        <v>851.36856</v>
      </c>
      <c r="AE393" s="6">
        <f>$K$393*$Y$393</f>
        <v>0</v>
      </c>
      <c r="AF393" s="6">
        <f ca="1">$M$393*$Z$393</f>
        <v>2674.9651857296326</v>
      </c>
      <c r="AG393" s="6">
        <f>$O$393*$AA$393</f>
        <v>873.94588631899649</v>
      </c>
    </row>
    <row r="394" spans="1:33" ht="11.25" customHeight="1" x14ac:dyDescent="0.25">
      <c r="A394" s="4" t="s">
        <v>28</v>
      </c>
      <c r="B394" s="4" t="s">
        <v>40</v>
      </c>
      <c r="C394" s="4" t="s">
        <v>23</v>
      </c>
      <c r="D394" s="4" t="s">
        <v>41</v>
      </c>
      <c r="E394" s="4" t="s">
        <v>52</v>
      </c>
      <c r="F394" s="4" t="s">
        <v>50</v>
      </c>
      <c r="G394" s="4" t="s">
        <v>25</v>
      </c>
      <c r="H394" s="4" t="s">
        <v>25</v>
      </c>
      <c r="I394" s="5">
        <v>44652</v>
      </c>
      <c r="J394" s="6">
        <v>0</v>
      </c>
      <c r="K394" s="6">
        <v>0</v>
      </c>
      <c r="L394" s="6">
        <v>1.19</v>
      </c>
      <c r="M394" s="6">
        <v>1.19</v>
      </c>
      <c r="N394" s="6">
        <v>1.19</v>
      </c>
      <c r="O394" s="6">
        <v>1.19</v>
      </c>
      <c r="P394" s="6">
        <v>0</v>
      </c>
      <c r="Q394" s="4" t="s">
        <v>26</v>
      </c>
      <c r="R394" s="4">
        <v>0</v>
      </c>
      <c r="S394" s="6">
        <v>0</v>
      </c>
      <c r="T394" s="6">
        <v>30</v>
      </c>
      <c r="U394" s="6">
        <v>55</v>
      </c>
      <c r="V394" s="6">
        <f>IF(ISERROR(VLOOKUP($S$394,'TAR FIN'!$A$1:$O$85,15,0)),0,VLOOKUP($S$394,'TAR FIN'!$A$1:$O$85,15,0))</f>
        <v>0</v>
      </c>
      <c r="W394" s="6">
        <f>IF(ISERROR(VLOOKUP($T$394,'TAR FIN'!$A$1:$O$85,15,0)),0,VLOOKUP($T$394,'TAR FIN'!$A$1:$O$85,15,0))</f>
        <v>331.77</v>
      </c>
      <c r="X394" s="6">
        <f>IF(ISERROR(VLOOKUP($U$394,'TAR FIN'!$A$1:$O$85,15,0)),0,VLOOKUP($U$394,'TAR FIN'!$A$1:$O$85,15,0))</f>
        <v>124.36</v>
      </c>
      <c r="Y394" s="6"/>
      <c r="Z394" s="6">
        <f ca="1">('TUSD BE'!$AM$33+'TUSD BF'!$AM$33+'TUSD CVA'!$AM$33)*(1-CUSTOS!$M$38)</f>
        <v>390.73403238820225</v>
      </c>
      <c r="AA394" s="6">
        <f>('TE BE'!$AB$23+'TE BF'!$AB$23+'TE CVA'!$AB$23)*(1-CUSTOS!$M$38)</f>
        <v>127.65788581931002</v>
      </c>
      <c r="AB394" s="6">
        <f>$K$394*$V$394</f>
        <v>0</v>
      </c>
      <c r="AC394" s="6">
        <f>$M$394*$W$394</f>
        <v>394.80629999999996</v>
      </c>
      <c r="AD394" s="6">
        <f>$O$394*$X$394</f>
        <v>147.98839999999998</v>
      </c>
      <c r="AE394" s="6">
        <f>$K$394*$Y$394</f>
        <v>0</v>
      </c>
      <c r="AF394" s="6">
        <f ca="1">$M$394*$Z$394</f>
        <v>464.97349854196068</v>
      </c>
      <c r="AG394" s="6">
        <f>$O$394*$AA$394</f>
        <v>151.91288412497892</v>
      </c>
    </row>
    <row r="395" spans="1:33" ht="11.25" customHeight="1" x14ac:dyDescent="0.25">
      <c r="A395" s="4" t="s">
        <v>21</v>
      </c>
      <c r="B395" s="4" t="s">
        <v>40</v>
      </c>
      <c r="C395" s="4" t="s">
        <v>23</v>
      </c>
      <c r="D395" s="4" t="s">
        <v>41</v>
      </c>
      <c r="E395" s="4" t="s">
        <v>52</v>
      </c>
      <c r="F395" s="4" t="s">
        <v>50</v>
      </c>
      <c r="G395" s="4" t="s">
        <v>25</v>
      </c>
      <c r="H395" s="4" t="s">
        <v>25</v>
      </c>
      <c r="I395" s="5">
        <v>44682</v>
      </c>
      <c r="J395" s="6">
        <v>0</v>
      </c>
      <c r="K395" s="6">
        <v>0</v>
      </c>
      <c r="L395" s="6">
        <v>5.0679999999999996</v>
      </c>
      <c r="M395" s="6">
        <v>5.0679999999999996</v>
      </c>
      <c r="N395" s="6">
        <v>5.0679999999999996</v>
      </c>
      <c r="O395" s="6">
        <v>5.0679999999999996</v>
      </c>
      <c r="P395" s="6">
        <v>0</v>
      </c>
      <c r="Q395" s="4" t="s">
        <v>26</v>
      </c>
      <c r="R395" s="4">
        <v>0</v>
      </c>
      <c r="S395" s="6">
        <v>0</v>
      </c>
      <c r="T395" s="6">
        <v>30</v>
      </c>
      <c r="U395" s="6">
        <v>55</v>
      </c>
      <c r="V395" s="6">
        <f>IF(ISERROR(VLOOKUP($S$395,'TAR FIN'!$A$1:$O$85,15,0)),0,VLOOKUP($S$395,'TAR FIN'!$A$1:$O$85,15,0))</f>
        <v>0</v>
      </c>
      <c r="W395" s="6">
        <f>IF(ISERROR(VLOOKUP($T$395,'TAR FIN'!$A$1:$O$85,15,0)),0,VLOOKUP($T$395,'TAR FIN'!$A$1:$O$85,15,0))</f>
        <v>331.77</v>
      </c>
      <c r="X395" s="6">
        <f>IF(ISERROR(VLOOKUP($U$395,'TAR FIN'!$A$1:$O$85,15,0)),0,VLOOKUP($U$395,'TAR FIN'!$A$1:$O$85,15,0))</f>
        <v>124.36</v>
      </c>
      <c r="Y395" s="6"/>
      <c r="Z395" s="6">
        <f ca="1">('TUSD BE'!$AM$33+'TUSD BF'!$AM$33+'TUSD CVA'!$AM$33)*(1-CUSTOS!$M$38)</f>
        <v>390.73403238820225</v>
      </c>
      <c r="AA395" s="6">
        <f>('TE BE'!$AB$23+'TE BF'!$AB$23+'TE CVA'!$AB$23)*(1-CUSTOS!$M$38)</f>
        <v>127.65788581931002</v>
      </c>
      <c r="AB395" s="6">
        <f>$K$395*$V$395</f>
        <v>0</v>
      </c>
      <c r="AC395" s="6">
        <f>$M$395*$W$395</f>
        <v>1681.4103599999999</v>
      </c>
      <c r="AD395" s="6">
        <f>$O$395*$X$395</f>
        <v>630.2564799999999</v>
      </c>
      <c r="AE395" s="6">
        <f>$K$395*$Y$395</f>
        <v>0</v>
      </c>
      <c r="AF395" s="6">
        <f ca="1">$M$395*$Z$395</f>
        <v>1980.2400761434089</v>
      </c>
      <c r="AG395" s="6">
        <f>$O$395*$AA$395</f>
        <v>646.97016533226315</v>
      </c>
    </row>
    <row r="396" spans="1:33" ht="11.25" customHeight="1" x14ac:dyDescent="0.25">
      <c r="A396" s="4" t="s">
        <v>28</v>
      </c>
      <c r="B396" s="4" t="s">
        <v>40</v>
      </c>
      <c r="C396" s="4" t="s">
        <v>23</v>
      </c>
      <c r="D396" s="4" t="s">
        <v>41</v>
      </c>
      <c r="E396" s="4" t="s">
        <v>52</v>
      </c>
      <c r="F396" s="4" t="s">
        <v>50</v>
      </c>
      <c r="G396" s="4" t="s">
        <v>25</v>
      </c>
      <c r="H396" s="4" t="s">
        <v>25</v>
      </c>
      <c r="I396" s="5">
        <v>44682</v>
      </c>
      <c r="J396" s="6">
        <v>0</v>
      </c>
      <c r="K396" s="6">
        <v>0</v>
      </c>
      <c r="L396" s="6">
        <v>0.1</v>
      </c>
      <c r="M396" s="6">
        <v>0.1</v>
      </c>
      <c r="N396" s="6">
        <v>0.1</v>
      </c>
      <c r="O396" s="6">
        <v>0.1</v>
      </c>
      <c r="P396" s="6">
        <v>0</v>
      </c>
      <c r="Q396" s="4" t="s">
        <v>26</v>
      </c>
      <c r="R396" s="4">
        <v>0</v>
      </c>
      <c r="S396" s="6">
        <v>0</v>
      </c>
      <c r="T396" s="6">
        <v>30</v>
      </c>
      <c r="U396" s="6">
        <v>55</v>
      </c>
      <c r="V396" s="6">
        <f>IF(ISERROR(VLOOKUP($S$396,'TAR FIN'!$A$1:$O$85,15,0)),0,VLOOKUP($S$396,'TAR FIN'!$A$1:$O$85,15,0))</f>
        <v>0</v>
      </c>
      <c r="W396" s="6">
        <f>IF(ISERROR(VLOOKUP($T$396,'TAR FIN'!$A$1:$O$85,15,0)),0,VLOOKUP($T$396,'TAR FIN'!$A$1:$O$85,15,0))</f>
        <v>331.77</v>
      </c>
      <c r="X396" s="6">
        <f>IF(ISERROR(VLOOKUP($U$396,'TAR FIN'!$A$1:$O$85,15,0)),0,VLOOKUP($U$396,'TAR FIN'!$A$1:$O$85,15,0))</f>
        <v>124.36</v>
      </c>
      <c r="Y396" s="6"/>
      <c r="Z396" s="6">
        <f ca="1">('TUSD BE'!$AM$33+'TUSD BF'!$AM$33+'TUSD CVA'!$AM$33)*(1-CUSTOS!$M$38)</f>
        <v>390.73403238820225</v>
      </c>
      <c r="AA396" s="6">
        <f>('TE BE'!$AB$23+'TE BF'!$AB$23+'TE CVA'!$AB$23)*(1-CUSTOS!$M$38)</f>
        <v>127.65788581931002</v>
      </c>
      <c r="AB396" s="6">
        <f>$K$396*$V$396</f>
        <v>0</v>
      </c>
      <c r="AC396" s="6">
        <f>$M$396*$W$396</f>
        <v>33.177</v>
      </c>
      <c r="AD396" s="6">
        <f>$O$396*$X$396</f>
        <v>12.436</v>
      </c>
      <c r="AE396" s="6">
        <f>$K$396*$Y$396</f>
        <v>0</v>
      </c>
      <c r="AF396" s="6">
        <f ca="1">$M$396*$Z$396</f>
        <v>39.073403238820227</v>
      </c>
      <c r="AG396" s="6">
        <f>$O$396*$AA$396</f>
        <v>12.765788581931004</v>
      </c>
    </row>
    <row r="397" spans="1:33" ht="11.25" customHeight="1" x14ac:dyDescent="0.25">
      <c r="A397" s="4" t="s">
        <v>21</v>
      </c>
      <c r="B397" s="4" t="s">
        <v>40</v>
      </c>
      <c r="C397" s="4" t="s">
        <v>23</v>
      </c>
      <c r="D397" s="4" t="s">
        <v>41</v>
      </c>
      <c r="E397" s="4" t="s">
        <v>52</v>
      </c>
      <c r="F397" s="4" t="s">
        <v>50</v>
      </c>
      <c r="G397" s="4" t="s">
        <v>25</v>
      </c>
      <c r="H397" s="4" t="s">
        <v>25</v>
      </c>
      <c r="I397" s="5">
        <v>44713</v>
      </c>
      <c r="J397" s="6">
        <v>0</v>
      </c>
      <c r="K397" s="6">
        <v>0</v>
      </c>
      <c r="L397" s="6">
        <v>5.0439999999999996</v>
      </c>
      <c r="M397" s="6">
        <v>5.0439999999999996</v>
      </c>
      <c r="N397" s="6">
        <v>5.0439999999999996</v>
      </c>
      <c r="O397" s="6">
        <v>5.0439999999999996</v>
      </c>
      <c r="P397" s="6">
        <v>0</v>
      </c>
      <c r="Q397" s="4" t="s">
        <v>26</v>
      </c>
      <c r="R397" s="4">
        <v>0</v>
      </c>
      <c r="S397" s="6">
        <v>0</v>
      </c>
      <c r="T397" s="6">
        <v>30</v>
      </c>
      <c r="U397" s="6">
        <v>55</v>
      </c>
      <c r="V397" s="6">
        <f>IF(ISERROR(VLOOKUP($S$397,'TAR FIN'!$A$1:$O$85,15,0)),0,VLOOKUP($S$397,'TAR FIN'!$A$1:$O$85,15,0))</f>
        <v>0</v>
      </c>
      <c r="W397" s="6">
        <f>IF(ISERROR(VLOOKUP($T$397,'TAR FIN'!$A$1:$O$85,15,0)),0,VLOOKUP($T$397,'TAR FIN'!$A$1:$O$85,15,0))</f>
        <v>331.77</v>
      </c>
      <c r="X397" s="6">
        <f>IF(ISERROR(VLOOKUP($U$397,'TAR FIN'!$A$1:$O$85,15,0)),0,VLOOKUP($U$397,'TAR FIN'!$A$1:$O$85,15,0))</f>
        <v>124.36</v>
      </c>
      <c r="Y397" s="6"/>
      <c r="Z397" s="6">
        <f ca="1">('TUSD BE'!$AM$33+'TUSD BF'!$AM$33+'TUSD CVA'!$AM$33)*(1-CUSTOS!$M$38)</f>
        <v>390.73403238820225</v>
      </c>
      <c r="AA397" s="6">
        <f>('TE BE'!$AB$23+'TE BF'!$AB$23+'TE CVA'!$AB$23)*(1-CUSTOS!$M$38)</f>
        <v>127.65788581931002</v>
      </c>
      <c r="AB397" s="6">
        <f>$K$397*$V$397</f>
        <v>0</v>
      </c>
      <c r="AC397" s="6">
        <f>$M$397*$W$397</f>
        <v>1673.4478799999997</v>
      </c>
      <c r="AD397" s="6">
        <f>$O$397*$X$397</f>
        <v>627.27184</v>
      </c>
      <c r="AE397" s="6">
        <f>$K$397*$Y$397</f>
        <v>0</v>
      </c>
      <c r="AF397" s="6">
        <f ca="1">$M$397*$Z$397</f>
        <v>1970.862459366092</v>
      </c>
      <c r="AG397" s="6">
        <f>$O$397*$AA$397</f>
        <v>643.90637607259976</v>
      </c>
    </row>
    <row r="398" spans="1:33" ht="11.25" customHeight="1" x14ac:dyDescent="0.25">
      <c r="A398" s="4" t="s">
        <v>28</v>
      </c>
      <c r="B398" s="4" t="s">
        <v>40</v>
      </c>
      <c r="C398" s="4" t="s">
        <v>23</v>
      </c>
      <c r="D398" s="4" t="s">
        <v>41</v>
      </c>
      <c r="E398" s="4" t="s">
        <v>52</v>
      </c>
      <c r="F398" s="4" t="s">
        <v>50</v>
      </c>
      <c r="G398" s="4" t="s">
        <v>25</v>
      </c>
      <c r="H398" s="4" t="s">
        <v>25</v>
      </c>
      <c r="I398" s="5">
        <v>44713</v>
      </c>
      <c r="J398" s="6">
        <v>0</v>
      </c>
      <c r="K398" s="6">
        <v>0</v>
      </c>
      <c r="L398" s="6">
        <v>0.2</v>
      </c>
      <c r="M398" s="6">
        <v>0.2</v>
      </c>
      <c r="N398" s="6">
        <v>0.2</v>
      </c>
      <c r="O398" s="6">
        <v>0.2</v>
      </c>
      <c r="P398" s="6">
        <v>0</v>
      </c>
      <c r="Q398" s="4" t="s">
        <v>26</v>
      </c>
      <c r="R398" s="4">
        <v>0</v>
      </c>
      <c r="S398" s="6">
        <v>0</v>
      </c>
      <c r="T398" s="6">
        <v>30</v>
      </c>
      <c r="U398" s="6">
        <v>55</v>
      </c>
      <c r="V398" s="6">
        <f>IF(ISERROR(VLOOKUP($S$398,'TAR FIN'!$A$1:$O$85,15,0)),0,VLOOKUP($S$398,'TAR FIN'!$A$1:$O$85,15,0))</f>
        <v>0</v>
      </c>
      <c r="W398" s="6">
        <f>IF(ISERROR(VLOOKUP($T$398,'TAR FIN'!$A$1:$O$85,15,0)),0,VLOOKUP($T$398,'TAR FIN'!$A$1:$O$85,15,0))</f>
        <v>331.77</v>
      </c>
      <c r="X398" s="6">
        <f>IF(ISERROR(VLOOKUP($U$398,'TAR FIN'!$A$1:$O$85,15,0)),0,VLOOKUP($U$398,'TAR FIN'!$A$1:$O$85,15,0))</f>
        <v>124.36</v>
      </c>
      <c r="Y398" s="6"/>
      <c r="Z398" s="6">
        <f ca="1">('TUSD BE'!$AM$33+'TUSD BF'!$AM$33+'TUSD CVA'!$AM$33)*(1-CUSTOS!$M$38)</f>
        <v>390.73403238820225</v>
      </c>
      <c r="AA398" s="6">
        <f>('TE BE'!$AB$23+'TE BF'!$AB$23+'TE CVA'!$AB$23)*(1-CUSTOS!$M$38)</f>
        <v>127.65788581931002</v>
      </c>
      <c r="AB398" s="6">
        <f>$K$398*$V$398</f>
        <v>0</v>
      </c>
      <c r="AC398" s="6">
        <f>$M$398*$W$398</f>
        <v>66.353999999999999</v>
      </c>
      <c r="AD398" s="6">
        <f>$O$398*$X$398</f>
        <v>24.872</v>
      </c>
      <c r="AE398" s="6">
        <f>$K$398*$Y$398</f>
        <v>0</v>
      </c>
      <c r="AF398" s="6">
        <f ca="1">$M$398*$Z$398</f>
        <v>78.146806477640453</v>
      </c>
      <c r="AG398" s="6">
        <f>$O$398*$AA$398</f>
        <v>25.531577163862007</v>
      </c>
    </row>
    <row r="399" spans="1:33" ht="11.25" customHeight="1" x14ac:dyDescent="0.25">
      <c r="A399" s="4" t="s">
        <v>21</v>
      </c>
      <c r="B399" s="4" t="s">
        <v>40</v>
      </c>
      <c r="C399" s="4" t="s">
        <v>23</v>
      </c>
      <c r="D399" s="4" t="s">
        <v>41</v>
      </c>
      <c r="E399" s="4" t="s">
        <v>52</v>
      </c>
      <c r="F399" s="4" t="s">
        <v>50</v>
      </c>
      <c r="G399" s="4" t="s">
        <v>25</v>
      </c>
      <c r="H399" s="4" t="s">
        <v>25</v>
      </c>
      <c r="I399" s="5">
        <v>44743</v>
      </c>
      <c r="J399" s="6">
        <v>0</v>
      </c>
      <c r="K399" s="6">
        <v>0</v>
      </c>
      <c r="L399" s="6">
        <v>3.3410000000000002</v>
      </c>
      <c r="M399" s="6">
        <v>3.3410000000000002</v>
      </c>
      <c r="N399" s="6">
        <v>3.3410000000000002</v>
      </c>
      <c r="O399" s="6">
        <v>3.3410000000000002</v>
      </c>
      <c r="P399" s="6">
        <v>0</v>
      </c>
      <c r="Q399" s="4" t="s">
        <v>26</v>
      </c>
      <c r="R399" s="4">
        <v>0</v>
      </c>
      <c r="S399" s="6">
        <v>0</v>
      </c>
      <c r="T399" s="6">
        <v>30</v>
      </c>
      <c r="U399" s="6">
        <v>55</v>
      </c>
      <c r="V399" s="6">
        <f>IF(ISERROR(VLOOKUP($S$399,'TAR FIN'!$A$1:$O$85,15,0)),0,VLOOKUP($S$399,'TAR FIN'!$A$1:$O$85,15,0))</f>
        <v>0</v>
      </c>
      <c r="W399" s="6">
        <f>IF(ISERROR(VLOOKUP($T$399,'TAR FIN'!$A$1:$O$85,15,0)),0,VLOOKUP($T$399,'TAR FIN'!$A$1:$O$85,15,0))</f>
        <v>331.77</v>
      </c>
      <c r="X399" s="6">
        <f>IF(ISERROR(VLOOKUP($U$399,'TAR FIN'!$A$1:$O$85,15,0)),0,VLOOKUP($U$399,'TAR FIN'!$A$1:$O$85,15,0))</f>
        <v>124.36</v>
      </c>
      <c r="Y399" s="6"/>
      <c r="Z399" s="6">
        <f ca="1">('TUSD BE'!$AM$33+'TUSD BF'!$AM$33+'TUSD CVA'!$AM$33)*(1-CUSTOS!$M$38)</f>
        <v>390.73403238820225</v>
      </c>
      <c r="AA399" s="6">
        <f>('TE BE'!$AB$23+'TE BF'!$AB$23+'TE CVA'!$AB$23)*(1-CUSTOS!$M$38)</f>
        <v>127.65788581931002</v>
      </c>
      <c r="AB399" s="6">
        <f>$K$399*$V$399</f>
        <v>0</v>
      </c>
      <c r="AC399" s="6">
        <f>$M$399*$W$399</f>
        <v>1108.4435699999999</v>
      </c>
      <c r="AD399" s="6">
        <f>$O$399*$X$399</f>
        <v>415.48676</v>
      </c>
      <c r="AE399" s="6">
        <f>$K$399*$Y$399</f>
        <v>0</v>
      </c>
      <c r="AF399" s="6">
        <f ca="1">$M$399*$Z$399</f>
        <v>1305.4424022089838</v>
      </c>
      <c r="AG399" s="6">
        <f>$O$399*$AA$399</f>
        <v>426.5049965223148</v>
      </c>
    </row>
    <row r="400" spans="1:33" ht="11.25" customHeight="1" x14ac:dyDescent="0.25">
      <c r="A400" s="4" t="s">
        <v>28</v>
      </c>
      <c r="B400" s="4" t="s">
        <v>40</v>
      </c>
      <c r="C400" s="4" t="s">
        <v>23</v>
      </c>
      <c r="D400" s="4" t="s">
        <v>41</v>
      </c>
      <c r="E400" s="4" t="s">
        <v>52</v>
      </c>
      <c r="F400" s="4" t="s">
        <v>50</v>
      </c>
      <c r="G400" s="4" t="s">
        <v>25</v>
      </c>
      <c r="H400" s="4" t="s">
        <v>25</v>
      </c>
      <c r="I400" s="5">
        <v>44743</v>
      </c>
      <c r="J400" s="6">
        <v>0</v>
      </c>
      <c r="K400" s="6">
        <v>0</v>
      </c>
      <c r="L400" s="6">
        <v>0.2</v>
      </c>
      <c r="M400" s="6">
        <v>0.2</v>
      </c>
      <c r="N400" s="6">
        <v>0.2</v>
      </c>
      <c r="O400" s="6">
        <v>0.2</v>
      </c>
      <c r="P400" s="6">
        <v>0</v>
      </c>
      <c r="Q400" s="4" t="s">
        <v>26</v>
      </c>
      <c r="R400" s="4">
        <v>0</v>
      </c>
      <c r="S400" s="6">
        <v>0</v>
      </c>
      <c r="T400" s="6">
        <v>30</v>
      </c>
      <c r="U400" s="6">
        <v>55</v>
      </c>
      <c r="V400" s="6">
        <f>IF(ISERROR(VLOOKUP($S$400,'TAR FIN'!$A$1:$O$85,15,0)),0,VLOOKUP($S$400,'TAR FIN'!$A$1:$O$85,15,0))</f>
        <v>0</v>
      </c>
      <c r="W400" s="6">
        <f>IF(ISERROR(VLOOKUP($T$400,'TAR FIN'!$A$1:$O$85,15,0)),0,VLOOKUP($T$400,'TAR FIN'!$A$1:$O$85,15,0))</f>
        <v>331.77</v>
      </c>
      <c r="X400" s="6">
        <f>IF(ISERROR(VLOOKUP($U$400,'TAR FIN'!$A$1:$O$85,15,0)),0,VLOOKUP($U$400,'TAR FIN'!$A$1:$O$85,15,0))</f>
        <v>124.36</v>
      </c>
      <c r="Y400" s="6"/>
      <c r="Z400" s="6">
        <f ca="1">('TUSD BE'!$AM$33+'TUSD BF'!$AM$33+'TUSD CVA'!$AM$33)*(1-CUSTOS!$M$38)</f>
        <v>390.73403238820225</v>
      </c>
      <c r="AA400" s="6">
        <f>('TE BE'!$AB$23+'TE BF'!$AB$23+'TE CVA'!$AB$23)*(1-CUSTOS!$M$38)</f>
        <v>127.65788581931002</v>
      </c>
      <c r="AB400" s="6">
        <f>$K$400*$V$400</f>
        <v>0</v>
      </c>
      <c r="AC400" s="6">
        <f>$M$400*$W$400</f>
        <v>66.353999999999999</v>
      </c>
      <c r="AD400" s="6">
        <f>$O$400*$X$400</f>
        <v>24.872</v>
      </c>
      <c r="AE400" s="6">
        <f>$K$400*$Y$400</f>
        <v>0</v>
      </c>
      <c r="AF400" s="6">
        <f ca="1">$M$400*$Z$400</f>
        <v>78.146806477640453</v>
      </c>
      <c r="AG400" s="6">
        <f>$O$400*$AA$400</f>
        <v>25.531577163862007</v>
      </c>
    </row>
    <row r="401" spans="1:33" ht="11.25" customHeight="1" x14ac:dyDescent="0.25">
      <c r="A401" s="4" t="s">
        <v>21</v>
      </c>
      <c r="B401" s="4" t="s">
        <v>40</v>
      </c>
      <c r="C401" s="4" t="s">
        <v>23</v>
      </c>
      <c r="D401" s="4" t="s">
        <v>41</v>
      </c>
      <c r="E401" s="4" t="s">
        <v>52</v>
      </c>
      <c r="F401" s="4" t="s">
        <v>50</v>
      </c>
      <c r="G401" s="4" t="s">
        <v>25</v>
      </c>
      <c r="H401" s="4" t="s">
        <v>25</v>
      </c>
      <c r="I401" s="5">
        <v>44774</v>
      </c>
      <c r="J401" s="6">
        <v>0</v>
      </c>
      <c r="K401" s="6">
        <v>0</v>
      </c>
      <c r="L401" s="6">
        <v>3.7090000000000001</v>
      </c>
      <c r="M401" s="6">
        <v>3.7090000000000001</v>
      </c>
      <c r="N401" s="6">
        <v>3.7090000000000001</v>
      </c>
      <c r="O401" s="6">
        <v>3.7090000000000001</v>
      </c>
      <c r="P401" s="6">
        <v>0</v>
      </c>
      <c r="Q401" s="4" t="s">
        <v>26</v>
      </c>
      <c r="R401" s="4">
        <v>0</v>
      </c>
      <c r="S401" s="6">
        <v>0</v>
      </c>
      <c r="T401" s="6">
        <v>30</v>
      </c>
      <c r="U401" s="6">
        <v>55</v>
      </c>
      <c r="V401" s="6">
        <f>IF(ISERROR(VLOOKUP($S$401,'TAR FIN'!$A$1:$O$85,15,0)),0,VLOOKUP($S$401,'TAR FIN'!$A$1:$O$85,15,0))</f>
        <v>0</v>
      </c>
      <c r="W401" s="6">
        <f>IF(ISERROR(VLOOKUP($T$401,'TAR FIN'!$A$1:$O$85,15,0)),0,VLOOKUP($T$401,'TAR FIN'!$A$1:$O$85,15,0))</f>
        <v>331.77</v>
      </c>
      <c r="X401" s="6">
        <f>IF(ISERROR(VLOOKUP($U$401,'TAR FIN'!$A$1:$O$85,15,0)),0,VLOOKUP($U$401,'TAR FIN'!$A$1:$O$85,15,0))</f>
        <v>124.36</v>
      </c>
      <c r="Y401" s="6"/>
      <c r="Z401" s="6">
        <f ca="1">('TUSD BE'!$AM$33+'TUSD BF'!$AM$33+'TUSD CVA'!$AM$33)*(1-CUSTOS!$M$38)</f>
        <v>390.73403238820225</v>
      </c>
      <c r="AA401" s="6">
        <f>('TE BE'!$AB$23+'TE BF'!$AB$23+'TE CVA'!$AB$23)*(1-CUSTOS!$M$38)</f>
        <v>127.65788581931002</v>
      </c>
      <c r="AB401" s="6">
        <f>$K$401*$V$401</f>
        <v>0</v>
      </c>
      <c r="AC401" s="6">
        <f>$M$401*$W$401</f>
        <v>1230.53493</v>
      </c>
      <c r="AD401" s="6">
        <f>$O$401*$X$401</f>
        <v>461.25124</v>
      </c>
      <c r="AE401" s="6">
        <f>$K$401*$Y$401</f>
        <v>0</v>
      </c>
      <c r="AF401" s="6">
        <f ca="1">$M$401*$Z$401</f>
        <v>1449.2325261278422</v>
      </c>
      <c r="AG401" s="6">
        <f>$O$401*$AA$401</f>
        <v>473.48309850382088</v>
      </c>
    </row>
    <row r="402" spans="1:33" ht="11.25" customHeight="1" x14ac:dyDescent="0.25">
      <c r="A402" s="4" t="s">
        <v>28</v>
      </c>
      <c r="B402" s="4" t="s">
        <v>40</v>
      </c>
      <c r="C402" s="4" t="s">
        <v>23</v>
      </c>
      <c r="D402" s="4" t="s">
        <v>41</v>
      </c>
      <c r="E402" s="4" t="s">
        <v>52</v>
      </c>
      <c r="F402" s="4" t="s">
        <v>50</v>
      </c>
      <c r="G402" s="4" t="s">
        <v>25</v>
      </c>
      <c r="H402" s="4" t="s">
        <v>25</v>
      </c>
      <c r="I402" s="5">
        <v>44774</v>
      </c>
      <c r="J402" s="6">
        <v>0</v>
      </c>
      <c r="K402" s="6">
        <v>0</v>
      </c>
      <c r="L402" s="6">
        <v>0.2</v>
      </c>
      <c r="M402" s="6">
        <v>0.2</v>
      </c>
      <c r="N402" s="6">
        <v>0.2</v>
      </c>
      <c r="O402" s="6">
        <v>0.2</v>
      </c>
      <c r="P402" s="6">
        <v>0</v>
      </c>
      <c r="Q402" s="4" t="s">
        <v>26</v>
      </c>
      <c r="R402" s="4">
        <v>0</v>
      </c>
      <c r="S402" s="6">
        <v>0</v>
      </c>
      <c r="T402" s="6">
        <v>30</v>
      </c>
      <c r="U402" s="6">
        <v>55</v>
      </c>
      <c r="V402" s="6">
        <f>IF(ISERROR(VLOOKUP($S$402,'TAR FIN'!$A$1:$O$85,15,0)),0,VLOOKUP($S$402,'TAR FIN'!$A$1:$O$85,15,0))</f>
        <v>0</v>
      </c>
      <c r="W402" s="6">
        <f>IF(ISERROR(VLOOKUP($T$402,'TAR FIN'!$A$1:$O$85,15,0)),0,VLOOKUP($T$402,'TAR FIN'!$A$1:$O$85,15,0))</f>
        <v>331.77</v>
      </c>
      <c r="X402" s="6">
        <f>IF(ISERROR(VLOOKUP($U$402,'TAR FIN'!$A$1:$O$85,15,0)),0,VLOOKUP($U$402,'TAR FIN'!$A$1:$O$85,15,0))</f>
        <v>124.36</v>
      </c>
      <c r="Y402" s="6"/>
      <c r="Z402" s="6">
        <f ca="1">('TUSD BE'!$AM$33+'TUSD BF'!$AM$33+'TUSD CVA'!$AM$33)*(1-CUSTOS!$M$38)</f>
        <v>390.73403238820225</v>
      </c>
      <c r="AA402" s="6">
        <f>('TE BE'!$AB$23+'TE BF'!$AB$23+'TE CVA'!$AB$23)*(1-CUSTOS!$M$38)</f>
        <v>127.65788581931002</v>
      </c>
      <c r="AB402" s="6">
        <f>$K$402*$V$402</f>
        <v>0</v>
      </c>
      <c r="AC402" s="6">
        <f>$M$402*$W$402</f>
        <v>66.353999999999999</v>
      </c>
      <c r="AD402" s="6">
        <f>$O$402*$X$402</f>
        <v>24.872</v>
      </c>
      <c r="AE402" s="6">
        <f>$K$402*$Y$402</f>
        <v>0</v>
      </c>
      <c r="AF402" s="6">
        <f ca="1">$M$402*$Z$402</f>
        <v>78.146806477640453</v>
      </c>
      <c r="AG402" s="6">
        <f>$O$402*$AA$402</f>
        <v>25.531577163862007</v>
      </c>
    </row>
    <row r="403" spans="1:33" ht="11.25" customHeight="1" x14ac:dyDescent="0.25">
      <c r="A403" s="4" t="s">
        <v>21</v>
      </c>
      <c r="B403" s="4" t="s">
        <v>40</v>
      </c>
      <c r="C403" s="4" t="s">
        <v>23</v>
      </c>
      <c r="D403" s="4" t="s">
        <v>41</v>
      </c>
      <c r="E403" s="4" t="s">
        <v>52</v>
      </c>
      <c r="F403" s="4" t="s">
        <v>51</v>
      </c>
      <c r="G403" s="4" t="s">
        <v>25</v>
      </c>
      <c r="H403" s="4" t="s">
        <v>25</v>
      </c>
      <c r="I403" s="5">
        <v>44440</v>
      </c>
      <c r="J403" s="6">
        <v>0</v>
      </c>
      <c r="K403" s="6">
        <v>0</v>
      </c>
      <c r="L403" s="6">
        <v>10.45</v>
      </c>
      <c r="M403" s="6">
        <v>4.18</v>
      </c>
      <c r="N403" s="6">
        <v>10.45</v>
      </c>
      <c r="O403" s="6">
        <v>4.18</v>
      </c>
      <c r="P403" s="6">
        <v>0</v>
      </c>
      <c r="Q403" s="4" t="s">
        <v>26</v>
      </c>
      <c r="R403" s="4">
        <v>0</v>
      </c>
      <c r="S403" s="6">
        <v>0</v>
      </c>
      <c r="T403" s="6">
        <v>30</v>
      </c>
      <c r="U403" s="6">
        <v>55</v>
      </c>
      <c r="V403" s="6">
        <f>IF(ISERROR(VLOOKUP($S$403,'TAR FIN'!$A$1:$O$85,15,0)),0,VLOOKUP($S$403,'TAR FIN'!$A$1:$O$85,15,0))</f>
        <v>0</v>
      </c>
      <c r="W403" s="6">
        <f>IF(ISERROR(VLOOKUP($T$403,'TAR FIN'!$A$1:$O$85,15,0)),0,VLOOKUP($T$403,'TAR FIN'!$A$1:$O$85,15,0))</f>
        <v>331.77</v>
      </c>
      <c r="X403" s="6">
        <f>IF(ISERROR(VLOOKUP($U$403,'TAR FIN'!$A$1:$O$85,15,0)),0,VLOOKUP($U$403,'TAR FIN'!$A$1:$O$85,15,0))</f>
        <v>124.36</v>
      </c>
      <c r="Y403" s="6"/>
      <c r="Z403" s="6">
        <f ca="1">('TUSD BE'!$AM$33+'TUSD BF'!$AM$33+'TUSD CVA'!$AM$33)*(1-CUSTOS!$M$38)</f>
        <v>390.73403238820225</v>
      </c>
      <c r="AA403" s="6">
        <f>('TE BE'!$AB$23+'TE BF'!$AB$23+'TE CVA'!$AB$23)*(1-CUSTOS!$M$38)</f>
        <v>127.65788581931002</v>
      </c>
      <c r="AB403" s="6">
        <f>$K$403*$V$403</f>
        <v>0</v>
      </c>
      <c r="AC403" s="6">
        <f>$M$403*$W$403</f>
        <v>1386.7985999999999</v>
      </c>
      <c r="AD403" s="6">
        <f>$O$403*$X$403</f>
        <v>519.82479999999998</v>
      </c>
      <c r="AE403" s="6">
        <f>$K$403*$Y$403</f>
        <v>0</v>
      </c>
      <c r="AF403" s="6">
        <f ca="1">$M$403*$Z$403</f>
        <v>1633.2682553826853</v>
      </c>
      <c r="AG403" s="6">
        <f>$O$403*$AA$403</f>
        <v>533.60996272471584</v>
      </c>
    </row>
    <row r="404" spans="1:33" ht="11.25" customHeight="1" x14ac:dyDescent="0.25">
      <c r="A404" s="4" t="s">
        <v>28</v>
      </c>
      <c r="B404" s="4" t="s">
        <v>40</v>
      </c>
      <c r="C404" s="4" t="s">
        <v>23</v>
      </c>
      <c r="D404" s="4" t="s">
        <v>41</v>
      </c>
      <c r="E404" s="4" t="s">
        <v>52</v>
      </c>
      <c r="F404" s="4" t="s">
        <v>51</v>
      </c>
      <c r="G404" s="4" t="s">
        <v>25</v>
      </c>
      <c r="H404" s="4" t="s">
        <v>25</v>
      </c>
      <c r="I404" s="5">
        <v>44440</v>
      </c>
      <c r="J404" s="6">
        <v>0</v>
      </c>
      <c r="K404" s="6">
        <v>0</v>
      </c>
      <c r="L404" s="6">
        <v>0.05</v>
      </c>
      <c r="M404" s="6">
        <v>0.02</v>
      </c>
      <c r="N404" s="6">
        <v>0.05</v>
      </c>
      <c r="O404" s="6">
        <v>0.02</v>
      </c>
      <c r="P404" s="6">
        <v>0</v>
      </c>
      <c r="Q404" s="4" t="s">
        <v>26</v>
      </c>
      <c r="R404" s="4">
        <v>0</v>
      </c>
      <c r="S404" s="6">
        <v>0</v>
      </c>
      <c r="T404" s="6">
        <v>30</v>
      </c>
      <c r="U404" s="6">
        <v>55</v>
      </c>
      <c r="V404" s="6">
        <f>IF(ISERROR(VLOOKUP($S$404,'TAR FIN'!$A$1:$O$85,15,0)),0,VLOOKUP($S$404,'TAR FIN'!$A$1:$O$85,15,0))</f>
        <v>0</v>
      </c>
      <c r="W404" s="6">
        <f>IF(ISERROR(VLOOKUP($T$404,'TAR FIN'!$A$1:$O$85,15,0)),0,VLOOKUP($T$404,'TAR FIN'!$A$1:$O$85,15,0))</f>
        <v>331.77</v>
      </c>
      <c r="X404" s="6">
        <f>IF(ISERROR(VLOOKUP($U$404,'TAR FIN'!$A$1:$O$85,15,0)),0,VLOOKUP($U$404,'TAR FIN'!$A$1:$O$85,15,0))</f>
        <v>124.36</v>
      </c>
      <c r="Y404" s="6"/>
      <c r="Z404" s="6">
        <f ca="1">('TUSD BE'!$AM$33+'TUSD BF'!$AM$33+'TUSD CVA'!$AM$33)*(1-CUSTOS!$M$38)</f>
        <v>390.73403238820225</v>
      </c>
      <c r="AA404" s="6">
        <f>('TE BE'!$AB$23+'TE BF'!$AB$23+'TE CVA'!$AB$23)*(1-CUSTOS!$M$38)</f>
        <v>127.65788581931002</v>
      </c>
      <c r="AB404" s="6">
        <f>$K$404*$V$404</f>
        <v>0</v>
      </c>
      <c r="AC404" s="6">
        <f>$M$404*$W$404</f>
        <v>6.6353999999999997</v>
      </c>
      <c r="AD404" s="6">
        <f>$O$404*$X$404</f>
        <v>2.4872000000000001</v>
      </c>
      <c r="AE404" s="6">
        <f>$K$404*$Y$404</f>
        <v>0</v>
      </c>
      <c r="AF404" s="6">
        <f ca="1">$M$404*$Z$404</f>
        <v>7.8146806477640451</v>
      </c>
      <c r="AG404" s="6">
        <f>$O$404*$AA$404</f>
        <v>2.5531577163862007</v>
      </c>
    </row>
    <row r="405" spans="1:33" ht="11.25" customHeight="1" x14ac:dyDescent="0.25">
      <c r="A405" s="4" t="s">
        <v>21</v>
      </c>
      <c r="B405" s="4" t="s">
        <v>40</v>
      </c>
      <c r="C405" s="4" t="s">
        <v>23</v>
      </c>
      <c r="D405" s="4" t="s">
        <v>41</v>
      </c>
      <c r="E405" s="4" t="s">
        <v>52</v>
      </c>
      <c r="F405" s="4" t="s">
        <v>51</v>
      </c>
      <c r="G405" s="4" t="s">
        <v>25</v>
      </c>
      <c r="H405" s="4" t="s">
        <v>25</v>
      </c>
      <c r="I405" s="5">
        <v>44470</v>
      </c>
      <c r="J405" s="6">
        <v>0</v>
      </c>
      <c r="K405" s="6">
        <v>0</v>
      </c>
      <c r="L405" s="6">
        <v>9.8000000000000007</v>
      </c>
      <c r="M405" s="6">
        <v>3.92</v>
      </c>
      <c r="N405" s="6">
        <v>9.8000000000000007</v>
      </c>
      <c r="O405" s="6">
        <v>3.92</v>
      </c>
      <c r="P405" s="6">
        <v>0</v>
      </c>
      <c r="Q405" s="4" t="s">
        <v>26</v>
      </c>
      <c r="R405" s="4">
        <v>0</v>
      </c>
      <c r="S405" s="6">
        <v>0</v>
      </c>
      <c r="T405" s="6">
        <v>30</v>
      </c>
      <c r="U405" s="6">
        <v>55</v>
      </c>
      <c r="V405" s="6">
        <f>IF(ISERROR(VLOOKUP($S$405,'TAR FIN'!$A$1:$O$85,15,0)),0,VLOOKUP($S$405,'TAR FIN'!$A$1:$O$85,15,0))</f>
        <v>0</v>
      </c>
      <c r="W405" s="6">
        <f>IF(ISERROR(VLOOKUP($T$405,'TAR FIN'!$A$1:$O$85,15,0)),0,VLOOKUP($T$405,'TAR FIN'!$A$1:$O$85,15,0))</f>
        <v>331.77</v>
      </c>
      <c r="X405" s="6">
        <f>IF(ISERROR(VLOOKUP($U$405,'TAR FIN'!$A$1:$O$85,15,0)),0,VLOOKUP($U$405,'TAR FIN'!$A$1:$O$85,15,0))</f>
        <v>124.36</v>
      </c>
      <c r="Y405" s="6"/>
      <c r="Z405" s="6">
        <f ca="1">('TUSD BE'!$AM$33+'TUSD BF'!$AM$33+'TUSD CVA'!$AM$33)*(1-CUSTOS!$M$38)</f>
        <v>390.73403238820225</v>
      </c>
      <c r="AA405" s="6">
        <f>('TE BE'!$AB$23+'TE BF'!$AB$23+'TE CVA'!$AB$23)*(1-CUSTOS!$M$38)</f>
        <v>127.65788581931002</v>
      </c>
      <c r="AB405" s="6">
        <f>$K$405*$V$405</f>
        <v>0</v>
      </c>
      <c r="AC405" s="6">
        <f>$M$405*$W$405</f>
        <v>1300.5383999999999</v>
      </c>
      <c r="AD405" s="6">
        <f>$O$405*$X$405</f>
        <v>487.49119999999999</v>
      </c>
      <c r="AE405" s="6">
        <f>$K$405*$Y$405</f>
        <v>0</v>
      </c>
      <c r="AF405" s="6">
        <f ca="1">$M$405*$Z$405</f>
        <v>1531.6774069617527</v>
      </c>
      <c r="AG405" s="6">
        <f>$O$405*$AA$405</f>
        <v>500.41891241169526</v>
      </c>
    </row>
    <row r="406" spans="1:33" ht="11.25" customHeight="1" x14ac:dyDescent="0.25">
      <c r="A406" s="4" t="s">
        <v>28</v>
      </c>
      <c r="B406" s="4" t="s">
        <v>40</v>
      </c>
      <c r="C406" s="4" t="s">
        <v>23</v>
      </c>
      <c r="D406" s="4" t="s">
        <v>41</v>
      </c>
      <c r="E406" s="4" t="s">
        <v>52</v>
      </c>
      <c r="F406" s="4" t="s">
        <v>51</v>
      </c>
      <c r="G406" s="4" t="s">
        <v>25</v>
      </c>
      <c r="H406" s="4" t="s">
        <v>25</v>
      </c>
      <c r="I406" s="5">
        <v>44470</v>
      </c>
      <c r="J406" s="6">
        <v>0</v>
      </c>
      <c r="K406" s="6">
        <v>0</v>
      </c>
      <c r="L406" s="6">
        <v>0.33200000000000002</v>
      </c>
      <c r="M406" s="6">
        <v>0.1328</v>
      </c>
      <c r="N406" s="6">
        <v>0.33200000000000002</v>
      </c>
      <c r="O406" s="6">
        <v>0.1328</v>
      </c>
      <c r="P406" s="6">
        <v>0</v>
      </c>
      <c r="Q406" s="4" t="s">
        <v>26</v>
      </c>
      <c r="R406" s="4">
        <v>0</v>
      </c>
      <c r="S406" s="6">
        <v>0</v>
      </c>
      <c r="T406" s="6">
        <v>30</v>
      </c>
      <c r="U406" s="6">
        <v>55</v>
      </c>
      <c r="V406" s="6">
        <f>IF(ISERROR(VLOOKUP($S$406,'TAR FIN'!$A$1:$O$85,15,0)),0,VLOOKUP($S$406,'TAR FIN'!$A$1:$O$85,15,0))</f>
        <v>0</v>
      </c>
      <c r="W406" s="6">
        <f>IF(ISERROR(VLOOKUP($T$406,'TAR FIN'!$A$1:$O$85,15,0)),0,VLOOKUP($T$406,'TAR FIN'!$A$1:$O$85,15,0))</f>
        <v>331.77</v>
      </c>
      <c r="X406" s="6">
        <f>IF(ISERROR(VLOOKUP($U$406,'TAR FIN'!$A$1:$O$85,15,0)),0,VLOOKUP($U$406,'TAR FIN'!$A$1:$O$85,15,0))</f>
        <v>124.36</v>
      </c>
      <c r="Y406" s="6"/>
      <c r="Z406" s="6">
        <f ca="1">('TUSD BE'!$AM$33+'TUSD BF'!$AM$33+'TUSD CVA'!$AM$33)*(1-CUSTOS!$M$38)</f>
        <v>390.73403238820225</v>
      </c>
      <c r="AA406" s="6">
        <f>('TE BE'!$AB$23+'TE BF'!$AB$23+'TE CVA'!$AB$23)*(1-CUSTOS!$M$38)</f>
        <v>127.65788581931002</v>
      </c>
      <c r="AB406" s="6">
        <f>$K$406*$V$406</f>
        <v>0</v>
      </c>
      <c r="AC406" s="6">
        <f>$M$406*$W$406</f>
        <v>44.059055999999998</v>
      </c>
      <c r="AD406" s="6">
        <f>$O$406*$X$406</f>
        <v>16.515008000000002</v>
      </c>
      <c r="AE406" s="6">
        <f>$K$406*$Y$406</f>
        <v>0</v>
      </c>
      <c r="AF406" s="6">
        <f ca="1">$M$406*$Z$406</f>
        <v>51.889479501153261</v>
      </c>
      <c r="AG406" s="6">
        <f>$O$406*$AA$406</f>
        <v>16.952967236804373</v>
      </c>
    </row>
    <row r="407" spans="1:33" ht="11.25" customHeight="1" x14ac:dyDescent="0.25">
      <c r="A407" s="4" t="s">
        <v>21</v>
      </c>
      <c r="B407" s="4" t="s">
        <v>40</v>
      </c>
      <c r="C407" s="4" t="s">
        <v>23</v>
      </c>
      <c r="D407" s="4" t="s">
        <v>41</v>
      </c>
      <c r="E407" s="4" t="s">
        <v>52</v>
      </c>
      <c r="F407" s="4" t="s">
        <v>51</v>
      </c>
      <c r="G407" s="4" t="s">
        <v>25</v>
      </c>
      <c r="H407" s="4" t="s">
        <v>25</v>
      </c>
      <c r="I407" s="5">
        <v>44501</v>
      </c>
      <c r="J407" s="6">
        <v>0</v>
      </c>
      <c r="K407" s="6">
        <v>0</v>
      </c>
      <c r="L407" s="6">
        <v>7.8129999999999997</v>
      </c>
      <c r="M407" s="6">
        <v>3.1252</v>
      </c>
      <c r="N407" s="6">
        <v>7.8129999999999997</v>
      </c>
      <c r="O407" s="6">
        <v>3.1252</v>
      </c>
      <c r="P407" s="6">
        <v>0</v>
      </c>
      <c r="Q407" s="4" t="s">
        <v>26</v>
      </c>
      <c r="R407" s="4">
        <v>0</v>
      </c>
      <c r="S407" s="6">
        <v>0</v>
      </c>
      <c r="T407" s="6">
        <v>30</v>
      </c>
      <c r="U407" s="6">
        <v>55</v>
      </c>
      <c r="V407" s="6">
        <f>IF(ISERROR(VLOOKUP($S$407,'TAR FIN'!$A$1:$O$85,15,0)),0,VLOOKUP($S$407,'TAR FIN'!$A$1:$O$85,15,0))</f>
        <v>0</v>
      </c>
      <c r="W407" s="6">
        <f>IF(ISERROR(VLOOKUP($T$407,'TAR FIN'!$A$1:$O$85,15,0)),0,VLOOKUP($T$407,'TAR FIN'!$A$1:$O$85,15,0))</f>
        <v>331.77</v>
      </c>
      <c r="X407" s="6">
        <f>IF(ISERROR(VLOOKUP($U$407,'TAR FIN'!$A$1:$O$85,15,0)),0,VLOOKUP($U$407,'TAR FIN'!$A$1:$O$85,15,0))</f>
        <v>124.36</v>
      </c>
      <c r="Y407" s="6"/>
      <c r="Z407" s="6">
        <f ca="1">('TUSD BE'!$AM$33+'TUSD BF'!$AM$33+'TUSD CVA'!$AM$33)*(1-CUSTOS!$M$38)</f>
        <v>390.73403238820225</v>
      </c>
      <c r="AA407" s="6">
        <f>('TE BE'!$AB$23+'TE BF'!$AB$23+'TE CVA'!$AB$23)*(1-CUSTOS!$M$38)</f>
        <v>127.65788581931002</v>
      </c>
      <c r="AB407" s="6">
        <f>$K$407*$V$407</f>
        <v>0</v>
      </c>
      <c r="AC407" s="6">
        <f>$M$407*$W$407</f>
        <v>1036.847604</v>
      </c>
      <c r="AD407" s="6">
        <f>$O$407*$X$407</f>
        <v>388.64987200000002</v>
      </c>
      <c r="AE407" s="6">
        <f>$K$407*$Y$407</f>
        <v>0</v>
      </c>
      <c r="AF407" s="6">
        <f ca="1">$M$407*$Z$407</f>
        <v>1221.1219980196097</v>
      </c>
      <c r="AG407" s="6">
        <f>$O$407*$AA$407</f>
        <v>398.95642476250771</v>
      </c>
    </row>
    <row r="408" spans="1:33" ht="11.25" customHeight="1" x14ac:dyDescent="0.25">
      <c r="A408" s="4" t="s">
        <v>28</v>
      </c>
      <c r="B408" s="4" t="s">
        <v>40</v>
      </c>
      <c r="C408" s="4" t="s">
        <v>23</v>
      </c>
      <c r="D408" s="4" t="s">
        <v>41</v>
      </c>
      <c r="E408" s="4" t="s">
        <v>52</v>
      </c>
      <c r="F408" s="4" t="s">
        <v>51</v>
      </c>
      <c r="G408" s="4" t="s">
        <v>25</v>
      </c>
      <c r="H408" s="4" t="s">
        <v>25</v>
      </c>
      <c r="I408" s="5">
        <v>44501</v>
      </c>
      <c r="J408" s="6">
        <v>0</v>
      </c>
      <c r="K408" s="6">
        <v>0</v>
      </c>
      <c r="L408" s="6">
        <v>4.7329999999999997</v>
      </c>
      <c r="M408" s="6">
        <v>1.8932</v>
      </c>
      <c r="N408" s="6">
        <v>4.7329999999999997</v>
      </c>
      <c r="O408" s="6">
        <v>1.8932</v>
      </c>
      <c r="P408" s="6">
        <v>0</v>
      </c>
      <c r="Q408" s="4" t="s">
        <v>26</v>
      </c>
      <c r="R408" s="4">
        <v>0</v>
      </c>
      <c r="S408" s="6">
        <v>0</v>
      </c>
      <c r="T408" s="6">
        <v>30</v>
      </c>
      <c r="U408" s="6">
        <v>55</v>
      </c>
      <c r="V408" s="6">
        <f>IF(ISERROR(VLOOKUP($S$408,'TAR FIN'!$A$1:$O$85,15,0)),0,VLOOKUP($S$408,'TAR FIN'!$A$1:$O$85,15,0))</f>
        <v>0</v>
      </c>
      <c r="W408" s="6">
        <f>IF(ISERROR(VLOOKUP($T$408,'TAR FIN'!$A$1:$O$85,15,0)),0,VLOOKUP($T$408,'TAR FIN'!$A$1:$O$85,15,0))</f>
        <v>331.77</v>
      </c>
      <c r="X408" s="6">
        <f>IF(ISERROR(VLOOKUP($U$408,'TAR FIN'!$A$1:$O$85,15,0)),0,VLOOKUP($U$408,'TAR FIN'!$A$1:$O$85,15,0))</f>
        <v>124.36</v>
      </c>
      <c r="Y408" s="6"/>
      <c r="Z408" s="6">
        <f ca="1">('TUSD BE'!$AM$33+'TUSD BF'!$AM$33+'TUSD CVA'!$AM$33)*(1-CUSTOS!$M$38)</f>
        <v>390.73403238820225</v>
      </c>
      <c r="AA408" s="6">
        <f>('TE BE'!$AB$23+'TE BF'!$AB$23+'TE CVA'!$AB$23)*(1-CUSTOS!$M$38)</f>
        <v>127.65788581931002</v>
      </c>
      <c r="AB408" s="6">
        <f>$K$408*$V$408</f>
        <v>0</v>
      </c>
      <c r="AC408" s="6">
        <f>$M$408*$W$408</f>
        <v>628.10696399999995</v>
      </c>
      <c r="AD408" s="6">
        <f>$O$408*$X$408</f>
        <v>235.43835200000001</v>
      </c>
      <c r="AE408" s="6">
        <f>$K$408*$Y$408</f>
        <v>0</v>
      </c>
      <c r="AF408" s="6">
        <f ca="1">$M$408*$Z$408</f>
        <v>739.73767011734446</v>
      </c>
      <c r="AG408" s="6">
        <f>$O$408*$AA$408</f>
        <v>241.68190943311774</v>
      </c>
    </row>
    <row r="409" spans="1:33" ht="11.25" customHeight="1" x14ac:dyDescent="0.25">
      <c r="A409" s="4" t="s">
        <v>21</v>
      </c>
      <c r="B409" s="4" t="s">
        <v>40</v>
      </c>
      <c r="C409" s="4" t="s">
        <v>23</v>
      </c>
      <c r="D409" s="4" t="s">
        <v>41</v>
      </c>
      <c r="E409" s="4" t="s">
        <v>52</v>
      </c>
      <c r="F409" s="4" t="s">
        <v>51</v>
      </c>
      <c r="G409" s="4" t="s">
        <v>25</v>
      </c>
      <c r="H409" s="4" t="s">
        <v>25</v>
      </c>
      <c r="I409" s="5">
        <v>44531</v>
      </c>
      <c r="J409" s="6">
        <v>0</v>
      </c>
      <c r="K409" s="6">
        <v>0</v>
      </c>
      <c r="L409" s="6">
        <v>7.7880000000000003</v>
      </c>
      <c r="M409" s="6">
        <v>3.1152000000000002</v>
      </c>
      <c r="N409" s="6">
        <v>7.7880000000000003</v>
      </c>
      <c r="O409" s="6">
        <v>3.1152000000000002</v>
      </c>
      <c r="P409" s="6">
        <v>0</v>
      </c>
      <c r="Q409" s="4" t="s">
        <v>26</v>
      </c>
      <c r="R409" s="4">
        <v>0</v>
      </c>
      <c r="S409" s="6">
        <v>0</v>
      </c>
      <c r="T409" s="6">
        <v>30</v>
      </c>
      <c r="U409" s="6">
        <v>55</v>
      </c>
      <c r="V409" s="6">
        <f>IF(ISERROR(VLOOKUP($S$409,'TAR FIN'!$A$1:$O$85,15,0)),0,VLOOKUP($S$409,'TAR FIN'!$A$1:$O$85,15,0))</f>
        <v>0</v>
      </c>
      <c r="W409" s="6">
        <f>IF(ISERROR(VLOOKUP($T$409,'TAR FIN'!$A$1:$O$85,15,0)),0,VLOOKUP($T$409,'TAR FIN'!$A$1:$O$85,15,0))</f>
        <v>331.77</v>
      </c>
      <c r="X409" s="6">
        <f>IF(ISERROR(VLOOKUP($U$409,'TAR FIN'!$A$1:$O$85,15,0)),0,VLOOKUP($U$409,'TAR FIN'!$A$1:$O$85,15,0))</f>
        <v>124.36</v>
      </c>
      <c r="Y409" s="6"/>
      <c r="Z409" s="6">
        <f ca="1">('TUSD BE'!$AM$33+'TUSD BF'!$AM$33+'TUSD CVA'!$AM$33)*(1-CUSTOS!$M$38)</f>
        <v>390.73403238820225</v>
      </c>
      <c r="AA409" s="6">
        <f>('TE BE'!$AB$23+'TE BF'!$AB$23+'TE CVA'!$AB$23)*(1-CUSTOS!$M$38)</f>
        <v>127.65788581931002</v>
      </c>
      <c r="AB409" s="6">
        <f>$K$409*$V$409</f>
        <v>0</v>
      </c>
      <c r="AC409" s="6">
        <f>$M$409*$W$409</f>
        <v>1033.529904</v>
      </c>
      <c r="AD409" s="6">
        <f>$O$409*$X$409</f>
        <v>387.406272</v>
      </c>
      <c r="AE409" s="6">
        <f>$K$409*$Y$409</f>
        <v>0</v>
      </c>
      <c r="AF409" s="6">
        <f ca="1">$M$409*$Z$409</f>
        <v>1217.2146576957277</v>
      </c>
      <c r="AG409" s="6">
        <f>$O$409*$AA$409</f>
        <v>397.67984590431462</v>
      </c>
    </row>
    <row r="410" spans="1:33" ht="11.25" customHeight="1" x14ac:dyDescent="0.25">
      <c r="A410" s="4" t="s">
        <v>28</v>
      </c>
      <c r="B410" s="4" t="s">
        <v>40</v>
      </c>
      <c r="C410" s="4" t="s">
        <v>23</v>
      </c>
      <c r="D410" s="4" t="s">
        <v>41</v>
      </c>
      <c r="E410" s="4" t="s">
        <v>52</v>
      </c>
      <c r="F410" s="4" t="s">
        <v>51</v>
      </c>
      <c r="G410" s="4" t="s">
        <v>25</v>
      </c>
      <c r="H410" s="4" t="s">
        <v>25</v>
      </c>
      <c r="I410" s="5">
        <v>44531</v>
      </c>
      <c r="J410" s="6">
        <v>0</v>
      </c>
      <c r="K410" s="6">
        <v>0</v>
      </c>
      <c r="L410" s="6">
        <v>4.2050000000000001</v>
      </c>
      <c r="M410" s="6">
        <v>1.6819999999999999</v>
      </c>
      <c r="N410" s="6">
        <v>4.2050000000000001</v>
      </c>
      <c r="O410" s="6">
        <v>1.6819999999999999</v>
      </c>
      <c r="P410" s="6">
        <v>0</v>
      </c>
      <c r="Q410" s="4" t="s">
        <v>26</v>
      </c>
      <c r="R410" s="4">
        <v>0</v>
      </c>
      <c r="S410" s="6">
        <v>0</v>
      </c>
      <c r="T410" s="6">
        <v>30</v>
      </c>
      <c r="U410" s="6">
        <v>55</v>
      </c>
      <c r="V410" s="6">
        <f>IF(ISERROR(VLOOKUP($S$410,'TAR FIN'!$A$1:$O$85,15,0)),0,VLOOKUP($S$410,'TAR FIN'!$A$1:$O$85,15,0))</f>
        <v>0</v>
      </c>
      <c r="W410" s="6">
        <f>IF(ISERROR(VLOOKUP($T$410,'TAR FIN'!$A$1:$O$85,15,0)),0,VLOOKUP($T$410,'TAR FIN'!$A$1:$O$85,15,0))</f>
        <v>331.77</v>
      </c>
      <c r="X410" s="6">
        <f>IF(ISERROR(VLOOKUP($U$410,'TAR FIN'!$A$1:$O$85,15,0)),0,VLOOKUP($U$410,'TAR FIN'!$A$1:$O$85,15,0))</f>
        <v>124.36</v>
      </c>
      <c r="Y410" s="6"/>
      <c r="Z410" s="6">
        <f ca="1">('TUSD BE'!$AM$33+'TUSD BF'!$AM$33+'TUSD CVA'!$AM$33)*(1-CUSTOS!$M$38)</f>
        <v>390.73403238820225</v>
      </c>
      <c r="AA410" s="6">
        <f>('TE BE'!$AB$23+'TE BF'!$AB$23+'TE CVA'!$AB$23)*(1-CUSTOS!$M$38)</f>
        <v>127.65788581931002</v>
      </c>
      <c r="AB410" s="6">
        <f>$K$410*$V$410</f>
        <v>0</v>
      </c>
      <c r="AC410" s="6">
        <f>$M$410*$W$410</f>
        <v>558.03713999999991</v>
      </c>
      <c r="AD410" s="6">
        <f>$O$410*$X$410</f>
        <v>209.17352</v>
      </c>
      <c r="AE410" s="6">
        <f>$K$410*$Y$410</f>
        <v>0</v>
      </c>
      <c r="AF410" s="6">
        <f ca="1">$M$410*$Z$410</f>
        <v>657.21464247695621</v>
      </c>
      <c r="AG410" s="6">
        <f>$O$410*$AA$410</f>
        <v>214.72056394807944</v>
      </c>
    </row>
    <row r="411" spans="1:33" ht="11.25" customHeight="1" x14ac:dyDescent="0.25">
      <c r="A411" s="4" t="s">
        <v>21</v>
      </c>
      <c r="B411" s="4" t="s">
        <v>40</v>
      </c>
      <c r="C411" s="4" t="s">
        <v>23</v>
      </c>
      <c r="D411" s="4" t="s">
        <v>41</v>
      </c>
      <c r="E411" s="4" t="s">
        <v>52</v>
      </c>
      <c r="F411" s="4" t="s">
        <v>51</v>
      </c>
      <c r="G411" s="4" t="s">
        <v>25</v>
      </c>
      <c r="H411" s="4" t="s">
        <v>25</v>
      </c>
      <c r="I411" s="5">
        <v>44562</v>
      </c>
      <c r="J411" s="6">
        <v>0</v>
      </c>
      <c r="K411" s="6">
        <v>0</v>
      </c>
      <c r="L411" s="6">
        <v>11.555</v>
      </c>
      <c r="M411" s="6">
        <v>4.6219999999999999</v>
      </c>
      <c r="N411" s="6">
        <v>11.555</v>
      </c>
      <c r="O411" s="6">
        <v>4.6219999999999999</v>
      </c>
      <c r="P411" s="6">
        <v>0</v>
      </c>
      <c r="Q411" s="4" t="s">
        <v>26</v>
      </c>
      <c r="R411" s="4">
        <v>0</v>
      </c>
      <c r="S411" s="6">
        <v>0</v>
      </c>
      <c r="T411" s="6">
        <v>30</v>
      </c>
      <c r="U411" s="6">
        <v>55</v>
      </c>
      <c r="V411" s="6">
        <f>IF(ISERROR(VLOOKUP($S$411,'TAR FIN'!$A$1:$O$85,15,0)),0,VLOOKUP($S$411,'TAR FIN'!$A$1:$O$85,15,0))</f>
        <v>0</v>
      </c>
      <c r="W411" s="6">
        <f>IF(ISERROR(VLOOKUP($T$411,'TAR FIN'!$A$1:$O$85,15,0)),0,VLOOKUP($T$411,'TAR FIN'!$A$1:$O$85,15,0))</f>
        <v>331.77</v>
      </c>
      <c r="X411" s="6">
        <f>IF(ISERROR(VLOOKUP($U$411,'TAR FIN'!$A$1:$O$85,15,0)),0,VLOOKUP($U$411,'TAR FIN'!$A$1:$O$85,15,0))</f>
        <v>124.36</v>
      </c>
      <c r="Y411" s="6"/>
      <c r="Z411" s="6">
        <f ca="1">('TUSD BE'!$AM$33+'TUSD BF'!$AM$33+'TUSD CVA'!$AM$33)*(1-CUSTOS!$M$38)</f>
        <v>390.73403238820225</v>
      </c>
      <c r="AA411" s="6">
        <f>('TE BE'!$AB$23+'TE BF'!$AB$23+'TE CVA'!$AB$23)*(1-CUSTOS!$M$38)</f>
        <v>127.65788581931002</v>
      </c>
      <c r="AB411" s="6">
        <f>$K$411*$V$411</f>
        <v>0</v>
      </c>
      <c r="AC411" s="6">
        <f>$M$411*$W$411</f>
        <v>1533.44094</v>
      </c>
      <c r="AD411" s="6">
        <f>$O$411*$X$411</f>
        <v>574.79192</v>
      </c>
      <c r="AE411" s="6">
        <f>$K$411*$Y$411</f>
        <v>0</v>
      </c>
      <c r="AF411" s="6">
        <f ca="1">$M$411*$Z$411</f>
        <v>1805.9726976982708</v>
      </c>
      <c r="AG411" s="6">
        <f>$O$411*$AA$411</f>
        <v>590.03474825685089</v>
      </c>
    </row>
    <row r="412" spans="1:33" ht="11.25" customHeight="1" x14ac:dyDescent="0.25">
      <c r="A412" s="4" t="s">
        <v>28</v>
      </c>
      <c r="B412" s="4" t="s">
        <v>40</v>
      </c>
      <c r="C412" s="4" t="s">
        <v>23</v>
      </c>
      <c r="D412" s="4" t="s">
        <v>41</v>
      </c>
      <c r="E412" s="4" t="s">
        <v>52</v>
      </c>
      <c r="F412" s="4" t="s">
        <v>51</v>
      </c>
      <c r="G412" s="4" t="s">
        <v>25</v>
      </c>
      <c r="H412" s="4" t="s">
        <v>25</v>
      </c>
      <c r="I412" s="5">
        <v>44562</v>
      </c>
      <c r="J412" s="6">
        <v>0</v>
      </c>
      <c r="K412" s="6">
        <v>0</v>
      </c>
      <c r="L412" s="6">
        <v>5.0960000000000001</v>
      </c>
      <c r="M412" s="6">
        <v>2.0384000000000002</v>
      </c>
      <c r="N412" s="6">
        <v>5.0960000000000001</v>
      </c>
      <c r="O412" s="6">
        <v>2.0384000000000002</v>
      </c>
      <c r="P412" s="6">
        <v>0</v>
      </c>
      <c r="Q412" s="4" t="s">
        <v>26</v>
      </c>
      <c r="R412" s="4">
        <v>0</v>
      </c>
      <c r="S412" s="6">
        <v>0</v>
      </c>
      <c r="T412" s="6">
        <v>30</v>
      </c>
      <c r="U412" s="6">
        <v>55</v>
      </c>
      <c r="V412" s="6">
        <f>IF(ISERROR(VLOOKUP($S$412,'TAR FIN'!$A$1:$O$85,15,0)),0,VLOOKUP($S$412,'TAR FIN'!$A$1:$O$85,15,0))</f>
        <v>0</v>
      </c>
      <c r="W412" s="6">
        <f>IF(ISERROR(VLOOKUP($T$412,'TAR FIN'!$A$1:$O$85,15,0)),0,VLOOKUP($T$412,'TAR FIN'!$A$1:$O$85,15,0))</f>
        <v>331.77</v>
      </c>
      <c r="X412" s="6">
        <f>IF(ISERROR(VLOOKUP($U$412,'TAR FIN'!$A$1:$O$85,15,0)),0,VLOOKUP($U$412,'TAR FIN'!$A$1:$O$85,15,0))</f>
        <v>124.36</v>
      </c>
      <c r="Y412" s="6"/>
      <c r="Z412" s="6">
        <f ca="1">('TUSD BE'!$AM$33+'TUSD BF'!$AM$33+'TUSD CVA'!$AM$33)*(1-CUSTOS!$M$38)</f>
        <v>390.73403238820225</v>
      </c>
      <c r="AA412" s="6">
        <f>('TE BE'!$AB$23+'TE BF'!$AB$23+'TE CVA'!$AB$23)*(1-CUSTOS!$M$38)</f>
        <v>127.65788581931002</v>
      </c>
      <c r="AB412" s="6">
        <f>$K$412*$V$412</f>
        <v>0</v>
      </c>
      <c r="AC412" s="6">
        <f>$M$412*$W$412</f>
        <v>676.27996800000005</v>
      </c>
      <c r="AD412" s="6">
        <f>$O$412*$X$412</f>
        <v>253.49542400000001</v>
      </c>
      <c r="AE412" s="6">
        <f>$K$412*$Y$412</f>
        <v>0</v>
      </c>
      <c r="AF412" s="6">
        <f ca="1">$M$412*$Z$412</f>
        <v>796.47225162011159</v>
      </c>
      <c r="AG412" s="6">
        <f>$O$412*$AA$412</f>
        <v>260.21783445408158</v>
      </c>
    </row>
    <row r="413" spans="1:33" ht="11.25" customHeight="1" x14ac:dyDescent="0.25">
      <c r="A413" s="4" t="s">
        <v>21</v>
      </c>
      <c r="B413" s="4" t="s">
        <v>40</v>
      </c>
      <c r="C413" s="4" t="s">
        <v>23</v>
      </c>
      <c r="D413" s="4" t="s">
        <v>41</v>
      </c>
      <c r="E413" s="4" t="s">
        <v>52</v>
      </c>
      <c r="F413" s="4" t="s">
        <v>51</v>
      </c>
      <c r="G413" s="4" t="s">
        <v>25</v>
      </c>
      <c r="H413" s="4" t="s">
        <v>25</v>
      </c>
      <c r="I413" s="5">
        <v>44593</v>
      </c>
      <c r="J413" s="6">
        <v>0</v>
      </c>
      <c r="K413" s="6">
        <v>0</v>
      </c>
      <c r="L413" s="6">
        <v>14.553000000000001</v>
      </c>
      <c r="M413" s="6">
        <v>5.8212000000000002</v>
      </c>
      <c r="N413" s="6">
        <v>14.553000000000001</v>
      </c>
      <c r="O413" s="6">
        <v>5.8212000000000002</v>
      </c>
      <c r="P413" s="6">
        <v>0</v>
      </c>
      <c r="Q413" s="4" t="s">
        <v>26</v>
      </c>
      <c r="R413" s="4">
        <v>0</v>
      </c>
      <c r="S413" s="6">
        <v>0</v>
      </c>
      <c r="T413" s="6">
        <v>30</v>
      </c>
      <c r="U413" s="6">
        <v>55</v>
      </c>
      <c r="V413" s="6">
        <f>IF(ISERROR(VLOOKUP($S$413,'TAR FIN'!$A$1:$O$85,15,0)),0,VLOOKUP($S$413,'TAR FIN'!$A$1:$O$85,15,0))</f>
        <v>0</v>
      </c>
      <c r="W413" s="6">
        <f>IF(ISERROR(VLOOKUP($T$413,'TAR FIN'!$A$1:$O$85,15,0)),0,VLOOKUP($T$413,'TAR FIN'!$A$1:$O$85,15,0))</f>
        <v>331.77</v>
      </c>
      <c r="X413" s="6">
        <f>IF(ISERROR(VLOOKUP($U$413,'TAR FIN'!$A$1:$O$85,15,0)),0,VLOOKUP($U$413,'TAR FIN'!$A$1:$O$85,15,0))</f>
        <v>124.36</v>
      </c>
      <c r="Y413" s="6"/>
      <c r="Z413" s="6">
        <f ca="1">('TUSD BE'!$AM$33+'TUSD BF'!$AM$33+'TUSD CVA'!$AM$33)*(1-CUSTOS!$M$38)</f>
        <v>390.73403238820225</v>
      </c>
      <c r="AA413" s="6">
        <f>('TE BE'!$AB$23+'TE BF'!$AB$23+'TE CVA'!$AB$23)*(1-CUSTOS!$M$38)</f>
        <v>127.65788581931002</v>
      </c>
      <c r="AB413" s="6">
        <f>$K$413*$V$413</f>
        <v>0</v>
      </c>
      <c r="AC413" s="6">
        <f>$M$413*$W$413</f>
        <v>1931.299524</v>
      </c>
      <c r="AD413" s="6">
        <f>$O$413*$X$413</f>
        <v>723.92443200000002</v>
      </c>
      <c r="AE413" s="6">
        <f>$K$413*$Y$413</f>
        <v>0</v>
      </c>
      <c r="AF413" s="6">
        <f ca="1">$M$413*$Z$413</f>
        <v>2274.5409493382031</v>
      </c>
      <c r="AG413" s="6">
        <f>$O$413*$AA$413</f>
        <v>743.12208493136757</v>
      </c>
    </row>
    <row r="414" spans="1:33" ht="11.25" customHeight="1" x14ac:dyDescent="0.25">
      <c r="A414" s="4" t="s">
        <v>28</v>
      </c>
      <c r="B414" s="4" t="s">
        <v>40</v>
      </c>
      <c r="C414" s="4" t="s">
        <v>23</v>
      </c>
      <c r="D414" s="4" t="s">
        <v>41</v>
      </c>
      <c r="E414" s="4" t="s">
        <v>52</v>
      </c>
      <c r="F414" s="4" t="s">
        <v>51</v>
      </c>
      <c r="G414" s="4" t="s">
        <v>25</v>
      </c>
      <c r="H414" s="4" t="s">
        <v>25</v>
      </c>
      <c r="I414" s="5">
        <v>44593</v>
      </c>
      <c r="J414" s="6">
        <v>0</v>
      </c>
      <c r="K414" s="6">
        <v>0</v>
      </c>
      <c r="L414" s="6">
        <v>3.141</v>
      </c>
      <c r="M414" s="6">
        <v>1.2564</v>
      </c>
      <c r="N414" s="6">
        <v>3.141</v>
      </c>
      <c r="O414" s="6">
        <v>1.2564</v>
      </c>
      <c r="P414" s="6">
        <v>0</v>
      </c>
      <c r="Q414" s="4" t="s">
        <v>26</v>
      </c>
      <c r="R414" s="4">
        <v>0</v>
      </c>
      <c r="S414" s="6">
        <v>0</v>
      </c>
      <c r="T414" s="6">
        <v>30</v>
      </c>
      <c r="U414" s="6">
        <v>55</v>
      </c>
      <c r="V414" s="6">
        <f>IF(ISERROR(VLOOKUP($S$414,'TAR FIN'!$A$1:$O$85,15,0)),0,VLOOKUP($S$414,'TAR FIN'!$A$1:$O$85,15,0))</f>
        <v>0</v>
      </c>
      <c r="W414" s="6">
        <f>IF(ISERROR(VLOOKUP($T$414,'TAR FIN'!$A$1:$O$85,15,0)),0,VLOOKUP($T$414,'TAR FIN'!$A$1:$O$85,15,0))</f>
        <v>331.77</v>
      </c>
      <c r="X414" s="6">
        <f>IF(ISERROR(VLOOKUP($U$414,'TAR FIN'!$A$1:$O$85,15,0)),0,VLOOKUP($U$414,'TAR FIN'!$A$1:$O$85,15,0))</f>
        <v>124.36</v>
      </c>
      <c r="Y414" s="6"/>
      <c r="Z414" s="6">
        <f ca="1">('TUSD BE'!$AM$33+'TUSD BF'!$AM$33+'TUSD CVA'!$AM$33)*(1-CUSTOS!$M$38)</f>
        <v>390.73403238820225</v>
      </c>
      <c r="AA414" s="6">
        <f>('TE BE'!$AB$23+'TE BF'!$AB$23+'TE CVA'!$AB$23)*(1-CUSTOS!$M$38)</f>
        <v>127.65788581931002</v>
      </c>
      <c r="AB414" s="6">
        <f>$K$414*$V$414</f>
        <v>0</v>
      </c>
      <c r="AC414" s="6">
        <f>$M$414*$W$414</f>
        <v>416.83582799999999</v>
      </c>
      <c r="AD414" s="6">
        <f>$O$414*$X$414</f>
        <v>156.245904</v>
      </c>
      <c r="AE414" s="6">
        <f>$K$414*$Y$414</f>
        <v>0</v>
      </c>
      <c r="AF414" s="6">
        <f ca="1">$M$414*$Z$414</f>
        <v>490.9182382925373</v>
      </c>
      <c r="AG414" s="6">
        <f>$O$414*$AA$414</f>
        <v>160.38936774338111</v>
      </c>
    </row>
    <row r="415" spans="1:33" ht="11.25" customHeight="1" x14ac:dyDescent="0.25">
      <c r="A415" s="4" t="s">
        <v>21</v>
      </c>
      <c r="B415" s="4" t="s">
        <v>40</v>
      </c>
      <c r="C415" s="4" t="s">
        <v>23</v>
      </c>
      <c r="D415" s="4" t="s">
        <v>41</v>
      </c>
      <c r="E415" s="4" t="s">
        <v>52</v>
      </c>
      <c r="F415" s="4" t="s">
        <v>51</v>
      </c>
      <c r="G415" s="4" t="s">
        <v>25</v>
      </c>
      <c r="H415" s="4" t="s">
        <v>25</v>
      </c>
      <c r="I415" s="5">
        <v>44621</v>
      </c>
      <c r="J415" s="6">
        <v>0</v>
      </c>
      <c r="K415" s="6">
        <v>0</v>
      </c>
      <c r="L415" s="6">
        <v>9.7349999999999994</v>
      </c>
      <c r="M415" s="6">
        <v>3.8940000000000001</v>
      </c>
      <c r="N415" s="6">
        <v>9.7349999999999994</v>
      </c>
      <c r="O415" s="6">
        <v>3.8940000000000001</v>
      </c>
      <c r="P415" s="6">
        <v>0</v>
      </c>
      <c r="Q415" s="4" t="s">
        <v>26</v>
      </c>
      <c r="R415" s="4">
        <v>0</v>
      </c>
      <c r="S415" s="6">
        <v>0</v>
      </c>
      <c r="T415" s="6">
        <v>30</v>
      </c>
      <c r="U415" s="6">
        <v>55</v>
      </c>
      <c r="V415" s="6">
        <f>IF(ISERROR(VLOOKUP($S$415,'TAR FIN'!$A$1:$O$85,15,0)),0,VLOOKUP($S$415,'TAR FIN'!$A$1:$O$85,15,0))</f>
        <v>0</v>
      </c>
      <c r="W415" s="6">
        <f>IF(ISERROR(VLOOKUP($T$415,'TAR FIN'!$A$1:$O$85,15,0)),0,VLOOKUP($T$415,'TAR FIN'!$A$1:$O$85,15,0))</f>
        <v>331.77</v>
      </c>
      <c r="X415" s="6">
        <f>IF(ISERROR(VLOOKUP($U$415,'TAR FIN'!$A$1:$O$85,15,0)),0,VLOOKUP($U$415,'TAR FIN'!$A$1:$O$85,15,0))</f>
        <v>124.36</v>
      </c>
      <c r="Y415" s="6"/>
      <c r="Z415" s="6">
        <f ca="1">('TUSD BE'!$AM$33+'TUSD BF'!$AM$33+'TUSD CVA'!$AM$33)*(1-CUSTOS!$M$38)</f>
        <v>390.73403238820225</v>
      </c>
      <c r="AA415" s="6">
        <f>('TE BE'!$AB$23+'TE BF'!$AB$23+'TE CVA'!$AB$23)*(1-CUSTOS!$M$38)</f>
        <v>127.65788581931002</v>
      </c>
      <c r="AB415" s="6">
        <f>$K$415*$V$415</f>
        <v>0</v>
      </c>
      <c r="AC415" s="6">
        <f>$M$415*$W$415</f>
        <v>1291.91238</v>
      </c>
      <c r="AD415" s="6">
        <f>$O$415*$X$415</f>
        <v>484.25783999999999</v>
      </c>
      <c r="AE415" s="6">
        <f>$K$415*$Y$415</f>
        <v>0</v>
      </c>
      <c r="AF415" s="6">
        <f ca="1">$M$415*$Z$415</f>
        <v>1521.5183221196596</v>
      </c>
      <c r="AG415" s="6">
        <f>$O$415*$AA$415</f>
        <v>497.09980738039326</v>
      </c>
    </row>
    <row r="416" spans="1:33" ht="11.25" customHeight="1" x14ac:dyDescent="0.25">
      <c r="A416" s="4" t="s">
        <v>28</v>
      </c>
      <c r="B416" s="4" t="s">
        <v>40</v>
      </c>
      <c r="C416" s="4" t="s">
        <v>23</v>
      </c>
      <c r="D416" s="4" t="s">
        <v>41</v>
      </c>
      <c r="E416" s="4" t="s">
        <v>52</v>
      </c>
      <c r="F416" s="4" t="s">
        <v>51</v>
      </c>
      <c r="G416" s="4" t="s">
        <v>25</v>
      </c>
      <c r="H416" s="4" t="s">
        <v>25</v>
      </c>
      <c r="I416" s="5">
        <v>44621</v>
      </c>
      <c r="J416" s="6">
        <v>0</v>
      </c>
      <c r="K416" s="6">
        <v>0</v>
      </c>
      <c r="L416" s="6">
        <v>5.3739999999999997</v>
      </c>
      <c r="M416" s="6">
        <v>2.1496</v>
      </c>
      <c r="N416" s="6">
        <v>5.3739999999999997</v>
      </c>
      <c r="O416" s="6">
        <v>2.1496</v>
      </c>
      <c r="P416" s="6">
        <v>0</v>
      </c>
      <c r="Q416" s="4" t="s">
        <v>26</v>
      </c>
      <c r="R416" s="4">
        <v>0</v>
      </c>
      <c r="S416" s="6">
        <v>0</v>
      </c>
      <c r="T416" s="6">
        <v>30</v>
      </c>
      <c r="U416" s="6">
        <v>55</v>
      </c>
      <c r="V416" s="6">
        <f>IF(ISERROR(VLOOKUP($S$416,'TAR FIN'!$A$1:$O$85,15,0)),0,VLOOKUP($S$416,'TAR FIN'!$A$1:$O$85,15,0))</f>
        <v>0</v>
      </c>
      <c r="W416" s="6">
        <f>IF(ISERROR(VLOOKUP($T$416,'TAR FIN'!$A$1:$O$85,15,0)),0,VLOOKUP($T$416,'TAR FIN'!$A$1:$O$85,15,0))</f>
        <v>331.77</v>
      </c>
      <c r="X416" s="6">
        <f>IF(ISERROR(VLOOKUP($U$416,'TAR FIN'!$A$1:$O$85,15,0)),0,VLOOKUP($U$416,'TAR FIN'!$A$1:$O$85,15,0))</f>
        <v>124.36</v>
      </c>
      <c r="Y416" s="6"/>
      <c r="Z416" s="6">
        <f ca="1">('TUSD BE'!$AM$33+'TUSD BF'!$AM$33+'TUSD CVA'!$AM$33)*(1-CUSTOS!$M$38)</f>
        <v>390.73403238820225</v>
      </c>
      <c r="AA416" s="6">
        <f>('TE BE'!$AB$23+'TE BF'!$AB$23+'TE CVA'!$AB$23)*(1-CUSTOS!$M$38)</f>
        <v>127.65788581931002</v>
      </c>
      <c r="AB416" s="6">
        <f>$K$416*$V$416</f>
        <v>0</v>
      </c>
      <c r="AC416" s="6">
        <f>$M$416*$W$416</f>
        <v>713.17279199999996</v>
      </c>
      <c r="AD416" s="6">
        <f>$O$416*$X$416</f>
        <v>267.32425599999999</v>
      </c>
      <c r="AE416" s="6">
        <f>$K$416*$Y$416</f>
        <v>0</v>
      </c>
      <c r="AF416" s="6">
        <f ca="1">$M$416*$Z$416</f>
        <v>839.92187602167951</v>
      </c>
      <c r="AG416" s="6">
        <f>$O$416*$AA$416</f>
        <v>274.4133913571888</v>
      </c>
    </row>
    <row r="417" spans="1:33" ht="11.25" customHeight="1" x14ac:dyDescent="0.25">
      <c r="A417" s="4" t="s">
        <v>21</v>
      </c>
      <c r="B417" s="4" t="s">
        <v>40</v>
      </c>
      <c r="C417" s="4" t="s">
        <v>23</v>
      </c>
      <c r="D417" s="4" t="s">
        <v>41</v>
      </c>
      <c r="E417" s="4" t="s">
        <v>52</v>
      </c>
      <c r="F417" s="4" t="s">
        <v>51</v>
      </c>
      <c r="G417" s="4" t="s">
        <v>25</v>
      </c>
      <c r="H417" s="4" t="s">
        <v>25</v>
      </c>
      <c r="I417" s="5">
        <v>44652</v>
      </c>
      <c r="J417" s="6">
        <v>0</v>
      </c>
      <c r="K417" s="6">
        <v>0</v>
      </c>
      <c r="L417" s="6">
        <v>8.1129999999999995</v>
      </c>
      <c r="M417" s="6">
        <v>3.2452000000000001</v>
      </c>
      <c r="N417" s="6">
        <v>8.1129999999999995</v>
      </c>
      <c r="O417" s="6">
        <v>3.2452000000000001</v>
      </c>
      <c r="P417" s="6">
        <v>0</v>
      </c>
      <c r="Q417" s="4" t="s">
        <v>26</v>
      </c>
      <c r="R417" s="4">
        <v>0</v>
      </c>
      <c r="S417" s="6">
        <v>0</v>
      </c>
      <c r="T417" s="6">
        <v>30</v>
      </c>
      <c r="U417" s="6">
        <v>55</v>
      </c>
      <c r="V417" s="6">
        <f>IF(ISERROR(VLOOKUP($S$417,'TAR FIN'!$A$1:$O$85,15,0)),0,VLOOKUP($S$417,'TAR FIN'!$A$1:$O$85,15,0))</f>
        <v>0</v>
      </c>
      <c r="W417" s="6">
        <f>IF(ISERROR(VLOOKUP($T$417,'TAR FIN'!$A$1:$O$85,15,0)),0,VLOOKUP($T$417,'TAR FIN'!$A$1:$O$85,15,0))</f>
        <v>331.77</v>
      </c>
      <c r="X417" s="6">
        <f>IF(ISERROR(VLOOKUP($U$417,'TAR FIN'!$A$1:$O$85,15,0)),0,VLOOKUP($U$417,'TAR FIN'!$A$1:$O$85,15,0))</f>
        <v>124.36</v>
      </c>
      <c r="Y417" s="6"/>
      <c r="Z417" s="6">
        <f ca="1">('TUSD BE'!$AM$33+'TUSD BF'!$AM$33+'TUSD CVA'!$AM$33)*(1-CUSTOS!$M$38)</f>
        <v>390.73403238820225</v>
      </c>
      <c r="AA417" s="6">
        <f>('TE BE'!$AB$23+'TE BF'!$AB$23+'TE CVA'!$AB$23)*(1-CUSTOS!$M$38)</f>
        <v>127.65788581931002</v>
      </c>
      <c r="AB417" s="6">
        <f>$K$417*$V$417</f>
        <v>0</v>
      </c>
      <c r="AC417" s="6">
        <f>$M$417*$W$417</f>
        <v>1076.6600040000001</v>
      </c>
      <c r="AD417" s="6">
        <f>$O$417*$X$417</f>
        <v>403.57307200000002</v>
      </c>
      <c r="AE417" s="6">
        <f>$K$417*$Y$417</f>
        <v>0</v>
      </c>
      <c r="AF417" s="6">
        <f ca="1">$M$417*$Z$417</f>
        <v>1268.010081906194</v>
      </c>
      <c r="AG417" s="6">
        <f>$O$417*$AA$417</f>
        <v>414.27537106082491</v>
      </c>
    </row>
    <row r="418" spans="1:33" ht="11.25" customHeight="1" x14ac:dyDescent="0.25">
      <c r="A418" s="4" t="s">
        <v>28</v>
      </c>
      <c r="B418" s="4" t="s">
        <v>40</v>
      </c>
      <c r="C418" s="4" t="s">
        <v>23</v>
      </c>
      <c r="D418" s="4" t="s">
        <v>41</v>
      </c>
      <c r="E418" s="4" t="s">
        <v>52</v>
      </c>
      <c r="F418" s="4" t="s">
        <v>51</v>
      </c>
      <c r="G418" s="4" t="s">
        <v>25</v>
      </c>
      <c r="H418" s="4" t="s">
        <v>25</v>
      </c>
      <c r="I418" s="5">
        <v>44652</v>
      </c>
      <c r="J418" s="6">
        <v>0</v>
      </c>
      <c r="K418" s="6">
        <v>0</v>
      </c>
      <c r="L418" s="6">
        <v>4.2119999999999997</v>
      </c>
      <c r="M418" s="6">
        <v>1.6848000000000001</v>
      </c>
      <c r="N418" s="6">
        <v>4.2119999999999997</v>
      </c>
      <c r="O418" s="6">
        <v>1.6848000000000001</v>
      </c>
      <c r="P418" s="6">
        <v>0</v>
      </c>
      <c r="Q418" s="4" t="s">
        <v>26</v>
      </c>
      <c r="R418" s="4">
        <v>0</v>
      </c>
      <c r="S418" s="6">
        <v>0</v>
      </c>
      <c r="T418" s="6">
        <v>30</v>
      </c>
      <c r="U418" s="6">
        <v>55</v>
      </c>
      <c r="V418" s="6">
        <f>IF(ISERROR(VLOOKUP($S$418,'TAR FIN'!$A$1:$O$85,15,0)),0,VLOOKUP($S$418,'TAR FIN'!$A$1:$O$85,15,0))</f>
        <v>0</v>
      </c>
      <c r="W418" s="6">
        <f>IF(ISERROR(VLOOKUP($T$418,'TAR FIN'!$A$1:$O$85,15,0)),0,VLOOKUP($T$418,'TAR FIN'!$A$1:$O$85,15,0))</f>
        <v>331.77</v>
      </c>
      <c r="X418" s="6">
        <f>IF(ISERROR(VLOOKUP($U$418,'TAR FIN'!$A$1:$O$85,15,0)),0,VLOOKUP($U$418,'TAR FIN'!$A$1:$O$85,15,0))</f>
        <v>124.36</v>
      </c>
      <c r="Y418" s="6"/>
      <c r="Z418" s="6">
        <f ca="1">('TUSD BE'!$AM$33+'TUSD BF'!$AM$33+'TUSD CVA'!$AM$33)*(1-CUSTOS!$M$38)</f>
        <v>390.73403238820225</v>
      </c>
      <c r="AA418" s="6">
        <f>('TE BE'!$AB$23+'TE BF'!$AB$23+'TE CVA'!$AB$23)*(1-CUSTOS!$M$38)</f>
        <v>127.65788581931002</v>
      </c>
      <c r="AB418" s="6">
        <f>$K$418*$V$418</f>
        <v>0</v>
      </c>
      <c r="AC418" s="6">
        <f>$M$418*$W$418</f>
        <v>558.96609599999999</v>
      </c>
      <c r="AD418" s="6">
        <f>$O$418*$X$418</f>
        <v>209.521728</v>
      </c>
      <c r="AE418" s="6">
        <f>$K$418*$Y$418</f>
        <v>0</v>
      </c>
      <c r="AF418" s="6">
        <f ca="1">$M$418*$Z$418</f>
        <v>658.30869776764314</v>
      </c>
      <c r="AG418" s="6">
        <f>$O$418*$AA$418</f>
        <v>215.07800602837355</v>
      </c>
    </row>
    <row r="419" spans="1:33" ht="11.25" customHeight="1" x14ac:dyDescent="0.25">
      <c r="A419" s="4" t="s">
        <v>21</v>
      </c>
      <c r="B419" s="4" t="s">
        <v>40</v>
      </c>
      <c r="C419" s="4" t="s">
        <v>23</v>
      </c>
      <c r="D419" s="4" t="s">
        <v>41</v>
      </c>
      <c r="E419" s="4" t="s">
        <v>52</v>
      </c>
      <c r="F419" s="4" t="s">
        <v>51</v>
      </c>
      <c r="G419" s="4" t="s">
        <v>25</v>
      </c>
      <c r="H419" s="4" t="s">
        <v>25</v>
      </c>
      <c r="I419" s="5">
        <v>44682</v>
      </c>
      <c r="J419" s="6">
        <v>0</v>
      </c>
      <c r="K419" s="6">
        <v>0</v>
      </c>
      <c r="L419" s="6">
        <v>5.1079999999999997</v>
      </c>
      <c r="M419" s="6">
        <v>2.0432000000000001</v>
      </c>
      <c r="N419" s="6">
        <v>5.1079999999999997</v>
      </c>
      <c r="O419" s="6">
        <v>2.0432000000000001</v>
      </c>
      <c r="P419" s="6">
        <v>0</v>
      </c>
      <c r="Q419" s="4" t="s">
        <v>26</v>
      </c>
      <c r="R419" s="4">
        <v>0</v>
      </c>
      <c r="S419" s="6">
        <v>0</v>
      </c>
      <c r="T419" s="6">
        <v>30</v>
      </c>
      <c r="U419" s="6">
        <v>55</v>
      </c>
      <c r="V419" s="6">
        <f>IF(ISERROR(VLOOKUP($S$419,'TAR FIN'!$A$1:$O$85,15,0)),0,VLOOKUP($S$419,'TAR FIN'!$A$1:$O$85,15,0))</f>
        <v>0</v>
      </c>
      <c r="W419" s="6">
        <f>IF(ISERROR(VLOOKUP($T$419,'TAR FIN'!$A$1:$O$85,15,0)),0,VLOOKUP($T$419,'TAR FIN'!$A$1:$O$85,15,0))</f>
        <v>331.77</v>
      </c>
      <c r="X419" s="6">
        <f>IF(ISERROR(VLOOKUP($U$419,'TAR FIN'!$A$1:$O$85,15,0)),0,VLOOKUP($U$419,'TAR FIN'!$A$1:$O$85,15,0))</f>
        <v>124.36</v>
      </c>
      <c r="Y419" s="6"/>
      <c r="Z419" s="6">
        <f ca="1">('TUSD BE'!$AM$33+'TUSD BF'!$AM$33+'TUSD CVA'!$AM$33)*(1-CUSTOS!$M$38)</f>
        <v>390.73403238820225</v>
      </c>
      <c r="AA419" s="6">
        <f>('TE BE'!$AB$23+'TE BF'!$AB$23+'TE CVA'!$AB$23)*(1-CUSTOS!$M$38)</f>
        <v>127.65788581931002</v>
      </c>
      <c r="AB419" s="6">
        <f>$K$419*$V$419</f>
        <v>0</v>
      </c>
      <c r="AC419" s="6">
        <f>$M$419*$W$419</f>
        <v>677.87246400000004</v>
      </c>
      <c r="AD419" s="6">
        <f>$O$419*$X$419</f>
        <v>254.09235200000001</v>
      </c>
      <c r="AE419" s="6">
        <f>$K$419*$Y$419</f>
        <v>0</v>
      </c>
      <c r="AF419" s="6">
        <f ca="1">$M$419*$Z$419</f>
        <v>798.34777497557491</v>
      </c>
      <c r="AG419" s="6">
        <f>$O$419*$AA$419</f>
        <v>260.83059230601424</v>
      </c>
    </row>
    <row r="420" spans="1:33" ht="11.25" customHeight="1" x14ac:dyDescent="0.25">
      <c r="A420" s="4" t="s">
        <v>28</v>
      </c>
      <c r="B420" s="4" t="s">
        <v>40</v>
      </c>
      <c r="C420" s="4" t="s">
        <v>23</v>
      </c>
      <c r="D420" s="4" t="s">
        <v>41</v>
      </c>
      <c r="E420" s="4" t="s">
        <v>52</v>
      </c>
      <c r="F420" s="4" t="s">
        <v>51</v>
      </c>
      <c r="G420" s="4" t="s">
        <v>25</v>
      </c>
      <c r="H420" s="4" t="s">
        <v>25</v>
      </c>
      <c r="I420" s="5">
        <v>44682</v>
      </c>
      <c r="J420" s="6">
        <v>0</v>
      </c>
      <c r="K420" s="6">
        <v>0</v>
      </c>
      <c r="L420" s="6">
        <v>1.173</v>
      </c>
      <c r="M420" s="6">
        <v>0.46920000000000001</v>
      </c>
      <c r="N420" s="6">
        <v>1.173</v>
      </c>
      <c r="O420" s="6">
        <v>0.46920000000000001</v>
      </c>
      <c r="P420" s="6">
        <v>0</v>
      </c>
      <c r="Q420" s="4" t="s">
        <v>26</v>
      </c>
      <c r="R420" s="4">
        <v>0</v>
      </c>
      <c r="S420" s="6">
        <v>0</v>
      </c>
      <c r="T420" s="6">
        <v>30</v>
      </c>
      <c r="U420" s="6">
        <v>55</v>
      </c>
      <c r="V420" s="6">
        <f>IF(ISERROR(VLOOKUP($S$420,'TAR FIN'!$A$1:$O$85,15,0)),0,VLOOKUP($S$420,'TAR FIN'!$A$1:$O$85,15,0))</f>
        <v>0</v>
      </c>
      <c r="W420" s="6">
        <f>IF(ISERROR(VLOOKUP($T$420,'TAR FIN'!$A$1:$O$85,15,0)),0,VLOOKUP($T$420,'TAR FIN'!$A$1:$O$85,15,0))</f>
        <v>331.77</v>
      </c>
      <c r="X420" s="6">
        <f>IF(ISERROR(VLOOKUP($U$420,'TAR FIN'!$A$1:$O$85,15,0)),0,VLOOKUP($U$420,'TAR FIN'!$A$1:$O$85,15,0))</f>
        <v>124.36</v>
      </c>
      <c r="Y420" s="6"/>
      <c r="Z420" s="6">
        <f ca="1">('TUSD BE'!$AM$33+'TUSD BF'!$AM$33+'TUSD CVA'!$AM$33)*(1-CUSTOS!$M$38)</f>
        <v>390.73403238820225</v>
      </c>
      <c r="AA420" s="6">
        <f>('TE BE'!$AB$23+'TE BF'!$AB$23+'TE CVA'!$AB$23)*(1-CUSTOS!$M$38)</f>
        <v>127.65788581931002</v>
      </c>
      <c r="AB420" s="6">
        <f>$K$420*$V$420</f>
        <v>0</v>
      </c>
      <c r="AC420" s="6">
        <f>$M$420*$W$420</f>
        <v>155.666484</v>
      </c>
      <c r="AD420" s="6">
        <f>$O$420*$X$420</f>
        <v>58.349712000000004</v>
      </c>
      <c r="AE420" s="6">
        <f>$K$420*$Y$420</f>
        <v>0</v>
      </c>
      <c r="AF420" s="6">
        <f ca="1">$M$420*$Z$420</f>
        <v>183.3324079965445</v>
      </c>
      <c r="AG420" s="6">
        <f>$O$420*$AA$420</f>
        <v>59.897080026420262</v>
      </c>
    </row>
    <row r="421" spans="1:33" ht="11.25" customHeight="1" x14ac:dyDescent="0.25">
      <c r="A421" s="4" t="s">
        <v>21</v>
      </c>
      <c r="B421" s="4" t="s">
        <v>40</v>
      </c>
      <c r="C421" s="4" t="s">
        <v>23</v>
      </c>
      <c r="D421" s="4" t="s">
        <v>41</v>
      </c>
      <c r="E421" s="4" t="s">
        <v>52</v>
      </c>
      <c r="F421" s="4" t="s">
        <v>51</v>
      </c>
      <c r="G421" s="4" t="s">
        <v>25</v>
      </c>
      <c r="H421" s="4" t="s">
        <v>25</v>
      </c>
      <c r="I421" s="5">
        <v>44713</v>
      </c>
      <c r="J421" s="6">
        <v>0</v>
      </c>
      <c r="K421" s="6">
        <v>0</v>
      </c>
      <c r="L421" s="6">
        <v>5.6449999999999996</v>
      </c>
      <c r="M421" s="6">
        <v>2.258</v>
      </c>
      <c r="N421" s="6">
        <v>5.6449999999999996</v>
      </c>
      <c r="O421" s="6">
        <v>2.258</v>
      </c>
      <c r="P421" s="6">
        <v>0</v>
      </c>
      <c r="Q421" s="4" t="s">
        <v>26</v>
      </c>
      <c r="R421" s="4">
        <v>0</v>
      </c>
      <c r="S421" s="6">
        <v>0</v>
      </c>
      <c r="T421" s="6">
        <v>30</v>
      </c>
      <c r="U421" s="6">
        <v>55</v>
      </c>
      <c r="V421" s="6">
        <f>IF(ISERROR(VLOOKUP($S$421,'TAR FIN'!$A$1:$O$85,15,0)),0,VLOOKUP($S$421,'TAR FIN'!$A$1:$O$85,15,0))</f>
        <v>0</v>
      </c>
      <c r="W421" s="6">
        <f>IF(ISERROR(VLOOKUP($T$421,'TAR FIN'!$A$1:$O$85,15,0)),0,VLOOKUP($T$421,'TAR FIN'!$A$1:$O$85,15,0))</f>
        <v>331.77</v>
      </c>
      <c r="X421" s="6">
        <f>IF(ISERROR(VLOOKUP($U$421,'TAR FIN'!$A$1:$O$85,15,0)),0,VLOOKUP($U$421,'TAR FIN'!$A$1:$O$85,15,0))</f>
        <v>124.36</v>
      </c>
      <c r="Y421" s="6"/>
      <c r="Z421" s="6">
        <f ca="1">('TUSD BE'!$AM$33+'TUSD BF'!$AM$33+'TUSD CVA'!$AM$33)*(1-CUSTOS!$M$38)</f>
        <v>390.73403238820225</v>
      </c>
      <c r="AA421" s="6">
        <f>('TE BE'!$AB$23+'TE BF'!$AB$23+'TE CVA'!$AB$23)*(1-CUSTOS!$M$38)</f>
        <v>127.65788581931002</v>
      </c>
      <c r="AB421" s="6">
        <f>$K$421*$V$421</f>
        <v>0</v>
      </c>
      <c r="AC421" s="6">
        <f>$M$421*$W$421</f>
        <v>749.13666000000001</v>
      </c>
      <c r="AD421" s="6">
        <f>$O$421*$X$421</f>
        <v>280.80488000000003</v>
      </c>
      <c r="AE421" s="6">
        <f>$K$421*$Y$421</f>
        <v>0</v>
      </c>
      <c r="AF421" s="6">
        <f ca="1">$M$421*$Z$421</f>
        <v>882.27744513256073</v>
      </c>
      <c r="AG421" s="6">
        <f>$O$421*$AA$421</f>
        <v>288.25150618000202</v>
      </c>
    </row>
    <row r="422" spans="1:33" ht="11.25" customHeight="1" x14ac:dyDescent="0.25">
      <c r="A422" s="4" t="s">
        <v>21</v>
      </c>
      <c r="B422" s="4" t="s">
        <v>40</v>
      </c>
      <c r="C422" s="4" t="s">
        <v>23</v>
      </c>
      <c r="D422" s="4" t="s">
        <v>41</v>
      </c>
      <c r="E422" s="4" t="s">
        <v>52</v>
      </c>
      <c r="F422" s="4" t="s">
        <v>51</v>
      </c>
      <c r="G422" s="4" t="s">
        <v>25</v>
      </c>
      <c r="H422" s="4" t="s">
        <v>25</v>
      </c>
      <c r="I422" s="5">
        <v>44743</v>
      </c>
      <c r="J422" s="6">
        <v>0</v>
      </c>
      <c r="K422" s="6">
        <v>0</v>
      </c>
      <c r="L422" s="6">
        <v>4.4489999999999998</v>
      </c>
      <c r="M422" s="6">
        <v>1.7796000000000001</v>
      </c>
      <c r="N422" s="6">
        <v>4.4489999999999998</v>
      </c>
      <c r="O422" s="6">
        <v>1.7796000000000001</v>
      </c>
      <c r="P422" s="6">
        <v>0</v>
      </c>
      <c r="Q422" s="4" t="s">
        <v>26</v>
      </c>
      <c r="R422" s="4">
        <v>0</v>
      </c>
      <c r="S422" s="6">
        <v>0</v>
      </c>
      <c r="T422" s="6">
        <v>30</v>
      </c>
      <c r="U422" s="6">
        <v>55</v>
      </c>
      <c r="V422" s="6">
        <f>IF(ISERROR(VLOOKUP($S$422,'TAR FIN'!$A$1:$O$85,15,0)),0,VLOOKUP($S$422,'TAR FIN'!$A$1:$O$85,15,0))</f>
        <v>0</v>
      </c>
      <c r="W422" s="6">
        <f>IF(ISERROR(VLOOKUP($T$422,'TAR FIN'!$A$1:$O$85,15,0)),0,VLOOKUP($T$422,'TAR FIN'!$A$1:$O$85,15,0))</f>
        <v>331.77</v>
      </c>
      <c r="X422" s="6">
        <f>IF(ISERROR(VLOOKUP($U$422,'TAR FIN'!$A$1:$O$85,15,0)),0,VLOOKUP($U$422,'TAR FIN'!$A$1:$O$85,15,0))</f>
        <v>124.36</v>
      </c>
      <c r="Y422" s="6"/>
      <c r="Z422" s="6">
        <f ca="1">('TUSD BE'!$AM$33+'TUSD BF'!$AM$33+'TUSD CVA'!$AM$33)*(1-CUSTOS!$M$38)</f>
        <v>390.73403238820225</v>
      </c>
      <c r="AA422" s="6">
        <f>('TE BE'!$AB$23+'TE BF'!$AB$23+'TE CVA'!$AB$23)*(1-CUSTOS!$M$38)</f>
        <v>127.65788581931002</v>
      </c>
      <c r="AB422" s="6">
        <f>$K$422*$V$422</f>
        <v>0</v>
      </c>
      <c r="AC422" s="6">
        <f>$M$422*$W$422</f>
        <v>590.41789199999994</v>
      </c>
      <c r="AD422" s="6">
        <f>$O$422*$X$422</f>
        <v>221.31105600000001</v>
      </c>
      <c r="AE422" s="6">
        <f>$K$422*$Y$422</f>
        <v>0</v>
      </c>
      <c r="AF422" s="6">
        <f ca="1">$M$422*$Z$422</f>
        <v>695.35028403804472</v>
      </c>
      <c r="AG422" s="6">
        <f>$O$422*$AA$422</f>
        <v>227.17997360404414</v>
      </c>
    </row>
    <row r="423" spans="1:33" ht="11.25" customHeight="1" x14ac:dyDescent="0.25">
      <c r="A423" s="4" t="s">
        <v>21</v>
      </c>
      <c r="B423" s="4" t="s">
        <v>40</v>
      </c>
      <c r="C423" s="4" t="s">
        <v>23</v>
      </c>
      <c r="D423" s="4" t="s">
        <v>41</v>
      </c>
      <c r="E423" s="4" t="s">
        <v>52</v>
      </c>
      <c r="F423" s="4" t="s">
        <v>51</v>
      </c>
      <c r="G423" s="4" t="s">
        <v>25</v>
      </c>
      <c r="H423" s="4" t="s">
        <v>25</v>
      </c>
      <c r="I423" s="5">
        <v>44774</v>
      </c>
      <c r="J423" s="6">
        <v>0</v>
      </c>
      <c r="K423" s="6">
        <v>0</v>
      </c>
      <c r="L423" s="6">
        <v>5.0010000000000003</v>
      </c>
      <c r="M423" s="6">
        <v>2.0004</v>
      </c>
      <c r="N423" s="6">
        <v>5.0010000000000003</v>
      </c>
      <c r="O423" s="6">
        <v>2.0004</v>
      </c>
      <c r="P423" s="6">
        <v>0</v>
      </c>
      <c r="Q423" s="4" t="s">
        <v>26</v>
      </c>
      <c r="R423" s="4">
        <v>0</v>
      </c>
      <c r="S423" s="6">
        <v>0</v>
      </c>
      <c r="T423" s="6">
        <v>30</v>
      </c>
      <c r="U423" s="6">
        <v>55</v>
      </c>
      <c r="V423" s="6">
        <f>IF(ISERROR(VLOOKUP($S$423,'TAR FIN'!$A$1:$O$85,15,0)),0,VLOOKUP($S$423,'TAR FIN'!$A$1:$O$85,15,0))</f>
        <v>0</v>
      </c>
      <c r="W423" s="6">
        <f>IF(ISERROR(VLOOKUP($T$423,'TAR FIN'!$A$1:$O$85,15,0)),0,VLOOKUP($T$423,'TAR FIN'!$A$1:$O$85,15,0))</f>
        <v>331.77</v>
      </c>
      <c r="X423" s="6">
        <f>IF(ISERROR(VLOOKUP($U$423,'TAR FIN'!$A$1:$O$85,15,0)),0,VLOOKUP($U$423,'TAR FIN'!$A$1:$O$85,15,0))</f>
        <v>124.36</v>
      </c>
      <c r="Y423" s="6"/>
      <c r="Z423" s="6">
        <f ca="1">('TUSD BE'!$AM$33+'TUSD BF'!$AM$33+'TUSD CVA'!$AM$33)*(1-CUSTOS!$M$38)</f>
        <v>390.73403238820225</v>
      </c>
      <c r="AA423" s="6">
        <f>('TE BE'!$AB$23+'TE BF'!$AB$23+'TE CVA'!$AB$23)*(1-CUSTOS!$M$38)</f>
        <v>127.65788581931002</v>
      </c>
      <c r="AB423" s="6">
        <f>$K$423*$V$423</f>
        <v>0</v>
      </c>
      <c r="AC423" s="6">
        <f>$M$423*$W$423</f>
        <v>663.67270799999994</v>
      </c>
      <c r="AD423" s="6">
        <f>$O$423*$X$423</f>
        <v>248.769744</v>
      </c>
      <c r="AE423" s="6">
        <f>$K$423*$Y$423</f>
        <v>0</v>
      </c>
      <c r="AF423" s="6">
        <f ca="1">$M$423*$Z$423</f>
        <v>781.62435838935971</v>
      </c>
      <c r="AG423" s="6">
        <f>$O$423*$AA$423</f>
        <v>255.36683479294777</v>
      </c>
    </row>
    <row r="424" spans="1:33" ht="11.25" customHeight="1" x14ac:dyDescent="0.25">
      <c r="A424" s="4" t="s">
        <v>21</v>
      </c>
      <c r="B424" s="4" t="s">
        <v>40</v>
      </c>
      <c r="C424" s="4" t="s">
        <v>23</v>
      </c>
      <c r="D424" s="4" t="s">
        <v>41</v>
      </c>
      <c r="E424" s="4" t="s">
        <v>25</v>
      </c>
      <c r="F424" s="4" t="s">
        <v>25</v>
      </c>
      <c r="G424" s="4" t="s">
        <v>25</v>
      </c>
      <c r="H424" s="4" t="s">
        <v>25</v>
      </c>
      <c r="I424" s="5">
        <v>44440</v>
      </c>
      <c r="J424" s="6">
        <v>0</v>
      </c>
      <c r="K424" s="6">
        <v>0</v>
      </c>
      <c r="L424" s="6">
        <v>3318.7579999999998</v>
      </c>
      <c r="M424" s="6">
        <v>3318.7579999999998</v>
      </c>
      <c r="N424" s="6">
        <v>3318.7579999999998</v>
      </c>
      <c r="O424" s="6">
        <v>3318.7579999999998</v>
      </c>
      <c r="P424" s="6">
        <v>6547</v>
      </c>
      <c r="Q424" s="4" t="s">
        <v>26</v>
      </c>
      <c r="R424" s="4">
        <v>0</v>
      </c>
      <c r="S424" s="6">
        <v>0</v>
      </c>
      <c r="T424" s="6">
        <v>30</v>
      </c>
      <c r="U424" s="6">
        <v>55</v>
      </c>
      <c r="V424" s="6">
        <f>IF(ISERROR(VLOOKUP($S$424,'TAR FIN'!$A$1:$O$85,15,0)),0,VLOOKUP($S$424,'TAR FIN'!$A$1:$O$85,15,0))</f>
        <v>0</v>
      </c>
      <c r="W424" s="6">
        <f>IF(ISERROR(VLOOKUP($T$424,'TAR FIN'!$A$1:$O$85,15,0)),0,VLOOKUP($T$424,'TAR FIN'!$A$1:$O$85,15,0))</f>
        <v>331.77</v>
      </c>
      <c r="X424" s="6">
        <f>IF(ISERROR(VLOOKUP($U$424,'TAR FIN'!$A$1:$O$85,15,0)),0,VLOOKUP($U$424,'TAR FIN'!$A$1:$O$85,15,0))</f>
        <v>124.36</v>
      </c>
      <c r="Y424" s="6"/>
      <c r="Z424" s="6">
        <f ca="1">('TUSD BE'!$AM$33+'TUSD BF'!$AM$33+'TUSD CVA'!$AM$33)*(1-CUSTOS!$M$38)</f>
        <v>390.73403238820225</v>
      </c>
      <c r="AA424" s="6">
        <f>('TE BE'!$AB$23+'TE BF'!$AB$23+'TE CVA'!$AB$23)*(1-CUSTOS!$M$38)</f>
        <v>127.65788581931002</v>
      </c>
      <c r="AB424" s="6">
        <f>$K$424*$V$424</f>
        <v>0</v>
      </c>
      <c r="AC424" s="6">
        <f>$M$424*$W$424</f>
        <v>1101064.3416599999</v>
      </c>
      <c r="AD424" s="6">
        <f>$O$424*$X$424</f>
        <v>412720.74487999995</v>
      </c>
      <c r="AE424" s="6">
        <f>$K$424*$Y$424</f>
        <v>0</v>
      </c>
      <c r="AF424" s="6">
        <f ca="1">$M$424*$Z$424</f>
        <v>1296751.6958606052</v>
      </c>
      <c r="AG424" s="6">
        <f>$O$424*$AA$424</f>
        <v>423665.62982592167</v>
      </c>
    </row>
    <row r="425" spans="1:33" ht="11.25" customHeight="1" x14ac:dyDescent="0.25">
      <c r="A425" s="4" t="s">
        <v>27</v>
      </c>
      <c r="B425" s="4" t="s">
        <v>40</v>
      </c>
      <c r="C425" s="4" t="s">
        <v>23</v>
      </c>
      <c r="D425" s="4" t="s">
        <v>41</v>
      </c>
      <c r="E425" s="4" t="s">
        <v>25</v>
      </c>
      <c r="F425" s="4" t="s">
        <v>25</v>
      </c>
      <c r="G425" s="4" t="s">
        <v>25</v>
      </c>
      <c r="H425" s="4" t="s">
        <v>25</v>
      </c>
      <c r="I425" s="5">
        <v>44440</v>
      </c>
      <c r="J425" s="6">
        <v>0</v>
      </c>
      <c r="K425" s="6">
        <v>0</v>
      </c>
      <c r="L425" s="6">
        <v>-2.5430000000000001</v>
      </c>
      <c r="M425" s="6">
        <v>-2.5430000000000001</v>
      </c>
      <c r="N425" s="6">
        <v>-2.5430000000000001</v>
      </c>
      <c r="O425" s="6">
        <v>-2.5430000000000001</v>
      </c>
      <c r="P425" s="6">
        <v>0</v>
      </c>
      <c r="Q425" s="4" t="s">
        <v>26</v>
      </c>
      <c r="R425" s="4">
        <v>0</v>
      </c>
      <c r="S425" s="6">
        <v>0</v>
      </c>
      <c r="T425" s="6">
        <v>30</v>
      </c>
      <c r="U425" s="6">
        <v>55</v>
      </c>
      <c r="V425" s="6">
        <f>IF(ISERROR(VLOOKUP($S$425,'TAR FIN'!$A$1:$O$85,15,0)),0,VLOOKUP($S$425,'TAR FIN'!$A$1:$O$85,15,0))</f>
        <v>0</v>
      </c>
      <c r="W425" s="6">
        <f>IF(ISERROR(VLOOKUP($T$425,'TAR FIN'!$A$1:$O$85,15,0)),0,VLOOKUP($T$425,'TAR FIN'!$A$1:$O$85,15,0))</f>
        <v>331.77</v>
      </c>
      <c r="X425" s="6">
        <f>IF(ISERROR(VLOOKUP($U$425,'TAR FIN'!$A$1:$O$85,15,0)),0,VLOOKUP($U$425,'TAR FIN'!$A$1:$O$85,15,0))</f>
        <v>124.36</v>
      </c>
      <c r="Y425" s="6"/>
      <c r="Z425" s="6">
        <f ca="1">('TUSD BE'!$AM$33+'TUSD BF'!$AM$33+'TUSD CVA'!$AM$33)*(1-CUSTOS!$M$38)</f>
        <v>390.73403238820225</v>
      </c>
      <c r="AA425" s="6">
        <f>('TE BE'!$AB$23+'TE BF'!$AB$23+'TE CVA'!$AB$23)*(1-CUSTOS!$M$38)</f>
        <v>127.65788581931002</v>
      </c>
      <c r="AB425" s="6">
        <f>$K$425*$V$425</f>
        <v>0</v>
      </c>
      <c r="AC425" s="6">
        <f>$M$425*$W$425</f>
        <v>-843.69110999999998</v>
      </c>
      <c r="AD425" s="6">
        <f>$O$425*$X$425</f>
        <v>-316.24748</v>
      </c>
      <c r="AE425" s="6">
        <f>$K$425*$Y$425</f>
        <v>0</v>
      </c>
      <c r="AF425" s="6">
        <f ca="1">$M$425*$Z$425</f>
        <v>-993.63664436319834</v>
      </c>
      <c r="AG425" s="6">
        <f>$O$425*$AA$425</f>
        <v>-324.63400363850542</v>
      </c>
    </row>
    <row r="426" spans="1:33" ht="11.25" customHeight="1" x14ac:dyDescent="0.25">
      <c r="A426" s="4" t="s">
        <v>28</v>
      </c>
      <c r="B426" s="4" t="s">
        <v>40</v>
      </c>
      <c r="C426" s="4" t="s">
        <v>23</v>
      </c>
      <c r="D426" s="4" t="s">
        <v>41</v>
      </c>
      <c r="E426" s="4" t="s">
        <v>25</v>
      </c>
      <c r="F426" s="4" t="s">
        <v>25</v>
      </c>
      <c r="G426" s="4" t="s">
        <v>25</v>
      </c>
      <c r="H426" s="4" t="s">
        <v>25</v>
      </c>
      <c r="I426" s="5">
        <v>44440</v>
      </c>
      <c r="J426" s="6">
        <v>0</v>
      </c>
      <c r="K426" s="6">
        <v>0</v>
      </c>
      <c r="L426" s="6">
        <v>225.55</v>
      </c>
      <c r="M426" s="6">
        <v>225.55</v>
      </c>
      <c r="N426" s="6">
        <v>225.55</v>
      </c>
      <c r="O426" s="6">
        <v>225.55</v>
      </c>
      <c r="P426" s="6">
        <v>405</v>
      </c>
      <c r="Q426" s="4" t="s">
        <v>26</v>
      </c>
      <c r="R426" s="4">
        <v>0</v>
      </c>
      <c r="S426" s="6">
        <v>0</v>
      </c>
      <c r="T426" s="6">
        <v>30</v>
      </c>
      <c r="U426" s="6">
        <v>55</v>
      </c>
      <c r="V426" s="6">
        <f>IF(ISERROR(VLOOKUP($S$426,'TAR FIN'!$A$1:$O$85,15,0)),0,VLOOKUP($S$426,'TAR FIN'!$A$1:$O$85,15,0))</f>
        <v>0</v>
      </c>
      <c r="W426" s="6">
        <f>IF(ISERROR(VLOOKUP($T$426,'TAR FIN'!$A$1:$O$85,15,0)),0,VLOOKUP($T$426,'TAR FIN'!$A$1:$O$85,15,0))</f>
        <v>331.77</v>
      </c>
      <c r="X426" s="6">
        <f>IF(ISERROR(VLOOKUP($U$426,'TAR FIN'!$A$1:$O$85,15,0)),0,VLOOKUP($U$426,'TAR FIN'!$A$1:$O$85,15,0))</f>
        <v>124.36</v>
      </c>
      <c r="Y426" s="6"/>
      <c r="Z426" s="6">
        <f ca="1">('TUSD BE'!$AM$33+'TUSD BF'!$AM$33+'TUSD CVA'!$AM$33)*(1-CUSTOS!$M$38)</f>
        <v>390.73403238820225</v>
      </c>
      <c r="AA426" s="6">
        <f>('TE BE'!$AB$23+'TE BF'!$AB$23+'TE CVA'!$AB$23)*(1-CUSTOS!$M$38)</f>
        <v>127.65788581931002</v>
      </c>
      <c r="AB426" s="6">
        <f>$K$426*$V$426</f>
        <v>0</v>
      </c>
      <c r="AC426" s="6">
        <f>$M$426*$W$426</f>
        <v>74830.723499999993</v>
      </c>
      <c r="AD426" s="6">
        <f>$O$426*$X$426</f>
        <v>28049.398000000001</v>
      </c>
      <c r="AE426" s="6">
        <f>$K$426*$Y$426</f>
        <v>0</v>
      </c>
      <c r="AF426" s="6">
        <f ca="1">$M$426*$Z$426</f>
        <v>88130.061005159019</v>
      </c>
      <c r="AG426" s="6">
        <f>$O$426*$AA$426</f>
        <v>28793.236146545376</v>
      </c>
    </row>
    <row r="427" spans="1:33" ht="11.25" customHeight="1" x14ac:dyDescent="0.25">
      <c r="A427" s="4" t="s">
        <v>21</v>
      </c>
      <c r="B427" s="4" t="s">
        <v>40</v>
      </c>
      <c r="C427" s="4" t="s">
        <v>23</v>
      </c>
      <c r="D427" s="4" t="s">
        <v>41</v>
      </c>
      <c r="E427" s="4" t="s">
        <v>25</v>
      </c>
      <c r="F427" s="4" t="s">
        <v>25</v>
      </c>
      <c r="G427" s="4" t="s">
        <v>25</v>
      </c>
      <c r="H427" s="4" t="s">
        <v>25</v>
      </c>
      <c r="I427" s="5">
        <v>44470</v>
      </c>
      <c r="J427" s="6">
        <v>0</v>
      </c>
      <c r="K427" s="6">
        <v>0</v>
      </c>
      <c r="L427" s="6">
        <v>3208.328</v>
      </c>
      <c r="M427" s="6">
        <v>3208.328</v>
      </c>
      <c r="N427" s="6">
        <v>3208.328</v>
      </c>
      <c r="O427" s="6">
        <v>3208.328</v>
      </c>
      <c r="P427" s="6">
        <v>6542</v>
      </c>
      <c r="Q427" s="4" t="s">
        <v>26</v>
      </c>
      <c r="R427" s="4">
        <v>0</v>
      </c>
      <c r="S427" s="6">
        <v>0</v>
      </c>
      <c r="T427" s="6">
        <v>30</v>
      </c>
      <c r="U427" s="6">
        <v>55</v>
      </c>
      <c r="V427" s="6">
        <f>IF(ISERROR(VLOOKUP($S$427,'TAR FIN'!$A$1:$O$85,15,0)),0,VLOOKUP($S$427,'TAR FIN'!$A$1:$O$85,15,0))</f>
        <v>0</v>
      </c>
      <c r="W427" s="6">
        <f>IF(ISERROR(VLOOKUP($T$427,'TAR FIN'!$A$1:$O$85,15,0)),0,VLOOKUP($T$427,'TAR FIN'!$A$1:$O$85,15,0))</f>
        <v>331.77</v>
      </c>
      <c r="X427" s="6">
        <f>IF(ISERROR(VLOOKUP($U$427,'TAR FIN'!$A$1:$O$85,15,0)),0,VLOOKUP($U$427,'TAR FIN'!$A$1:$O$85,15,0))</f>
        <v>124.36</v>
      </c>
      <c r="Y427" s="6"/>
      <c r="Z427" s="6">
        <f ca="1">('TUSD BE'!$AM$33+'TUSD BF'!$AM$33+'TUSD CVA'!$AM$33)*(1-CUSTOS!$M$38)</f>
        <v>390.73403238820225</v>
      </c>
      <c r="AA427" s="6">
        <f>('TE BE'!$AB$23+'TE BF'!$AB$23+'TE CVA'!$AB$23)*(1-CUSTOS!$M$38)</f>
        <v>127.65788581931002</v>
      </c>
      <c r="AB427" s="6">
        <f>$K$427*$V$427</f>
        <v>0</v>
      </c>
      <c r="AC427" s="6">
        <f>$M$427*$W$427</f>
        <v>1064426.9805599998</v>
      </c>
      <c r="AD427" s="6">
        <f>$O$427*$X$427</f>
        <v>398987.67008000001</v>
      </c>
      <c r="AE427" s="6">
        <f>$K$427*$Y$427</f>
        <v>0</v>
      </c>
      <c r="AF427" s="6">
        <f ca="1">$M$427*$Z$427</f>
        <v>1253602.9366639762</v>
      </c>
      <c r="AG427" s="6">
        <f>$O$427*$AA$427</f>
        <v>409568.36949489528</v>
      </c>
    </row>
    <row r="428" spans="1:33" ht="11.25" customHeight="1" x14ac:dyDescent="0.25">
      <c r="A428" s="4" t="s">
        <v>27</v>
      </c>
      <c r="B428" s="4" t="s">
        <v>40</v>
      </c>
      <c r="C428" s="4" t="s">
        <v>23</v>
      </c>
      <c r="D428" s="4" t="s">
        <v>41</v>
      </c>
      <c r="E428" s="4" t="s">
        <v>25</v>
      </c>
      <c r="F428" s="4" t="s">
        <v>25</v>
      </c>
      <c r="G428" s="4" t="s">
        <v>25</v>
      </c>
      <c r="H428" s="4" t="s">
        <v>25</v>
      </c>
      <c r="I428" s="5">
        <v>44470</v>
      </c>
      <c r="J428" s="6">
        <v>0</v>
      </c>
      <c r="K428" s="6">
        <v>0</v>
      </c>
      <c r="L428" s="6">
        <v>-0.76600000000000001</v>
      </c>
      <c r="M428" s="6">
        <v>-0.76600000000000001</v>
      </c>
      <c r="N428" s="6">
        <v>-0.76600000000000001</v>
      </c>
      <c r="O428" s="6">
        <v>-0.76600000000000001</v>
      </c>
      <c r="P428" s="6">
        <v>0</v>
      </c>
      <c r="Q428" s="4" t="s">
        <v>26</v>
      </c>
      <c r="R428" s="4">
        <v>0</v>
      </c>
      <c r="S428" s="6">
        <v>0</v>
      </c>
      <c r="T428" s="6">
        <v>30</v>
      </c>
      <c r="U428" s="6">
        <v>55</v>
      </c>
      <c r="V428" s="6">
        <f>IF(ISERROR(VLOOKUP($S$428,'TAR FIN'!$A$1:$O$85,15,0)),0,VLOOKUP($S$428,'TAR FIN'!$A$1:$O$85,15,0))</f>
        <v>0</v>
      </c>
      <c r="W428" s="6">
        <f>IF(ISERROR(VLOOKUP($T$428,'TAR FIN'!$A$1:$O$85,15,0)),0,VLOOKUP($T$428,'TAR FIN'!$A$1:$O$85,15,0))</f>
        <v>331.77</v>
      </c>
      <c r="X428" s="6">
        <f>IF(ISERROR(VLOOKUP($U$428,'TAR FIN'!$A$1:$O$85,15,0)),0,VLOOKUP($U$428,'TAR FIN'!$A$1:$O$85,15,0))</f>
        <v>124.36</v>
      </c>
      <c r="Y428" s="6"/>
      <c r="Z428" s="6">
        <f ca="1">('TUSD BE'!$AM$33+'TUSD BF'!$AM$33+'TUSD CVA'!$AM$33)*(1-CUSTOS!$M$38)</f>
        <v>390.73403238820225</v>
      </c>
      <c r="AA428" s="6">
        <f>('TE BE'!$AB$23+'TE BF'!$AB$23+'TE CVA'!$AB$23)*(1-CUSTOS!$M$38)</f>
        <v>127.65788581931002</v>
      </c>
      <c r="AB428" s="6">
        <f>$K$428*$V$428</f>
        <v>0</v>
      </c>
      <c r="AC428" s="6">
        <f>$M$428*$W$428</f>
        <v>-254.13582</v>
      </c>
      <c r="AD428" s="6">
        <f>$O$428*$X$428</f>
        <v>-95.25976</v>
      </c>
      <c r="AE428" s="6">
        <f>$K$428*$Y$428</f>
        <v>0</v>
      </c>
      <c r="AF428" s="6">
        <f ca="1">$M$428*$Z$428</f>
        <v>-299.30226880936294</v>
      </c>
      <c r="AG428" s="6">
        <f>$O$428*$AA$428</f>
        <v>-97.785940537591486</v>
      </c>
    </row>
    <row r="429" spans="1:33" ht="11.25" customHeight="1" x14ac:dyDescent="0.25">
      <c r="A429" s="4" t="s">
        <v>28</v>
      </c>
      <c r="B429" s="4" t="s">
        <v>40</v>
      </c>
      <c r="C429" s="4" t="s">
        <v>23</v>
      </c>
      <c r="D429" s="4" t="s">
        <v>41</v>
      </c>
      <c r="E429" s="4" t="s">
        <v>25</v>
      </c>
      <c r="F429" s="4" t="s">
        <v>25</v>
      </c>
      <c r="G429" s="4" t="s">
        <v>25</v>
      </c>
      <c r="H429" s="4" t="s">
        <v>25</v>
      </c>
      <c r="I429" s="5">
        <v>44470</v>
      </c>
      <c r="J429" s="6">
        <v>0</v>
      </c>
      <c r="K429" s="6">
        <v>0</v>
      </c>
      <c r="L429" s="6">
        <v>225.51300000000001</v>
      </c>
      <c r="M429" s="6">
        <v>225.51300000000001</v>
      </c>
      <c r="N429" s="6">
        <v>225.51300000000001</v>
      </c>
      <c r="O429" s="6">
        <v>225.51300000000001</v>
      </c>
      <c r="P429" s="6">
        <v>413</v>
      </c>
      <c r="Q429" s="4" t="s">
        <v>26</v>
      </c>
      <c r="R429" s="4">
        <v>0</v>
      </c>
      <c r="S429" s="6">
        <v>0</v>
      </c>
      <c r="T429" s="6">
        <v>30</v>
      </c>
      <c r="U429" s="6">
        <v>55</v>
      </c>
      <c r="V429" s="6">
        <f>IF(ISERROR(VLOOKUP($S$429,'TAR FIN'!$A$1:$O$85,15,0)),0,VLOOKUP($S$429,'TAR FIN'!$A$1:$O$85,15,0))</f>
        <v>0</v>
      </c>
      <c r="W429" s="6">
        <f>IF(ISERROR(VLOOKUP($T$429,'TAR FIN'!$A$1:$O$85,15,0)),0,VLOOKUP($T$429,'TAR FIN'!$A$1:$O$85,15,0))</f>
        <v>331.77</v>
      </c>
      <c r="X429" s="6">
        <f>IF(ISERROR(VLOOKUP($U$429,'TAR FIN'!$A$1:$O$85,15,0)),0,VLOOKUP($U$429,'TAR FIN'!$A$1:$O$85,15,0))</f>
        <v>124.36</v>
      </c>
      <c r="Y429" s="6"/>
      <c r="Z429" s="6">
        <f ca="1">('TUSD BE'!$AM$33+'TUSD BF'!$AM$33+'TUSD CVA'!$AM$33)*(1-CUSTOS!$M$38)</f>
        <v>390.73403238820225</v>
      </c>
      <c r="AA429" s="6">
        <f>('TE BE'!$AB$23+'TE BF'!$AB$23+'TE CVA'!$AB$23)*(1-CUSTOS!$M$38)</f>
        <v>127.65788581931002</v>
      </c>
      <c r="AB429" s="6">
        <f>$K$429*$V$429</f>
        <v>0</v>
      </c>
      <c r="AC429" s="6">
        <f>$M$429*$W$429</f>
        <v>74818.448009999993</v>
      </c>
      <c r="AD429" s="6">
        <f>$O$429*$X$429</f>
        <v>28044.796679999999</v>
      </c>
      <c r="AE429" s="6">
        <f>$K$429*$Y$429</f>
        <v>0</v>
      </c>
      <c r="AF429" s="6">
        <f ca="1">$M$429*$Z$429</f>
        <v>88115.60384596065</v>
      </c>
      <c r="AG429" s="6">
        <f>$O$429*$AA$429</f>
        <v>28788.512804770064</v>
      </c>
    </row>
    <row r="430" spans="1:33" ht="11.25" customHeight="1" x14ac:dyDescent="0.25">
      <c r="A430" s="4" t="s">
        <v>21</v>
      </c>
      <c r="B430" s="4" t="s">
        <v>40</v>
      </c>
      <c r="C430" s="4" t="s">
        <v>23</v>
      </c>
      <c r="D430" s="4" t="s">
        <v>41</v>
      </c>
      <c r="E430" s="4" t="s">
        <v>25</v>
      </c>
      <c r="F430" s="4" t="s">
        <v>25</v>
      </c>
      <c r="G430" s="4" t="s">
        <v>25</v>
      </c>
      <c r="H430" s="4" t="s">
        <v>25</v>
      </c>
      <c r="I430" s="5">
        <v>44501</v>
      </c>
      <c r="J430" s="6">
        <v>0</v>
      </c>
      <c r="K430" s="6">
        <v>0</v>
      </c>
      <c r="L430" s="6">
        <v>3277.9079999999999</v>
      </c>
      <c r="M430" s="6">
        <v>3277.9079999999999</v>
      </c>
      <c r="N430" s="6">
        <v>3277.9079999999999</v>
      </c>
      <c r="O430" s="6">
        <v>3277.9079999999999</v>
      </c>
      <c r="P430" s="6">
        <v>6488</v>
      </c>
      <c r="Q430" s="4" t="s">
        <v>26</v>
      </c>
      <c r="R430" s="4">
        <v>0</v>
      </c>
      <c r="S430" s="6">
        <v>0</v>
      </c>
      <c r="T430" s="6">
        <v>30</v>
      </c>
      <c r="U430" s="6">
        <v>55</v>
      </c>
      <c r="V430" s="6">
        <f>IF(ISERROR(VLOOKUP($S$430,'TAR FIN'!$A$1:$O$85,15,0)),0,VLOOKUP($S$430,'TAR FIN'!$A$1:$O$85,15,0))</f>
        <v>0</v>
      </c>
      <c r="W430" s="6">
        <f>IF(ISERROR(VLOOKUP($T$430,'TAR FIN'!$A$1:$O$85,15,0)),0,VLOOKUP($T$430,'TAR FIN'!$A$1:$O$85,15,0))</f>
        <v>331.77</v>
      </c>
      <c r="X430" s="6">
        <f>IF(ISERROR(VLOOKUP($U$430,'TAR FIN'!$A$1:$O$85,15,0)),0,VLOOKUP($U$430,'TAR FIN'!$A$1:$O$85,15,0))</f>
        <v>124.36</v>
      </c>
      <c r="Y430" s="6"/>
      <c r="Z430" s="6">
        <f ca="1">('TUSD BE'!$AM$33+'TUSD BF'!$AM$33+'TUSD CVA'!$AM$33)*(1-CUSTOS!$M$38)</f>
        <v>390.73403238820225</v>
      </c>
      <c r="AA430" s="6">
        <f>('TE BE'!$AB$23+'TE BF'!$AB$23+'TE CVA'!$AB$23)*(1-CUSTOS!$M$38)</f>
        <v>127.65788581931002</v>
      </c>
      <c r="AB430" s="6">
        <f>$K$430*$V$430</f>
        <v>0</v>
      </c>
      <c r="AC430" s="6">
        <f>$M$430*$W$430</f>
        <v>1087511.5371599998</v>
      </c>
      <c r="AD430" s="6">
        <f>$O$430*$X$430</f>
        <v>407640.63887999998</v>
      </c>
      <c r="AE430" s="6">
        <f>$K$430*$Y$430</f>
        <v>0</v>
      </c>
      <c r="AF430" s="6">
        <f ca="1">$M$430*$Z$430</f>
        <v>1280790.2106375473</v>
      </c>
      <c r="AG430" s="6">
        <f>$O$430*$AA$430</f>
        <v>418450.8051902029</v>
      </c>
    </row>
    <row r="431" spans="1:33" ht="11.25" customHeight="1" x14ac:dyDescent="0.25">
      <c r="A431" s="4" t="s">
        <v>27</v>
      </c>
      <c r="B431" s="4" t="s">
        <v>40</v>
      </c>
      <c r="C431" s="4" t="s">
        <v>23</v>
      </c>
      <c r="D431" s="4" t="s">
        <v>41</v>
      </c>
      <c r="E431" s="4" t="s">
        <v>25</v>
      </c>
      <c r="F431" s="4" t="s">
        <v>25</v>
      </c>
      <c r="G431" s="4" t="s">
        <v>25</v>
      </c>
      <c r="H431" s="4" t="s">
        <v>25</v>
      </c>
      <c r="I431" s="5">
        <v>44501</v>
      </c>
      <c r="J431" s="6">
        <v>0</v>
      </c>
      <c r="K431" s="6">
        <v>0</v>
      </c>
      <c r="L431" s="6">
        <v>9.4220000000000006</v>
      </c>
      <c r="M431" s="6">
        <v>9.4220000000000006</v>
      </c>
      <c r="N431" s="6">
        <v>9.4220000000000006</v>
      </c>
      <c r="O431" s="6">
        <v>9.4220000000000006</v>
      </c>
      <c r="P431" s="6">
        <v>0</v>
      </c>
      <c r="Q431" s="4" t="s">
        <v>26</v>
      </c>
      <c r="R431" s="4">
        <v>0</v>
      </c>
      <c r="S431" s="6">
        <v>0</v>
      </c>
      <c r="T431" s="6">
        <v>30</v>
      </c>
      <c r="U431" s="6">
        <v>55</v>
      </c>
      <c r="V431" s="6">
        <f>IF(ISERROR(VLOOKUP($S$431,'TAR FIN'!$A$1:$O$85,15,0)),0,VLOOKUP($S$431,'TAR FIN'!$A$1:$O$85,15,0))</f>
        <v>0</v>
      </c>
      <c r="W431" s="6">
        <f>IF(ISERROR(VLOOKUP($T$431,'TAR FIN'!$A$1:$O$85,15,0)),0,VLOOKUP($T$431,'TAR FIN'!$A$1:$O$85,15,0))</f>
        <v>331.77</v>
      </c>
      <c r="X431" s="6">
        <f>IF(ISERROR(VLOOKUP($U$431,'TAR FIN'!$A$1:$O$85,15,0)),0,VLOOKUP($U$431,'TAR FIN'!$A$1:$O$85,15,0))</f>
        <v>124.36</v>
      </c>
      <c r="Y431" s="6"/>
      <c r="Z431" s="6">
        <f ca="1">('TUSD BE'!$AM$33+'TUSD BF'!$AM$33+'TUSD CVA'!$AM$33)*(1-CUSTOS!$M$38)</f>
        <v>390.73403238820225</v>
      </c>
      <c r="AA431" s="6">
        <f>('TE BE'!$AB$23+'TE BF'!$AB$23+'TE CVA'!$AB$23)*(1-CUSTOS!$M$38)</f>
        <v>127.65788581931002</v>
      </c>
      <c r="AB431" s="6">
        <f>$K$431*$V$431</f>
        <v>0</v>
      </c>
      <c r="AC431" s="6">
        <f>$M$431*$W$431</f>
        <v>3125.93694</v>
      </c>
      <c r="AD431" s="6">
        <f>$O$431*$X$431</f>
        <v>1171.71992</v>
      </c>
      <c r="AE431" s="6">
        <f>$K$431*$Y$431</f>
        <v>0</v>
      </c>
      <c r="AF431" s="6">
        <f ca="1">$M$431*$Z$431</f>
        <v>3681.4960531616421</v>
      </c>
      <c r="AG431" s="6">
        <f>$O$431*$AA$431</f>
        <v>1202.7926001895391</v>
      </c>
    </row>
    <row r="432" spans="1:33" ht="11.25" customHeight="1" x14ac:dyDescent="0.25">
      <c r="A432" s="4" t="s">
        <v>28</v>
      </c>
      <c r="B432" s="4" t="s">
        <v>40</v>
      </c>
      <c r="C432" s="4" t="s">
        <v>23</v>
      </c>
      <c r="D432" s="4" t="s">
        <v>41</v>
      </c>
      <c r="E432" s="4" t="s">
        <v>25</v>
      </c>
      <c r="F432" s="4" t="s">
        <v>25</v>
      </c>
      <c r="G432" s="4" t="s">
        <v>25</v>
      </c>
      <c r="H432" s="4" t="s">
        <v>25</v>
      </c>
      <c r="I432" s="5">
        <v>44501</v>
      </c>
      <c r="J432" s="6">
        <v>0</v>
      </c>
      <c r="K432" s="6">
        <v>0</v>
      </c>
      <c r="L432" s="6">
        <v>182.71199999999999</v>
      </c>
      <c r="M432" s="6">
        <v>182.71199999999999</v>
      </c>
      <c r="N432" s="6">
        <v>182.71199999999999</v>
      </c>
      <c r="O432" s="6">
        <v>182.71199999999999</v>
      </c>
      <c r="P432" s="6">
        <v>464</v>
      </c>
      <c r="Q432" s="4" t="s">
        <v>26</v>
      </c>
      <c r="R432" s="4">
        <v>0</v>
      </c>
      <c r="S432" s="6">
        <v>0</v>
      </c>
      <c r="T432" s="6">
        <v>30</v>
      </c>
      <c r="U432" s="6">
        <v>55</v>
      </c>
      <c r="V432" s="6">
        <f>IF(ISERROR(VLOOKUP($S$432,'TAR FIN'!$A$1:$O$85,15,0)),0,VLOOKUP($S$432,'TAR FIN'!$A$1:$O$85,15,0))</f>
        <v>0</v>
      </c>
      <c r="W432" s="6">
        <f>IF(ISERROR(VLOOKUP($T$432,'TAR FIN'!$A$1:$O$85,15,0)),0,VLOOKUP($T$432,'TAR FIN'!$A$1:$O$85,15,0))</f>
        <v>331.77</v>
      </c>
      <c r="X432" s="6">
        <f>IF(ISERROR(VLOOKUP($U$432,'TAR FIN'!$A$1:$O$85,15,0)),0,VLOOKUP($U$432,'TAR FIN'!$A$1:$O$85,15,0))</f>
        <v>124.36</v>
      </c>
      <c r="Y432" s="6"/>
      <c r="Z432" s="6">
        <f ca="1">('TUSD BE'!$AM$33+'TUSD BF'!$AM$33+'TUSD CVA'!$AM$33)*(1-CUSTOS!$M$38)</f>
        <v>390.73403238820225</v>
      </c>
      <c r="AA432" s="6">
        <f>('TE BE'!$AB$23+'TE BF'!$AB$23+'TE CVA'!$AB$23)*(1-CUSTOS!$M$38)</f>
        <v>127.65788581931002</v>
      </c>
      <c r="AB432" s="6">
        <f>$K$432*$V$432</f>
        <v>0</v>
      </c>
      <c r="AC432" s="6">
        <f>$M$432*$W$432</f>
        <v>60618.360239999995</v>
      </c>
      <c r="AD432" s="6">
        <f>$O$432*$X$432</f>
        <v>22722.064319999998</v>
      </c>
      <c r="AE432" s="6">
        <f>$K$432*$Y$432</f>
        <v>0</v>
      </c>
      <c r="AF432" s="6">
        <f ca="1">$M$432*$Z$432</f>
        <v>71391.796525713202</v>
      </c>
      <c r="AG432" s="6">
        <f>$O$432*$AA$432</f>
        <v>23324.62763381777</v>
      </c>
    </row>
    <row r="433" spans="1:33" ht="11.25" customHeight="1" x14ac:dyDescent="0.25">
      <c r="A433" s="4" t="s">
        <v>21</v>
      </c>
      <c r="B433" s="4" t="s">
        <v>40</v>
      </c>
      <c r="C433" s="4" t="s">
        <v>23</v>
      </c>
      <c r="D433" s="4" t="s">
        <v>41</v>
      </c>
      <c r="E433" s="4" t="s">
        <v>25</v>
      </c>
      <c r="F433" s="4" t="s">
        <v>25</v>
      </c>
      <c r="G433" s="4" t="s">
        <v>25</v>
      </c>
      <c r="H433" s="4" t="s">
        <v>25</v>
      </c>
      <c r="I433" s="5">
        <v>44531</v>
      </c>
      <c r="J433" s="6">
        <v>0</v>
      </c>
      <c r="K433" s="6">
        <v>0</v>
      </c>
      <c r="L433" s="6">
        <v>3180.2330000000002</v>
      </c>
      <c r="M433" s="6">
        <v>3180.2330000000002</v>
      </c>
      <c r="N433" s="6">
        <v>3180.2330000000002</v>
      </c>
      <c r="O433" s="6">
        <v>3180.2330000000002</v>
      </c>
      <c r="P433" s="6">
        <v>5569</v>
      </c>
      <c r="Q433" s="4" t="s">
        <v>26</v>
      </c>
      <c r="R433" s="4">
        <v>0</v>
      </c>
      <c r="S433" s="6">
        <v>0</v>
      </c>
      <c r="T433" s="6">
        <v>30</v>
      </c>
      <c r="U433" s="6">
        <v>55</v>
      </c>
      <c r="V433" s="6">
        <f>IF(ISERROR(VLOOKUP($S$433,'TAR FIN'!$A$1:$O$85,15,0)),0,VLOOKUP($S$433,'TAR FIN'!$A$1:$O$85,15,0))</f>
        <v>0</v>
      </c>
      <c r="W433" s="6">
        <f>IF(ISERROR(VLOOKUP($T$433,'TAR FIN'!$A$1:$O$85,15,0)),0,VLOOKUP($T$433,'TAR FIN'!$A$1:$O$85,15,0))</f>
        <v>331.77</v>
      </c>
      <c r="X433" s="6">
        <f>IF(ISERROR(VLOOKUP($U$433,'TAR FIN'!$A$1:$O$85,15,0)),0,VLOOKUP($U$433,'TAR FIN'!$A$1:$O$85,15,0))</f>
        <v>124.36</v>
      </c>
      <c r="Y433" s="6"/>
      <c r="Z433" s="6">
        <f ca="1">('TUSD BE'!$AM$33+'TUSD BF'!$AM$33+'TUSD CVA'!$AM$33)*(1-CUSTOS!$M$38)</f>
        <v>390.73403238820225</v>
      </c>
      <c r="AA433" s="6">
        <f>('TE BE'!$AB$23+'TE BF'!$AB$23+'TE CVA'!$AB$23)*(1-CUSTOS!$M$38)</f>
        <v>127.65788581931002</v>
      </c>
      <c r="AB433" s="6">
        <f>$K$433*$V$433</f>
        <v>0</v>
      </c>
      <c r="AC433" s="6">
        <f>$M$433*$W$433</f>
        <v>1055105.9024100001</v>
      </c>
      <c r="AD433" s="6">
        <f>$O$433*$X$433</f>
        <v>395493.77588000003</v>
      </c>
      <c r="AE433" s="6">
        <f>$K$433*$Y$433</f>
        <v>0</v>
      </c>
      <c r="AF433" s="6">
        <f ca="1">$M$433*$Z$433</f>
        <v>1242625.2640240297</v>
      </c>
      <c r="AG433" s="6">
        <f>$O$433*$AA$433</f>
        <v>405981.82119280181</v>
      </c>
    </row>
    <row r="434" spans="1:33" ht="11.25" customHeight="1" x14ac:dyDescent="0.25">
      <c r="A434" s="4" t="s">
        <v>27</v>
      </c>
      <c r="B434" s="4" t="s">
        <v>40</v>
      </c>
      <c r="C434" s="4" t="s">
        <v>23</v>
      </c>
      <c r="D434" s="4" t="s">
        <v>41</v>
      </c>
      <c r="E434" s="4" t="s">
        <v>25</v>
      </c>
      <c r="F434" s="4" t="s">
        <v>25</v>
      </c>
      <c r="G434" s="4" t="s">
        <v>25</v>
      </c>
      <c r="H434" s="4" t="s">
        <v>25</v>
      </c>
      <c r="I434" s="5">
        <v>44531</v>
      </c>
      <c r="J434" s="6">
        <v>0</v>
      </c>
      <c r="K434" s="6">
        <v>0</v>
      </c>
      <c r="L434" s="6">
        <v>-0.621</v>
      </c>
      <c r="M434" s="6">
        <v>-0.621</v>
      </c>
      <c r="N434" s="6">
        <v>-0.621</v>
      </c>
      <c r="O434" s="6">
        <v>-0.621</v>
      </c>
      <c r="P434" s="6">
        <v>0</v>
      </c>
      <c r="Q434" s="4" t="s">
        <v>26</v>
      </c>
      <c r="R434" s="4">
        <v>0</v>
      </c>
      <c r="S434" s="6">
        <v>0</v>
      </c>
      <c r="T434" s="6">
        <v>30</v>
      </c>
      <c r="U434" s="6">
        <v>55</v>
      </c>
      <c r="V434" s="6">
        <f>IF(ISERROR(VLOOKUP($S$434,'TAR FIN'!$A$1:$O$85,15,0)),0,VLOOKUP($S$434,'TAR FIN'!$A$1:$O$85,15,0))</f>
        <v>0</v>
      </c>
      <c r="W434" s="6">
        <f>IF(ISERROR(VLOOKUP($T$434,'TAR FIN'!$A$1:$O$85,15,0)),0,VLOOKUP($T$434,'TAR FIN'!$A$1:$O$85,15,0))</f>
        <v>331.77</v>
      </c>
      <c r="X434" s="6">
        <f>IF(ISERROR(VLOOKUP($U$434,'TAR FIN'!$A$1:$O$85,15,0)),0,VLOOKUP($U$434,'TAR FIN'!$A$1:$O$85,15,0))</f>
        <v>124.36</v>
      </c>
      <c r="Y434" s="6"/>
      <c r="Z434" s="6">
        <f ca="1">('TUSD BE'!$AM$33+'TUSD BF'!$AM$33+'TUSD CVA'!$AM$33)*(1-CUSTOS!$M$38)</f>
        <v>390.73403238820225</v>
      </c>
      <c r="AA434" s="6">
        <f>('TE BE'!$AB$23+'TE BF'!$AB$23+'TE CVA'!$AB$23)*(1-CUSTOS!$M$38)</f>
        <v>127.65788581931002</v>
      </c>
      <c r="AB434" s="6">
        <f>$K$434*$V$434</f>
        <v>0</v>
      </c>
      <c r="AC434" s="6">
        <f>$M$434*$W$434</f>
        <v>-206.02916999999999</v>
      </c>
      <c r="AD434" s="6">
        <f>$O$434*$X$434</f>
        <v>-77.227559999999997</v>
      </c>
      <c r="AE434" s="6">
        <f>$K$434*$Y$434</f>
        <v>0</v>
      </c>
      <c r="AF434" s="6">
        <f ca="1">$M$434*$Z$434</f>
        <v>-242.64583411307359</v>
      </c>
      <c r="AG434" s="6">
        <f>$O$434*$AA$434</f>
        <v>-79.275547093791531</v>
      </c>
    </row>
    <row r="435" spans="1:33" ht="11.25" customHeight="1" x14ac:dyDescent="0.25">
      <c r="A435" s="4" t="s">
        <v>28</v>
      </c>
      <c r="B435" s="4" t="s">
        <v>40</v>
      </c>
      <c r="C435" s="4" t="s">
        <v>23</v>
      </c>
      <c r="D435" s="4" t="s">
        <v>41</v>
      </c>
      <c r="E435" s="4" t="s">
        <v>25</v>
      </c>
      <c r="F435" s="4" t="s">
        <v>25</v>
      </c>
      <c r="G435" s="4" t="s">
        <v>25</v>
      </c>
      <c r="H435" s="4" t="s">
        <v>25</v>
      </c>
      <c r="I435" s="5">
        <v>44531</v>
      </c>
      <c r="J435" s="6">
        <v>0</v>
      </c>
      <c r="K435" s="6">
        <v>0</v>
      </c>
      <c r="L435" s="6">
        <v>181.08600000000001</v>
      </c>
      <c r="M435" s="6">
        <v>181.08600000000001</v>
      </c>
      <c r="N435" s="6">
        <v>181.08600000000001</v>
      </c>
      <c r="O435" s="6">
        <v>181.08600000000001</v>
      </c>
      <c r="P435" s="6">
        <v>492</v>
      </c>
      <c r="Q435" s="4" t="s">
        <v>26</v>
      </c>
      <c r="R435" s="4">
        <v>0</v>
      </c>
      <c r="S435" s="6">
        <v>0</v>
      </c>
      <c r="T435" s="6">
        <v>30</v>
      </c>
      <c r="U435" s="6">
        <v>55</v>
      </c>
      <c r="V435" s="6">
        <f>IF(ISERROR(VLOOKUP($S$435,'TAR FIN'!$A$1:$O$85,15,0)),0,VLOOKUP($S$435,'TAR FIN'!$A$1:$O$85,15,0))</f>
        <v>0</v>
      </c>
      <c r="W435" s="6">
        <f>IF(ISERROR(VLOOKUP($T$435,'TAR FIN'!$A$1:$O$85,15,0)),0,VLOOKUP($T$435,'TAR FIN'!$A$1:$O$85,15,0))</f>
        <v>331.77</v>
      </c>
      <c r="X435" s="6">
        <f>IF(ISERROR(VLOOKUP($U$435,'TAR FIN'!$A$1:$O$85,15,0)),0,VLOOKUP($U$435,'TAR FIN'!$A$1:$O$85,15,0))</f>
        <v>124.36</v>
      </c>
      <c r="Y435" s="6"/>
      <c r="Z435" s="6">
        <f ca="1">('TUSD BE'!$AM$33+'TUSD BF'!$AM$33+'TUSD CVA'!$AM$33)*(1-CUSTOS!$M$38)</f>
        <v>390.73403238820225</v>
      </c>
      <c r="AA435" s="6">
        <f>('TE BE'!$AB$23+'TE BF'!$AB$23+'TE CVA'!$AB$23)*(1-CUSTOS!$M$38)</f>
        <v>127.65788581931002</v>
      </c>
      <c r="AB435" s="6">
        <f>$K$435*$V$435</f>
        <v>0</v>
      </c>
      <c r="AC435" s="6">
        <f>$M$435*$W$435</f>
        <v>60078.902220000004</v>
      </c>
      <c r="AD435" s="6">
        <f>$O$435*$X$435</f>
        <v>22519.854960000001</v>
      </c>
      <c r="AE435" s="6">
        <f>$K$435*$Y$435</f>
        <v>0</v>
      </c>
      <c r="AF435" s="6">
        <f ca="1">$M$435*$Z$435</f>
        <v>70756.462989049993</v>
      </c>
      <c r="AG435" s="6">
        <f>$O$435*$AA$435</f>
        <v>23117.055911475578</v>
      </c>
    </row>
    <row r="436" spans="1:33" ht="11.25" customHeight="1" x14ac:dyDescent="0.25">
      <c r="A436" s="4" t="s">
        <v>28</v>
      </c>
      <c r="B436" s="4" t="s">
        <v>40</v>
      </c>
      <c r="C436" s="4" t="s">
        <v>23</v>
      </c>
      <c r="D436" s="4" t="s">
        <v>41</v>
      </c>
      <c r="E436" s="4" t="s">
        <v>25</v>
      </c>
      <c r="F436" s="4" t="s">
        <v>25</v>
      </c>
      <c r="G436" s="4" t="s">
        <v>25</v>
      </c>
      <c r="H436" s="4" t="s">
        <v>25</v>
      </c>
      <c r="I436" s="5">
        <v>44531</v>
      </c>
      <c r="J436" s="6">
        <v>0</v>
      </c>
      <c r="K436" s="6">
        <v>0</v>
      </c>
      <c r="L436" s="6">
        <v>-9.7929999999999993</v>
      </c>
      <c r="M436" s="6">
        <v>-9.7929999999999993</v>
      </c>
      <c r="N436" s="6">
        <v>-9.7929999999999993</v>
      </c>
      <c r="O436" s="6">
        <v>-9.7929999999999993</v>
      </c>
      <c r="P436" s="6">
        <v>6</v>
      </c>
      <c r="Q436" s="4" t="s">
        <v>26</v>
      </c>
      <c r="R436" s="4">
        <v>0</v>
      </c>
      <c r="S436" s="6">
        <v>0</v>
      </c>
      <c r="T436" s="6">
        <v>30</v>
      </c>
      <c r="U436" s="6">
        <v>55</v>
      </c>
      <c r="V436" s="6">
        <f>IF(ISERROR(VLOOKUP($S$436,'TAR FIN'!$A$1:$O$85,15,0)),0,VLOOKUP($S$436,'TAR FIN'!$A$1:$O$85,15,0))</f>
        <v>0</v>
      </c>
      <c r="W436" s="6">
        <f>IF(ISERROR(VLOOKUP($T$436,'TAR FIN'!$A$1:$O$85,15,0)),0,VLOOKUP($T$436,'TAR FIN'!$A$1:$O$85,15,0))</f>
        <v>331.77</v>
      </c>
      <c r="X436" s="6">
        <f>IF(ISERROR(VLOOKUP($U$436,'TAR FIN'!$A$1:$O$85,15,0)),0,VLOOKUP($U$436,'TAR FIN'!$A$1:$O$85,15,0))</f>
        <v>124.36</v>
      </c>
      <c r="Y436" s="6"/>
      <c r="Z436" s="6">
        <f ca="1">('TUSD BE'!$AM$33+'TUSD BF'!$AM$33+'TUSD CVA'!$AM$33)*(1-CUSTOS!$M$38)</f>
        <v>390.73403238820225</v>
      </c>
      <c r="AA436" s="6">
        <f>('TE BE'!$AB$23+'TE BF'!$AB$23+'TE CVA'!$AB$23)*(1-CUSTOS!$M$38)</f>
        <v>127.65788581931002</v>
      </c>
      <c r="AB436" s="6">
        <f>$K$436*$V$436</f>
        <v>0</v>
      </c>
      <c r="AC436" s="6">
        <f>$M$436*$W$436</f>
        <v>-3249.0236099999997</v>
      </c>
      <c r="AD436" s="6">
        <f>$O$436*$X$436</f>
        <v>-1217.8574799999999</v>
      </c>
      <c r="AE436" s="6">
        <f>$K$436*$Y$436</f>
        <v>0</v>
      </c>
      <c r="AF436" s="6">
        <f ca="1">$M$436*$Z$436</f>
        <v>-3826.4583791776645</v>
      </c>
      <c r="AG436" s="6">
        <f>$O$436*$AA$436</f>
        <v>-1250.1536758285031</v>
      </c>
    </row>
    <row r="437" spans="1:33" ht="11.25" customHeight="1" x14ac:dyDescent="0.25">
      <c r="A437" s="4" t="s">
        <v>21</v>
      </c>
      <c r="B437" s="4" t="s">
        <v>40</v>
      </c>
      <c r="C437" s="4" t="s">
        <v>23</v>
      </c>
      <c r="D437" s="4" t="s">
        <v>41</v>
      </c>
      <c r="E437" s="4" t="s">
        <v>25</v>
      </c>
      <c r="F437" s="4" t="s">
        <v>25</v>
      </c>
      <c r="G437" s="4" t="s">
        <v>25</v>
      </c>
      <c r="H437" s="4" t="s">
        <v>25</v>
      </c>
      <c r="I437" s="5">
        <v>44562</v>
      </c>
      <c r="J437" s="6">
        <v>0</v>
      </c>
      <c r="K437" s="6">
        <v>0</v>
      </c>
      <c r="L437" s="6">
        <v>3726.4209999999998</v>
      </c>
      <c r="M437" s="6">
        <v>3726.4209999999998</v>
      </c>
      <c r="N437" s="6">
        <v>3726.4209999999998</v>
      </c>
      <c r="O437" s="6">
        <v>3726.4209999999998</v>
      </c>
      <c r="P437" s="6">
        <v>5588</v>
      </c>
      <c r="Q437" s="4" t="s">
        <v>26</v>
      </c>
      <c r="R437" s="4">
        <v>0</v>
      </c>
      <c r="S437" s="6">
        <v>0</v>
      </c>
      <c r="T437" s="6">
        <v>30</v>
      </c>
      <c r="U437" s="6">
        <v>55</v>
      </c>
      <c r="V437" s="6">
        <f>IF(ISERROR(VLOOKUP($S$437,'TAR FIN'!$A$1:$O$85,15,0)),0,VLOOKUP($S$437,'TAR FIN'!$A$1:$O$85,15,0))</f>
        <v>0</v>
      </c>
      <c r="W437" s="6">
        <f>IF(ISERROR(VLOOKUP($T$437,'TAR FIN'!$A$1:$O$85,15,0)),0,VLOOKUP($T$437,'TAR FIN'!$A$1:$O$85,15,0))</f>
        <v>331.77</v>
      </c>
      <c r="X437" s="6">
        <f>IF(ISERROR(VLOOKUP($U$437,'TAR FIN'!$A$1:$O$85,15,0)),0,VLOOKUP($U$437,'TAR FIN'!$A$1:$O$85,15,0))</f>
        <v>124.36</v>
      </c>
      <c r="Y437" s="6"/>
      <c r="Z437" s="6">
        <f ca="1">('TUSD BE'!$AM$33+'TUSD BF'!$AM$33+'TUSD CVA'!$AM$33)*(1-CUSTOS!$M$38)</f>
        <v>390.73403238820225</v>
      </c>
      <c r="AA437" s="6">
        <f>('TE BE'!$AB$23+'TE BF'!$AB$23+'TE CVA'!$AB$23)*(1-CUSTOS!$M$38)</f>
        <v>127.65788581931002</v>
      </c>
      <c r="AB437" s="6">
        <f>$K$437*$V$437</f>
        <v>0</v>
      </c>
      <c r="AC437" s="6">
        <f>$M$437*$W$437</f>
        <v>1236314.69517</v>
      </c>
      <c r="AD437" s="6">
        <f>$O$437*$X$437</f>
        <v>463417.71555999998</v>
      </c>
      <c r="AE437" s="6">
        <f>$K$437*$Y$437</f>
        <v>0</v>
      </c>
      <c r="AF437" s="6">
        <f ca="1">$M$437*$Z$437</f>
        <v>1456039.5037060769</v>
      </c>
      <c r="AG437" s="6">
        <f>$O$437*$AA$437</f>
        <v>475707.02653267904</v>
      </c>
    </row>
    <row r="438" spans="1:33" ht="11.25" customHeight="1" x14ac:dyDescent="0.25">
      <c r="A438" s="4" t="s">
        <v>27</v>
      </c>
      <c r="B438" s="4" t="s">
        <v>40</v>
      </c>
      <c r="C438" s="4" t="s">
        <v>23</v>
      </c>
      <c r="D438" s="4" t="s">
        <v>41</v>
      </c>
      <c r="E438" s="4" t="s">
        <v>25</v>
      </c>
      <c r="F438" s="4" t="s">
        <v>25</v>
      </c>
      <c r="G438" s="4" t="s">
        <v>25</v>
      </c>
      <c r="H438" s="4" t="s">
        <v>25</v>
      </c>
      <c r="I438" s="5">
        <v>44562</v>
      </c>
      <c r="J438" s="6">
        <v>0</v>
      </c>
      <c r="K438" s="6">
        <v>0</v>
      </c>
      <c r="L438" s="6">
        <v>-1.607</v>
      </c>
      <c r="M438" s="6">
        <v>-1.607</v>
      </c>
      <c r="N438" s="6">
        <v>-1.607</v>
      </c>
      <c r="O438" s="6">
        <v>-1.607</v>
      </c>
      <c r="P438" s="6">
        <v>0</v>
      </c>
      <c r="Q438" s="4" t="s">
        <v>26</v>
      </c>
      <c r="R438" s="4">
        <v>0</v>
      </c>
      <c r="S438" s="6">
        <v>0</v>
      </c>
      <c r="T438" s="6">
        <v>30</v>
      </c>
      <c r="U438" s="6">
        <v>55</v>
      </c>
      <c r="V438" s="6">
        <f>IF(ISERROR(VLOOKUP($S$438,'TAR FIN'!$A$1:$O$85,15,0)),0,VLOOKUP($S$438,'TAR FIN'!$A$1:$O$85,15,0))</f>
        <v>0</v>
      </c>
      <c r="W438" s="6">
        <f>IF(ISERROR(VLOOKUP($T$438,'TAR FIN'!$A$1:$O$85,15,0)),0,VLOOKUP($T$438,'TAR FIN'!$A$1:$O$85,15,0))</f>
        <v>331.77</v>
      </c>
      <c r="X438" s="6">
        <f>IF(ISERROR(VLOOKUP($U$438,'TAR FIN'!$A$1:$O$85,15,0)),0,VLOOKUP($U$438,'TAR FIN'!$A$1:$O$85,15,0))</f>
        <v>124.36</v>
      </c>
      <c r="Y438" s="6"/>
      <c r="Z438" s="6">
        <f ca="1">('TUSD BE'!$AM$33+'TUSD BF'!$AM$33+'TUSD CVA'!$AM$33)*(1-CUSTOS!$M$38)</f>
        <v>390.73403238820225</v>
      </c>
      <c r="AA438" s="6">
        <f>('TE BE'!$AB$23+'TE BF'!$AB$23+'TE CVA'!$AB$23)*(1-CUSTOS!$M$38)</f>
        <v>127.65788581931002</v>
      </c>
      <c r="AB438" s="6">
        <f>$K$438*$V$438</f>
        <v>0</v>
      </c>
      <c r="AC438" s="6">
        <f>$M$438*$W$438</f>
        <v>-533.15438999999992</v>
      </c>
      <c r="AD438" s="6">
        <f>$O$438*$X$438</f>
        <v>-199.84652</v>
      </c>
      <c r="AE438" s="6">
        <f>$K$438*$Y$438</f>
        <v>0</v>
      </c>
      <c r="AF438" s="6">
        <f ca="1">$M$438*$Z$438</f>
        <v>-627.90959004784099</v>
      </c>
      <c r="AG438" s="6">
        <f>$O$438*$AA$438</f>
        <v>-205.14622251163121</v>
      </c>
    </row>
    <row r="439" spans="1:33" ht="11.25" customHeight="1" x14ac:dyDescent="0.25">
      <c r="A439" s="4" t="s">
        <v>28</v>
      </c>
      <c r="B439" s="4" t="s">
        <v>40</v>
      </c>
      <c r="C439" s="4" t="s">
        <v>23</v>
      </c>
      <c r="D439" s="4" t="s">
        <v>41</v>
      </c>
      <c r="E439" s="4" t="s">
        <v>25</v>
      </c>
      <c r="F439" s="4" t="s">
        <v>25</v>
      </c>
      <c r="G439" s="4" t="s">
        <v>25</v>
      </c>
      <c r="H439" s="4" t="s">
        <v>25</v>
      </c>
      <c r="I439" s="5">
        <v>44562</v>
      </c>
      <c r="J439" s="6">
        <v>0</v>
      </c>
      <c r="K439" s="6">
        <v>0</v>
      </c>
      <c r="L439" s="6">
        <v>362.125</v>
      </c>
      <c r="M439" s="6">
        <v>362.125</v>
      </c>
      <c r="N439" s="6">
        <v>362.125</v>
      </c>
      <c r="O439" s="6">
        <v>362.125</v>
      </c>
      <c r="P439" s="6">
        <v>525</v>
      </c>
      <c r="Q439" s="4" t="s">
        <v>26</v>
      </c>
      <c r="R439" s="4">
        <v>0</v>
      </c>
      <c r="S439" s="6">
        <v>0</v>
      </c>
      <c r="T439" s="6">
        <v>30</v>
      </c>
      <c r="U439" s="6">
        <v>55</v>
      </c>
      <c r="V439" s="6">
        <f>IF(ISERROR(VLOOKUP($S$439,'TAR FIN'!$A$1:$O$85,15,0)),0,VLOOKUP($S$439,'TAR FIN'!$A$1:$O$85,15,0))</f>
        <v>0</v>
      </c>
      <c r="W439" s="6">
        <f>IF(ISERROR(VLOOKUP($T$439,'TAR FIN'!$A$1:$O$85,15,0)),0,VLOOKUP($T$439,'TAR FIN'!$A$1:$O$85,15,0))</f>
        <v>331.77</v>
      </c>
      <c r="X439" s="6">
        <f>IF(ISERROR(VLOOKUP($U$439,'TAR FIN'!$A$1:$O$85,15,0)),0,VLOOKUP($U$439,'TAR FIN'!$A$1:$O$85,15,0))</f>
        <v>124.36</v>
      </c>
      <c r="Y439" s="6"/>
      <c r="Z439" s="6">
        <f ca="1">('TUSD BE'!$AM$33+'TUSD BF'!$AM$33+'TUSD CVA'!$AM$33)*(1-CUSTOS!$M$38)</f>
        <v>390.73403238820225</v>
      </c>
      <c r="AA439" s="6">
        <f>('TE BE'!$AB$23+'TE BF'!$AB$23+'TE CVA'!$AB$23)*(1-CUSTOS!$M$38)</f>
        <v>127.65788581931002</v>
      </c>
      <c r="AB439" s="6">
        <f>$K$439*$V$439</f>
        <v>0</v>
      </c>
      <c r="AC439" s="6">
        <f>$M$439*$W$439</f>
        <v>120142.21124999999</v>
      </c>
      <c r="AD439" s="6">
        <f>$O$439*$X$439</f>
        <v>45033.864999999998</v>
      </c>
      <c r="AE439" s="6">
        <f>$K$439*$Y$439</f>
        <v>0</v>
      </c>
      <c r="AF439" s="6">
        <f ca="1">$M$439*$Z$439</f>
        <v>141494.56147857773</v>
      </c>
      <c r="AG439" s="6">
        <f>$O$439*$AA$439</f>
        <v>46228.111902317643</v>
      </c>
    </row>
    <row r="440" spans="1:33" ht="11.25" customHeight="1" x14ac:dyDescent="0.25">
      <c r="A440" s="4" t="s">
        <v>21</v>
      </c>
      <c r="B440" s="4" t="s">
        <v>40</v>
      </c>
      <c r="C440" s="4" t="s">
        <v>23</v>
      </c>
      <c r="D440" s="4" t="s">
        <v>41</v>
      </c>
      <c r="E440" s="4" t="s">
        <v>25</v>
      </c>
      <c r="F440" s="4" t="s">
        <v>25</v>
      </c>
      <c r="G440" s="4" t="s">
        <v>25</v>
      </c>
      <c r="H440" s="4" t="s">
        <v>25</v>
      </c>
      <c r="I440" s="5">
        <v>44593</v>
      </c>
      <c r="J440" s="6">
        <v>0</v>
      </c>
      <c r="K440" s="6">
        <v>0</v>
      </c>
      <c r="L440" s="6">
        <v>3680.212</v>
      </c>
      <c r="M440" s="6">
        <v>3680.212</v>
      </c>
      <c r="N440" s="6">
        <v>3680.212</v>
      </c>
      <c r="O440" s="6">
        <v>3680.212</v>
      </c>
      <c r="P440" s="6">
        <v>5613</v>
      </c>
      <c r="Q440" s="4" t="s">
        <v>26</v>
      </c>
      <c r="R440" s="4">
        <v>0</v>
      </c>
      <c r="S440" s="6">
        <v>0</v>
      </c>
      <c r="T440" s="6">
        <v>30</v>
      </c>
      <c r="U440" s="6">
        <v>55</v>
      </c>
      <c r="V440" s="6">
        <f>IF(ISERROR(VLOOKUP($S$440,'TAR FIN'!$A$1:$O$85,15,0)),0,VLOOKUP($S$440,'TAR FIN'!$A$1:$O$85,15,0))</f>
        <v>0</v>
      </c>
      <c r="W440" s="6">
        <f>IF(ISERROR(VLOOKUP($T$440,'TAR FIN'!$A$1:$O$85,15,0)),0,VLOOKUP($T$440,'TAR FIN'!$A$1:$O$85,15,0))</f>
        <v>331.77</v>
      </c>
      <c r="X440" s="6">
        <f>IF(ISERROR(VLOOKUP($U$440,'TAR FIN'!$A$1:$O$85,15,0)),0,VLOOKUP($U$440,'TAR FIN'!$A$1:$O$85,15,0))</f>
        <v>124.36</v>
      </c>
      <c r="Y440" s="6"/>
      <c r="Z440" s="6">
        <f ca="1">('TUSD BE'!$AM$33+'TUSD BF'!$AM$33+'TUSD CVA'!$AM$33)*(1-CUSTOS!$M$38)</f>
        <v>390.73403238820225</v>
      </c>
      <c r="AA440" s="6">
        <f>('TE BE'!$AB$23+'TE BF'!$AB$23+'TE CVA'!$AB$23)*(1-CUSTOS!$M$38)</f>
        <v>127.65788581931002</v>
      </c>
      <c r="AB440" s="6">
        <f>$K$440*$V$440</f>
        <v>0</v>
      </c>
      <c r="AC440" s="6">
        <f>$M$440*$W$440</f>
        <v>1220983.93524</v>
      </c>
      <c r="AD440" s="6">
        <f>$O$440*$X$440</f>
        <v>457671.16431999998</v>
      </c>
      <c r="AE440" s="6">
        <f>$K$440*$Y$440</f>
        <v>0</v>
      </c>
      <c r="AF440" s="6">
        <f ca="1">$M$440*$Z$440</f>
        <v>1437984.0748034506</v>
      </c>
      <c r="AG440" s="6">
        <f>$O$440*$AA$440</f>
        <v>469808.08328685455</v>
      </c>
    </row>
    <row r="441" spans="1:33" ht="11.25" customHeight="1" x14ac:dyDescent="0.25">
      <c r="A441" s="4" t="s">
        <v>27</v>
      </c>
      <c r="B441" s="4" t="s">
        <v>40</v>
      </c>
      <c r="C441" s="4" t="s">
        <v>23</v>
      </c>
      <c r="D441" s="4" t="s">
        <v>41</v>
      </c>
      <c r="E441" s="4" t="s">
        <v>25</v>
      </c>
      <c r="F441" s="4" t="s">
        <v>25</v>
      </c>
      <c r="G441" s="4" t="s">
        <v>25</v>
      </c>
      <c r="H441" s="4" t="s">
        <v>25</v>
      </c>
      <c r="I441" s="5">
        <v>44593</v>
      </c>
      <c r="J441" s="6">
        <v>0</v>
      </c>
      <c r="K441" s="6">
        <v>0</v>
      </c>
      <c r="L441" s="6">
        <v>0.75800000000000001</v>
      </c>
      <c r="M441" s="6">
        <v>0.75800000000000001</v>
      </c>
      <c r="N441" s="6">
        <v>0.75800000000000001</v>
      </c>
      <c r="O441" s="6">
        <v>0.75800000000000001</v>
      </c>
      <c r="P441" s="6">
        <v>0</v>
      </c>
      <c r="Q441" s="4" t="s">
        <v>26</v>
      </c>
      <c r="R441" s="4">
        <v>0</v>
      </c>
      <c r="S441" s="6">
        <v>0</v>
      </c>
      <c r="T441" s="6">
        <v>30</v>
      </c>
      <c r="U441" s="6">
        <v>55</v>
      </c>
      <c r="V441" s="6">
        <f>IF(ISERROR(VLOOKUP($S$441,'TAR FIN'!$A$1:$O$85,15,0)),0,VLOOKUP($S$441,'TAR FIN'!$A$1:$O$85,15,0))</f>
        <v>0</v>
      </c>
      <c r="W441" s="6">
        <f>IF(ISERROR(VLOOKUP($T$441,'TAR FIN'!$A$1:$O$85,15,0)),0,VLOOKUP($T$441,'TAR FIN'!$A$1:$O$85,15,0))</f>
        <v>331.77</v>
      </c>
      <c r="X441" s="6">
        <f>IF(ISERROR(VLOOKUP($U$441,'TAR FIN'!$A$1:$O$85,15,0)),0,VLOOKUP($U$441,'TAR FIN'!$A$1:$O$85,15,0))</f>
        <v>124.36</v>
      </c>
      <c r="Y441" s="6"/>
      <c r="Z441" s="6">
        <f ca="1">('TUSD BE'!$AM$33+'TUSD BF'!$AM$33+'TUSD CVA'!$AM$33)*(1-CUSTOS!$M$38)</f>
        <v>390.73403238820225</v>
      </c>
      <c r="AA441" s="6">
        <f>('TE BE'!$AB$23+'TE BF'!$AB$23+'TE CVA'!$AB$23)*(1-CUSTOS!$M$38)</f>
        <v>127.65788581931002</v>
      </c>
      <c r="AB441" s="6">
        <f>$K$441*$V$441</f>
        <v>0</v>
      </c>
      <c r="AC441" s="6">
        <f>$M$441*$W$441</f>
        <v>251.48165999999998</v>
      </c>
      <c r="AD441" s="6">
        <f>$O$441*$X$441</f>
        <v>94.264880000000005</v>
      </c>
      <c r="AE441" s="6">
        <f>$K$441*$Y$441</f>
        <v>0</v>
      </c>
      <c r="AF441" s="6">
        <f ca="1">$M$441*$Z$441</f>
        <v>296.17639655025732</v>
      </c>
      <c r="AG441" s="6">
        <f>$O$441*$AA$441</f>
        <v>96.764677451037002</v>
      </c>
    </row>
    <row r="442" spans="1:33" ht="11.25" customHeight="1" x14ac:dyDescent="0.25">
      <c r="A442" s="4" t="s">
        <v>28</v>
      </c>
      <c r="B442" s="4" t="s">
        <v>40</v>
      </c>
      <c r="C442" s="4" t="s">
        <v>23</v>
      </c>
      <c r="D442" s="4" t="s">
        <v>41</v>
      </c>
      <c r="E442" s="4" t="s">
        <v>25</v>
      </c>
      <c r="F442" s="4" t="s">
        <v>25</v>
      </c>
      <c r="G442" s="4" t="s">
        <v>25</v>
      </c>
      <c r="H442" s="4" t="s">
        <v>25</v>
      </c>
      <c r="I442" s="5">
        <v>44593</v>
      </c>
      <c r="J442" s="6">
        <v>0</v>
      </c>
      <c r="K442" s="6">
        <v>0</v>
      </c>
      <c r="L442" s="6">
        <v>311.85500000000002</v>
      </c>
      <c r="M442" s="6">
        <v>311.85500000000002</v>
      </c>
      <c r="N442" s="6">
        <v>311.85500000000002</v>
      </c>
      <c r="O442" s="6">
        <v>311.85500000000002</v>
      </c>
      <c r="P442" s="6">
        <v>542</v>
      </c>
      <c r="Q442" s="4" t="s">
        <v>26</v>
      </c>
      <c r="R442" s="4">
        <v>0</v>
      </c>
      <c r="S442" s="6">
        <v>0</v>
      </c>
      <c r="T442" s="6">
        <v>30</v>
      </c>
      <c r="U442" s="6">
        <v>55</v>
      </c>
      <c r="V442" s="6">
        <f>IF(ISERROR(VLOOKUP($S$442,'TAR FIN'!$A$1:$O$85,15,0)),0,VLOOKUP($S$442,'TAR FIN'!$A$1:$O$85,15,0))</f>
        <v>0</v>
      </c>
      <c r="W442" s="6">
        <f>IF(ISERROR(VLOOKUP($T$442,'TAR FIN'!$A$1:$O$85,15,0)),0,VLOOKUP($T$442,'TAR FIN'!$A$1:$O$85,15,0))</f>
        <v>331.77</v>
      </c>
      <c r="X442" s="6">
        <f>IF(ISERROR(VLOOKUP($U$442,'TAR FIN'!$A$1:$O$85,15,0)),0,VLOOKUP($U$442,'TAR FIN'!$A$1:$O$85,15,0))</f>
        <v>124.36</v>
      </c>
      <c r="Y442" s="6"/>
      <c r="Z442" s="6">
        <f ca="1">('TUSD BE'!$AM$33+'TUSD BF'!$AM$33+'TUSD CVA'!$AM$33)*(1-CUSTOS!$M$38)</f>
        <v>390.73403238820225</v>
      </c>
      <c r="AA442" s="6">
        <f>('TE BE'!$AB$23+'TE BF'!$AB$23+'TE CVA'!$AB$23)*(1-CUSTOS!$M$38)</f>
        <v>127.65788581931002</v>
      </c>
      <c r="AB442" s="6">
        <f>$K$442*$V$442</f>
        <v>0</v>
      </c>
      <c r="AC442" s="6">
        <f>$M$442*$W$442</f>
        <v>103464.13335</v>
      </c>
      <c r="AD442" s="6">
        <f>$O$442*$X$442</f>
        <v>38782.287800000006</v>
      </c>
      <c r="AE442" s="6">
        <f>$K$442*$Y$442</f>
        <v>0</v>
      </c>
      <c r="AF442" s="6">
        <f ca="1">$M$442*$Z$442</f>
        <v>121852.36167042282</v>
      </c>
      <c r="AG442" s="6">
        <f>$O$442*$AA$442</f>
        <v>39810.749982180932</v>
      </c>
    </row>
    <row r="443" spans="1:33" ht="11.25" customHeight="1" x14ac:dyDescent="0.25">
      <c r="A443" s="4" t="s">
        <v>28</v>
      </c>
      <c r="B443" s="4" t="s">
        <v>40</v>
      </c>
      <c r="C443" s="4" t="s">
        <v>23</v>
      </c>
      <c r="D443" s="4" t="s">
        <v>41</v>
      </c>
      <c r="E443" s="4" t="s">
        <v>25</v>
      </c>
      <c r="F443" s="4" t="s">
        <v>25</v>
      </c>
      <c r="G443" s="4" t="s">
        <v>25</v>
      </c>
      <c r="H443" s="4" t="s">
        <v>25</v>
      </c>
      <c r="I443" s="5">
        <v>44593</v>
      </c>
      <c r="J443" s="6">
        <v>0</v>
      </c>
      <c r="K443" s="6">
        <v>0</v>
      </c>
      <c r="L443" s="6">
        <v>-7.0259999999999998</v>
      </c>
      <c r="M443" s="6">
        <v>-7.0259999999999998</v>
      </c>
      <c r="N443" s="6">
        <v>-7.0259999999999998</v>
      </c>
      <c r="O443" s="6">
        <v>-7.0259999999999998</v>
      </c>
      <c r="P443" s="6">
        <v>5</v>
      </c>
      <c r="Q443" s="4" t="s">
        <v>26</v>
      </c>
      <c r="R443" s="4">
        <v>0</v>
      </c>
      <c r="S443" s="6">
        <v>0</v>
      </c>
      <c r="T443" s="6">
        <v>30</v>
      </c>
      <c r="U443" s="6">
        <v>55</v>
      </c>
      <c r="V443" s="6">
        <f>IF(ISERROR(VLOOKUP($S$443,'TAR FIN'!$A$1:$O$85,15,0)),0,VLOOKUP($S$443,'TAR FIN'!$A$1:$O$85,15,0))</f>
        <v>0</v>
      </c>
      <c r="W443" s="6">
        <f>IF(ISERROR(VLOOKUP($T$443,'TAR FIN'!$A$1:$O$85,15,0)),0,VLOOKUP($T$443,'TAR FIN'!$A$1:$O$85,15,0))</f>
        <v>331.77</v>
      </c>
      <c r="X443" s="6">
        <f>IF(ISERROR(VLOOKUP($U$443,'TAR FIN'!$A$1:$O$85,15,0)),0,VLOOKUP($U$443,'TAR FIN'!$A$1:$O$85,15,0))</f>
        <v>124.36</v>
      </c>
      <c r="Y443" s="6"/>
      <c r="Z443" s="6">
        <f ca="1">('TUSD BE'!$AM$33+'TUSD BF'!$AM$33+'TUSD CVA'!$AM$33)*(1-CUSTOS!$M$38)</f>
        <v>390.73403238820225</v>
      </c>
      <c r="AA443" s="6">
        <f>('TE BE'!$AB$23+'TE BF'!$AB$23+'TE CVA'!$AB$23)*(1-CUSTOS!$M$38)</f>
        <v>127.65788581931002</v>
      </c>
      <c r="AB443" s="6">
        <f>$K$443*$V$443</f>
        <v>0</v>
      </c>
      <c r="AC443" s="6">
        <f>$M$443*$W$443</f>
        <v>-2331.01602</v>
      </c>
      <c r="AD443" s="6">
        <f>$O$443*$X$443</f>
        <v>-873.75335999999993</v>
      </c>
      <c r="AE443" s="6">
        <f>$K$443*$Y$443</f>
        <v>0</v>
      </c>
      <c r="AF443" s="6">
        <f ca="1">$M$443*$Z$443</f>
        <v>-2745.2973115595091</v>
      </c>
      <c r="AG443" s="6">
        <f>$O$443*$AA$443</f>
        <v>-896.92430576647223</v>
      </c>
    </row>
    <row r="444" spans="1:33" ht="11.25" customHeight="1" x14ac:dyDescent="0.25">
      <c r="A444" s="4" t="s">
        <v>21</v>
      </c>
      <c r="B444" s="4" t="s">
        <v>40</v>
      </c>
      <c r="C444" s="4" t="s">
        <v>23</v>
      </c>
      <c r="D444" s="4" t="s">
        <v>41</v>
      </c>
      <c r="E444" s="4" t="s">
        <v>25</v>
      </c>
      <c r="F444" s="4" t="s">
        <v>25</v>
      </c>
      <c r="G444" s="4" t="s">
        <v>25</v>
      </c>
      <c r="H444" s="4" t="s">
        <v>25</v>
      </c>
      <c r="I444" s="5">
        <v>44621</v>
      </c>
      <c r="J444" s="6">
        <v>0</v>
      </c>
      <c r="K444" s="6">
        <v>0</v>
      </c>
      <c r="L444" s="6">
        <v>3204.8240000000001</v>
      </c>
      <c r="M444" s="6">
        <v>3204.8240000000001</v>
      </c>
      <c r="N444" s="6">
        <v>3204.8240000000001</v>
      </c>
      <c r="O444" s="6">
        <v>3204.8240000000001</v>
      </c>
      <c r="P444" s="6">
        <v>5590</v>
      </c>
      <c r="Q444" s="4" t="s">
        <v>26</v>
      </c>
      <c r="R444" s="4">
        <v>0</v>
      </c>
      <c r="S444" s="6">
        <v>0</v>
      </c>
      <c r="T444" s="6">
        <v>30</v>
      </c>
      <c r="U444" s="6">
        <v>55</v>
      </c>
      <c r="V444" s="6">
        <f>IF(ISERROR(VLOOKUP($S$444,'TAR FIN'!$A$1:$O$85,15,0)),0,VLOOKUP($S$444,'TAR FIN'!$A$1:$O$85,15,0))</f>
        <v>0</v>
      </c>
      <c r="W444" s="6">
        <f>IF(ISERROR(VLOOKUP($T$444,'TAR FIN'!$A$1:$O$85,15,0)),0,VLOOKUP($T$444,'TAR FIN'!$A$1:$O$85,15,0))</f>
        <v>331.77</v>
      </c>
      <c r="X444" s="6">
        <f>IF(ISERROR(VLOOKUP($U$444,'TAR FIN'!$A$1:$O$85,15,0)),0,VLOOKUP($U$444,'TAR FIN'!$A$1:$O$85,15,0))</f>
        <v>124.36</v>
      </c>
      <c r="Y444" s="6"/>
      <c r="Z444" s="6">
        <f ca="1">('TUSD BE'!$AM$33+'TUSD BF'!$AM$33+'TUSD CVA'!$AM$33)*(1-CUSTOS!$M$38)</f>
        <v>390.73403238820225</v>
      </c>
      <c r="AA444" s="6">
        <f>('TE BE'!$AB$23+'TE BF'!$AB$23+'TE CVA'!$AB$23)*(1-CUSTOS!$M$38)</f>
        <v>127.65788581931002</v>
      </c>
      <c r="AB444" s="6">
        <f>$K$444*$V$444</f>
        <v>0</v>
      </c>
      <c r="AC444" s="6">
        <f>$M$444*$W$444</f>
        <v>1063264.45848</v>
      </c>
      <c r="AD444" s="6">
        <f>$O$444*$X$444</f>
        <v>398551.91264</v>
      </c>
      <c r="AE444" s="6">
        <f>$K$444*$Y$444</f>
        <v>0</v>
      </c>
      <c r="AF444" s="6">
        <f ca="1">$M$444*$Z$444</f>
        <v>1252233.804614488</v>
      </c>
      <c r="AG444" s="6">
        <f>$O$444*$AA$444</f>
        <v>409121.05626298446</v>
      </c>
    </row>
    <row r="445" spans="1:33" ht="11.25" customHeight="1" x14ac:dyDescent="0.25">
      <c r="A445" s="4" t="s">
        <v>27</v>
      </c>
      <c r="B445" s="4" t="s">
        <v>40</v>
      </c>
      <c r="C445" s="4" t="s">
        <v>23</v>
      </c>
      <c r="D445" s="4" t="s">
        <v>41</v>
      </c>
      <c r="E445" s="4" t="s">
        <v>25</v>
      </c>
      <c r="F445" s="4" t="s">
        <v>25</v>
      </c>
      <c r="G445" s="4" t="s">
        <v>25</v>
      </c>
      <c r="H445" s="4" t="s">
        <v>25</v>
      </c>
      <c r="I445" s="5">
        <v>44621</v>
      </c>
      <c r="J445" s="6">
        <v>0</v>
      </c>
      <c r="K445" s="6">
        <v>0</v>
      </c>
      <c r="L445" s="6">
        <v>-7.67</v>
      </c>
      <c r="M445" s="6">
        <v>-7.67</v>
      </c>
      <c r="N445" s="6">
        <v>-7.67</v>
      </c>
      <c r="O445" s="6">
        <v>-7.67</v>
      </c>
      <c r="P445" s="6">
        <v>0</v>
      </c>
      <c r="Q445" s="4" t="s">
        <v>26</v>
      </c>
      <c r="R445" s="4">
        <v>0</v>
      </c>
      <c r="S445" s="6">
        <v>0</v>
      </c>
      <c r="T445" s="6">
        <v>30</v>
      </c>
      <c r="U445" s="6">
        <v>55</v>
      </c>
      <c r="V445" s="6">
        <f>IF(ISERROR(VLOOKUP($S$445,'TAR FIN'!$A$1:$O$85,15,0)),0,VLOOKUP($S$445,'TAR FIN'!$A$1:$O$85,15,0))</f>
        <v>0</v>
      </c>
      <c r="W445" s="6">
        <f>IF(ISERROR(VLOOKUP($T$445,'TAR FIN'!$A$1:$O$85,15,0)),0,VLOOKUP($T$445,'TAR FIN'!$A$1:$O$85,15,0))</f>
        <v>331.77</v>
      </c>
      <c r="X445" s="6">
        <f>IF(ISERROR(VLOOKUP($U$445,'TAR FIN'!$A$1:$O$85,15,0)),0,VLOOKUP($U$445,'TAR FIN'!$A$1:$O$85,15,0))</f>
        <v>124.36</v>
      </c>
      <c r="Y445" s="6"/>
      <c r="Z445" s="6">
        <f ca="1">('TUSD BE'!$AM$33+'TUSD BF'!$AM$33+'TUSD CVA'!$AM$33)*(1-CUSTOS!$M$38)</f>
        <v>390.73403238820225</v>
      </c>
      <c r="AA445" s="6">
        <f>('TE BE'!$AB$23+'TE BF'!$AB$23+'TE CVA'!$AB$23)*(1-CUSTOS!$M$38)</f>
        <v>127.65788581931002</v>
      </c>
      <c r="AB445" s="6">
        <f>$K$445*$V$445</f>
        <v>0</v>
      </c>
      <c r="AC445" s="6">
        <f>$M$445*$W$445</f>
        <v>-2544.6758999999997</v>
      </c>
      <c r="AD445" s="6">
        <f>$O$445*$X$445</f>
        <v>-953.84119999999996</v>
      </c>
      <c r="AE445" s="6">
        <f>$K$445*$Y$445</f>
        <v>0</v>
      </c>
      <c r="AF445" s="6">
        <f ca="1">$M$445*$Z$445</f>
        <v>-2996.930028417511</v>
      </c>
      <c r="AG445" s="6">
        <f>$O$445*$AA$445</f>
        <v>-979.13598423410792</v>
      </c>
    </row>
    <row r="446" spans="1:33" ht="11.25" customHeight="1" x14ac:dyDescent="0.25">
      <c r="A446" s="4" t="s">
        <v>28</v>
      </c>
      <c r="B446" s="4" t="s">
        <v>40</v>
      </c>
      <c r="C446" s="4" t="s">
        <v>23</v>
      </c>
      <c r="D446" s="4" t="s">
        <v>41</v>
      </c>
      <c r="E446" s="4" t="s">
        <v>25</v>
      </c>
      <c r="F446" s="4" t="s">
        <v>25</v>
      </c>
      <c r="G446" s="4" t="s">
        <v>25</v>
      </c>
      <c r="H446" s="4" t="s">
        <v>25</v>
      </c>
      <c r="I446" s="5">
        <v>44621</v>
      </c>
      <c r="J446" s="6">
        <v>0</v>
      </c>
      <c r="K446" s="6">
        <v>0</v>
      </c>
      <c r="L446" s="6">
        <v>316.67200000000003</v>
      </c>
      <c r="M446" s="6">
        <v>316.67200000000003</v>
      </c>
      <c r="N446" s="6">
        <v>316.67200000000003</v>
      </c>
      <c r="O446" s="6">
        <v>316.67200000000003</v>
      </c>
      <c r="P446" s="6">
        <v>583</v>
      </c>
      <c r="Q446" s="4" t="s">
        <v>26</v>
      </c>
      <c r="R446" s="4">
        <v>0</v>
      </c>
      <c r="S446" s="6">
        <v>0</v>
      </c>
      <c r="T446" s="6">
        <v>30</v>
      </c>
      <c r="U446" s="6">
        <v>55</v>
      </c>
      <c r="V446" s="6">
        <f>IF(ISERROR(VLOOKUP($S$446,'TAR FIN'!$A$1:$O$85,15,0)),0,VLOOKUP($S$446,'TAR FIN'!$A$1:$O$85,15,0))</f>
        <v>0</v>
      </c>
      <c r="W446" s="6">
        <f>IF(ISERROR(VLOOKUP($T$446,'TAR FIN'!$A$1:$O$85,15,0)),0,VLOOKUP($T$446,'TAR FIN'!$A$1:$O$85,15,0))</f>
        <v>331.77</v>
      </c>
      <c r="X446" s="6">
        <f>IF(ISERROR(VLOOKUP($U$446,'TAR FIN'!$A$1:$O$85,15,0)),0,VLOOKUP($U$446,'TAR FIN'!$A$1:$O$85,15,0))</f>
        <v>124.36</v>
      </c>
      <c r="Y446" s="6"/>
      <c r="Z446" s="6">
        <f ca="1">('TUSD BE'!$AM$33+'TUSD BF'!$AM$33+'TUSD CVA'!$AM$33)*(1-CUSTOS!$M$38)</f>
        <v>390.73403238820225</v>
      </c>
      <c r="AA446" s="6">
        <f>('TE BE'!$AB$23+'TE BF'!$AB$23+'TE CVA'!$AB$23)*(1-CUSTOS!$M$38)</f>
        <v>127.65788581931002</v>
      </c>
      <c r="AB446" s="6">
        <f>$K$446*$V$446</f>
        <v>0</v>
      </c>
      <c r="AC446" s="6">
        <f>$M$446*$W$446</f>
        <v>105062.26944</v>
      </c>
      <c r="AD446" s="6">
        <f>$O$446*$X$446</f>
        <v>39381.329920000004</v>
      </c>
      <c r="AE446" s="6">
        <f>$K$446*$Y$446</f>
        <v>0</v>
      </c>
      <c r="AF446" s="6">
        <f ca="1">$M$446*$Z$446</f>
        <v>123734.52750443679</v>
      </c>
      <c r="AG446" s="6">
        <f>$O$446*$AA$446</f>
        <v>40425.678018172548</v>
      </c>
    </row>
    <row r="447" spans="1:33" ht="11.25" customHeight="1" x14ac:dyDescent="0.25">
      <c r="A447" s="4" t="s">
        <v>21</v>
      </c>
      <c r="B447" s="4" t="s">
        <v>40</v>
      </c>
      <c r="C447" s="4" t="s">
        <v>23</v>
      </c>
      <c r="D447" s="4" t="s">
        <v>41</v>
      </c>
      <c r="E447" s="4" t="s">
        <v>25</v>
      </c>
      <c r="F447" s="4" t="s">
        <v>25</v>
      </c>
      <c r="G447" s="4" t="s">
        <v>25</v>
      </c>
      <c r="H447" s="4" t="s">
        <v>25</v>
      </c>
      <c r="I447" s="5">
        <v>44652</v>
      </c>
      <c r="J447" s="6">
        <v>0</v>
      </c>
      <c r="K447" s="6">
        <v>0</v>
      </c>
      <c r="L447" s="6">
        <v>2843.1210000000001</v>
      </c>
      <c r="M447" s="6">
        <v>2843.1210000000001</v>
      </c>
      <c r="N447" s="6">
        <v>2843.1210000000001</v>
      </c>
      <c r="O447" s="6">
        <v>2843.1210000000001</v>
      </c>
      <c r="P447" s="6">
        <v>5557</v>
      </c>
      <c r="Q447" s="4" t="s">
        <v>26</v>
      </c>
      <c r="R447" s="4">
        <v>0</v>
      </c>
      <c r="S447" s="6">
        <v>0</v>
      </c>
      <c r="T447" s="6">
        <v>30</v>
      </c>
      <c r="U447" s="6">
        <v>55</v>
      </c>
      <c r="V447" s="6">
        <f>IF(ISERROR(VLOOKUP($S$447,'TAR FIN'!$A$1:$O$85,15,0)),0,VLOOKUP($S$447,'TAR FIN'!$A$1:$O$85,15,0))</f>
        <v>0</v>
      </c>
      <c r="W447" s="6">
        <f>IF(ISERROR(VLOOKUP($T$447,'TAR FIN'!$A$1:$O$85,15,0)),0,VLOOKUP($T$447,'TAR FIN'!$A$1:$O$85,15,0))</f>
        <v>331.77</v>
      </c>
      <c r="X447" s="6">
        <f>IF(ISERROR(VLOOKUP($U$447,'TAR FIN'!$A$1:$O$85,15,0)),0,VLOOKUP($U$447,'TAR FIN'!$A$1:$O$85,15,0))</f>
        <v>124.36</v>
      </c>
      <c r="Y447" s="6"/>
      <c r="Z447" s="6">
        <f ca="1">('TUSD BE'!$AM$33+'TUSD BF'!$AM$33+'TUSD CVA'!$AM$33)*(1-CUSTOS!$M$38)</f>
        <v>390.73403238820225</v>
      </c>
      <c r="AA447" s="6">
        <f>('TE BE'!$AB$23+'TE BF'!$AB$23+'TE CVA'!$AB$23)*(1-CUSTOS!$M$38)</f>
        <v>127.65788581931002</v>
      </c>
      <c r="AB447" s="6">
        <f>$K$447*$V$447</f>
        <v>0</v>
      </c>
      <c r="AC447" s="6">
        <f>$M$447*$W$447</f>
        <v>943262.25416999997</v>
      </c>
      <c r="AD447" s="6">
        <f>$O$447*$X$447</f>
        <v>353570.52756000002</v>
      </c>
      <c r="AE447" s="6">
        <f>$K$447*$Y$447</f>
        <v>0</v>
      </c>
      <c r="AF447" s="6">
        <f ca="1">$M$447*$Z$447</f>
        <v>1110904.1328975779</v>
      </c>
      <c r="AG447" s="6">
        <f>$O$447*$AA$447</f>
        <v>362946.81598848256</v>
      </c>
    </row>
    <row r="448" spans="1:33" ht="11.25" customHeight="1" x14ac:dyDescent="0.25">
      <c r="A448" s="4" t="s">
        <v>27</v>
      </c>
      <c r="B448" s="4" t="s">
        <v>40</v>
      </c>
      <c r="C448" s="4" t="s">
        <v>23</v>
      </c>
      <c r="D448" s="4" t="s">
        <v>41</v>
      </c>
      <c r="E448" s="4" t="s">
        <v>25</v>
      </c>
      <c r="F448" s="4" t="s">
        <v>25</v>
      </c>
      <c r="G448" s="4" t="s">
        <v>25</v>
      </c>
      <c r="H448" s="4" t="s">
        <v>25</v>
      </c>
      <c r="I448" s="5">
        <v>44652</v>
      </c>
      <c r="J448" s="6">
        <v>0</v>
      </c>
      <c r="K448" s="6">
        <v>0</v>
      </c>
      <c r="L448" s="6">
        <v>-0.64100000000000001</v>
      </c>
      <c r="M448" s="6">
        <v>-0.64100000000000001</v>
      </c>
      <c r="N448" s="6">
        <v>-0.64100000000000001</v>
      </c>
      <c r="O448" s="6">
        <v>-0.64100000000000001</v>
      </c>
      <c r="P448" s="6">
        <v>0</v>
      </c>
      <c r="Q448" s="4" t="s">
        <v>26</v>
      </c>
      <c r="R448" s="4">
        <v>0</v>
      </c>
      <c r="S448" s="6">
        <v>0</v>
      </c>
      <c r="T448" s="6">
        <v>30</v>
      </c>
      <c r="U448" s="6">
        <v>55</v>
      </c>
      <c r="V448" s="6">
        <f>IF(ISERROR(VLOOKUP($S$448,'TAR FIN'!$A$1:$O$85,15,0)),0,VLOOKUP($S$448,'TAR FIN'!$A$1:$O$85,15,0))</f>
        <v>0</v>
      </c>
      <c r="W448" s="6">
        <f>IF(ISERROR(VLOOKUP($T$448,'TAR FIN'!$A$1:$O$85,15,0)),0,VLOOKUP($T$448,'TAR FIN'!$A$1:$O$85,15,0))</f>
        <v>331.77</v>
      </c>
      <c r="X448" s="6">
        <f>IF(ISERROR(VLOOKUP($U$448,'TAR FIN'!$A$1:$O$85,15,0)),0,VLOOKUP($U$448,'TAR FIN'!$A$1:$O$85,15,0))</f>
        <v>124.36</v>
      </c>
      <c r="Y448" s="6"/>
      <c r="Z448" s="6">
        <f ca="1">('TUSD BE'!$AM$33+'TUSD BF'!$AM$33+'TUSD CVA'!$AM$33)*(1-CUSTOS!$M$38)</f>
        <v>390.73403238820225</v>
      </c>
      <c r="AA448" s="6">
        <f>('TE BE'!$AB$23+'TE BF'!$AB$23+'TE CVA'!$AB$23)*(1-CUSTOS!$M$38)</f>
        <v>127.65788581931002</v>
      </c>
      <c r="AB448" s="6">
        <f>$K$448*$V$448</f>
        <v>0</v>
      </c>
      <c r="AC448" s="6">
        <f>$M$448*$W$448</f>
        <v>-212.66457</v>
      </c>
      <c r="AD448" s="6">
        <f>$O$448*$X$448</f>
        <v>-79.714759999999998</v>
      </c>
      <c r="AE448" s="6">
        <f>$K$448*$Y$448</f>
        <v>0</v>
      </c>
      <c r="AF448" s="6">
        <f ca="1">$M$448*$Z$448</f>
        <v>-250.46051476083764</v>
      </c>
      <c r="AG448" s="6">
        <f>$O$448*$AA$448</f>
        <v>-81.828704810177726</v>
      </c>
    </row>
    <row r="449" spans="1:33" ht="11.25" customHeight="1" x14ac:dyDescent="0.25">
      <c r="A449" s="4" t="s">
        <v>28</v>
      </c>
      <c r="B449" s="4" t="s">
        <v>40</v>
      </c>
      <c r="C449" s="4" t="s">
        <v>23</v>
      </c>
      <c r="D449" s="4" t="s">
        <v>41</v>
      </c>
      <c r="E449" s="4" t="s">
        <v>25</v>
      </c>
      <c r="F449" s="4" t="s">
        <v>25</v>
      </c>
      <c r="G449" s="4" t="s">
        <v>25</v>
      </c>
      <c r="H449" s="4" t="s">
        <v>25</v>
      </c>
      <c r="I449" s="5">
        <v>44652</v>
      </c>
      <c r="J449" s="6">
        <v>0</v>
      </c>
      <c r="K449" s="6">
        <v>0</v>
      </c>
      <c r="L449" s="6">
        <v>291.96100000000001</v>
      </c>
      <c r="M449" s="6">
        <v>291.96100000000001</v>
      </c>
      <c r="N449" s="6">
        <v>291.96100000000001</v>
      </c>
      <c r="O449" s="6">
        <v>291.96100000000001</v>
      </c>
      <c r="P449" s="6">
        <v>607</v>
      </c>
      <c r="Q449" s="4" t="s">
        <v>26</v>
      </c>
      <c r="R449" s="4">
        <v>0</v>
      </c>
      <c r="S449" s="6">
        <v>0</v>
      </c>
      <c r="T449" s="6">
        <v>30</v>
      </c>
      <c r="U449" s="6">
        <v>55</v>
      </c>
      <c r="V449" s="6">
        <f>IF(ISERROR(VLOOKUP($S$449,'TAR FIN'!$A$1:$O$85,15,0)),0,VLOOKUP($S$449,'TAR FIN'!$A$1:$O$85,15,0))</f>
        <v>0</v>
      </c>
      <c r="W449" s="6">
        <f>IF(ISERROR(VLOOKUP($T$449,'TAR FIN'!$A$1:$O$85,15,0)),0,VLOOKUP($T$449,'TAR FIN'!$A$1:$O$85,15,0))</f>
        <v>331.77</v>
      </c>
      <c r="X449" s="6">
        <f>IF(ISERROR(VLOOKUP($U$449,'TAR FIN'!$A$1:$O$85,15,0)),0,VLOOKUP($U$449,'TAR FIN'!$A$1:$O$85,15,0))</f>
        <v>124.36</v>
      </c>
      <c r="Y449" s="6"/>
      <c r="Z449" s="6">
        <f ca="1">('TUSD BE'!$AM$33+'TUSD BF'!$AM$33+'TUSD CVA'!$AM$33)*(1-CUSTOS!$M$38)</f>
        <v>390.73403238820225</v>
      </c>
      <c r="AA449" s="6">
        <f>('TE BE'!$AB$23+'TE BF'!$AB$23+'TE CVA'!$AB$23)*(1-CUSTOS!$M$38)</f>
        <v>127.65788581931002</v>
      </c>
      <c r="AB449" s="6">
        <f>$K$449*$V$449</f>
        <v>0</v>
      </c>
      <c r="AC449" s="6">
        <f>$M$449*$W$449</f>
        <v>96863.900970000002</v>
      </c>
      <c r="AD449" s="6">
        <f>$O$449*$X$449</f>
        <v>36308.269959999998</v>
      </c>
      <c r="AE449" s="6">
        <f>$K$449*$Y$449</f>
        <v>0</v>
      </c>
      <c r="AF449" s="6">
        <f ca="1">$M$449*$Z$449</f>
        <v>114079.09883009193</v>
      </c>
      <c r="AG449" s="6">
        <f>$O$449*$AA$449</f>
        <v>37271.124001691576</v>
      </c>
    </row>
    <row r="450" spans="1:33" ht="11.25" customHeight="1" x14ac:dyDescent="0.25">
      <c r="A450" s="4" t="s">
        <v>28</v>
      </c>
      <c r="B450" s="4" t="s">
        <v>40</v>
      </c>
      <c r="C450" s="4" t="s">
        <v>23</v>
      </c>
      <c r="D450" s="4" t="s">
        <v>41</v>
      </c>
      <c r="E450" s="4" t="s">
        <v>25</v>
      </c>
      <c r="F450" s="4" t="s">
        <v>25</v>
      </c>
      <c r="G450" s="4" t="s">
        <v>25</v>
      </c>
      <c r="H450" s="4" t="s">
        <v>25</v>
      </c>
      <c r="I450" s="5">
        <v>44652</v>
      </c>
      <c r="J450" s="6">
        <v>0</v>
      </c>
      <c r="K450" s="6">
        <v>0</v>
      </c>
      <c r="L450" s="6">
        <v>-4.2</v>
      </c>
      <c r="M450" s="6">
        <v>-4.2</v>
      </c>
      <c r="N450" s="6">
        <v>-4.2</v>
      </c>
      <c r="O450" s="6">
        <v>-4.2</v>
      </c>
      <c r="P450" s="6">
        <v>2</v>
      </c>
      <c r="Q450" s="4" t="s">
        <v>26</v>
      </c>
      <c r="R450" s="4">
        <v>0</v>
      </c>
      <c r="S450" s="6">
        <v>0</v>
      </c>
      <c r="T450" s="6">
        <v>30</v>
      </c>
      <c r="U450" s="6">
        <v>55</v>
      </c>
      <c r="V450" s="6">
        <f>IF(ISERROR(VLOOKUP($S$450,'TAR FIN'!$A$1:$O$85,15,0)),0,VLOOKUP($S$450,'TAR FIN'!$A$1:$O$85,15,0))</f>
        <v>0</v>
      </c>
      <c r="W450" s="6">
        <f>IF(ISERROR(VLOOKUP($T$450,'TAR FIN'!$A$1:$O$85,15,0)),0,VLOOKUP($T$450,'TAR FIN'!$A$1:$O$85,15,0))</f>
        <v>331.77</v>
      </c>
      <c r="X450" s="6">
        <f>IF(ISERROR(VLOOKUP($U$450,'TAR FIN'!$A$1:$O$85,15,0)),0,VLOOKUP($U$450,'TAR FIN'!$A$1:$O$85,15,0))</f>
        <v>124.36</v>
      </c>
      <c r="Y450" s="6"/>
      <c r="Z450" s="6">
        <f ca="1">('TUSD BE'!$AM$33+'TUSD BF'!$AM$33+'TUSD CVA'!$AM$33)*(1-CUSTOS!$M$38)</f>
        <v>390.73403238820225</v>
      </c>
      <c r="AA450" s="6">
        <f>('TE BE'!$AB$23+'TE BF'!$AB$23+'TE CVA'!$AB$23)*(1-CUSTOS!$M$38)</f>
        <v>127.65788581931002</v>
      </c>
      <c r="AB450" s="6">
        <f>$K$450*$V$450</f>
        <v>0</v>
      </c>
      <c r="AC450" s="6">
        <f>$M$450*$W$450</f>
        <v>-1393.434</v>
      </c>
      <c r="AD450" s="6">
        <f>$O$450*$X$450</f>
        <v>-522.31200000000001</v>
      </c>
      <c r="AE450" s="6">
        <f>$K$450*$Y$450</f>
        <v>0</v>
      </c>
      <c r="AF450" s="6">
        <f ca="1">$M$450*$Z$450</f>
        <v>-1641.0829360304494</v>
      </c>
      <c r="AG450" s="6">
        <f>$O$450*$AA$450</f>
        <v>-536.16312044110214</v>
      </c>
    </row>
    <row r="451" spans="1:33" ht="11.25" customHeight="1" x14ac:dyDescent="0.25">
      <c r="A451" s="4" t="s">
        <v>21</v>
      </c>
      <c r="B451" s="4" t="s">
        <v>40</v>
      </c>
      <c r="C451" s="4" t="s">
        <v>23</v>
      </c>
      <c r="D451" s="4" t="s">
        <v>41</v>
      </c>
      <c r="E451" s="4" t="s">
        <v>25</v>
      </c>
      <c r="F451" s="4" t="s">
        <v>25</v>
      </c>
      <c r="G451" s="4" t="s">
        <v>25</v>
      </c>
      <c r="H451" s="4" t="s">
        <v>25</v>
      </c>
      <c r="I451" s="5">
        <v>44682</v>
      </c>
      <c r="J451" s="6">
        <v>0</v>
      </c>
      <c r="K451" s="6">
        <v>0</v>
      </c>
      <c r="L451" s="6">
        <v>2531.2399999999998</v>
      </c>
      <c r="M451" s="6">
        <v>2531.2399999999998</v>
      </c>
      <c r="N451" s="6">
        <v>2531.2399999999998</v>
      </c>
      <c r="O451" s="6">
        <v>2531.2399999999998</v>
      </c>
      <c r="P451" s="6">
        <v>5523</v>
      </c>
      <c r="Q451" s="4" t="s">
        <v>26</v>
      </c>
      <c r="R451" s="4">
        <v>0</v>
      </c>
      <c r="S451" s="6">
        <v>0</v>
      </c>
      <c r="T451" s="6">
        <v>30</v>
      </c>
      <c r="U451" s="6">
        <v>55</v>
      </c>
      <c r="V451" s="6">
        <f>IF(ISERROR(VLOOKUP($S$451,'TAR FIN'!$A$1:$O$85,15,0)),0,VLOOKUP($S$451,'TAR FIN'!$A$1:$O$85,15,0))</f>
        <v>0</v>
      </c>
      <c r="W451" s="6">
        <f>IF(ISERROR(VLOOKUP($T$451,'TAR FIN'!$A$1:$O$85,15,0)),0,VLOOKUP($T$451,'TAR FIN'!$A$1:$O$85,15,0))</f>
        <v>331.77</v>
      </c>
      <c r="X451" s="6">
        <f>IF(ISERROR(VLOOKUP($U$451,'TAR FIN'!$A$1:$O$85,15,0)),0,VLOOKUP($U$451,'TAR FIN'!$A$1:$O$85,15,0))</f>
        <v>124.36</v>
      </c>
      <c r="Y451" s="6"/>
      <c r="Z451" s="6">
        <f ca="1">('TUSD BE'!$AM$33+'TUSD BF'!$AM$33+'TUSD CVA'!$AM$33)*(1-CUSTOS!$M$38)</f>
        <v>390.73403238820225</v>
      </c>
      <c r="AA451" s="6">
        <f>('TE BE'!$AB$23+'TE BF'!$AB$23+'TE CVA'!$AB$23)*(1-CUSTOS!$M$38)</f>
        <v>127.65788581931002</v>
      </c>
      <c r="AB451" s="6">
        <f>$K$451*$V$451</f>
        <v>0</v>
      </c>
      <c r="AC451" s="6">
        <f>$M$451*$W$451</f>
        <v>839789.49479999987</v>
      </c>
      <c r="AD451" s="6">
        <f>$O$451*$X$451</f>
        <v>314785.00639999995</v>
      </c>
      <c r="AE451" s="6">
        <f>$K$451*$Y$451</f>
        <v>0</v>
      </c>
      <c r="AF451" s="6">
        <f ca="1">$M$451*$Z$451</f>
        <v>989041.61214231304</v>
      </c>
      <c r="AG451" s="6">
        <f>$O$451*$AA$451</f>
        <v>323132.74690127029</v>
      </c>
    </row>
    <row r="452" spans="1:33" ht="11.25" customHeight="1" x14ac:dyDescent="0.25">
      <c r="A452" s="4" t="s">
        <v>27</v>
      </c>
      <c r="B452" s="4" t="s">
        <v>40</v>
      </c>
      <c r="C452" s="4" t="s">
        <v>23</v>
      </c>
      <c r="D452" s="4" t="s">
        <v>41</v>
      </c>
      <c r="E452" s="4" t="s">
        <v>25</v>
      </c>
      <c r="F452" s="4" t="s">
        <v>25</v>
      </c>
      <c r="G452" s="4" t="s">
        <v>25</v>
      </c>
      <c r="H452" s="4" t="s">
        <v>25</v>
      </c>
      <c r="I452" s="5">
        <v>44682</v>
      </c>
      <c r="J452" s="6">
        <v>0</v>
      </c>
      <c r="K452" s="6">
        <v>0</v>
      </c>
      <c r="L452" s="6">
        <v>-4.556</v>
      </c>
      <c r="M452" s="6">
        <v>-4.556</v>
      </c>
      <c r="N452" s="6">
        <v>-4.556</v>
      </c>
      <c r="O452" s="6">
        <v>-4.556</v>
      </c>
      <c r="P452" s="6">
        <v>0</v>
      </c>
      <c r="Q452" s="4" t="s">
        <v>26</v>
      </c>
      <c r="R452" s="4">
        <v>0</v>
      </c>
      <c r="S452" s="6">
        <v>0</v>
      </c>
      <c r="T452" s="6">
        <v>30</v>
      </c>
      <c r="U452" s="6">
        <v>55</v>
      </c>
      <c r="V452" s="6">
        <f>IF(ISERROR(VLOOKUP($S$452,'TAR FIN'!$A$1:$O$85,15,0)),0,VLOOKUP($S$452,'TAR FIN'!$A$1:$O$85,15,0))</f>
        <v>0</v>
      </c>
      <c r="W452" s="6">
        <f>IF(ISERROR(VLOOKUP($T$452,'TAR FIN'!$A$1:$O$85,15,0)),0,VLOOKUP($T$452,'TAR FIN'!$A$1:$O$85,15,0))</f>
        <v>331.77</v>
      </c>
      <c r="X452" s="6">
        <f>IF(ISERROR(VLOOKUP($U$452,'TAR FIN'!$A$1:$O$85,15,0)),0,VLOOKUP($U$452,'TAR FIN'!$A$1:$O$85,15,0))</f>
        <v>124.36</v>
      </c>
      <c r="Y452" s="6"/>
      <c r="Z452" s="6">
        <f ca="1">('TUSD BE'!$AM$33+'TUSD BF'!$AM$33+'TUSD CVA'!$AM$33)*(1-CUSTOS!$M$38)</f>
        <v>390.73403238820225</v>
      </c>
      <c r="AA452" s="6">
        <f>('TE BE'!$AB$23+'TE BF'!$AB$23+'TE CVA'!$AB$23)*(1-CUSTOS!$M$38)</f>
        <v>127.65788581931002</v>
      </c>
      <c r="AB452" s="6">
        <f>$K$452*$V$452</f>
        <v>0</v>
      </c>
      <c r="AC452" s="6">
        <f>$M$452*$W$452</f>
        <v>-1511.54412</v>
      </c>
      <c r="AD452" s="6">
        <f>$O$452*$X$452</f>
        <v>-566.58416</v>
      </c>
      <c r="AE452" s="6">
        <f>$K$452*$Y$452</f>
        <v>0</v>
      </c>
      <c r="AF452" s="6">
        <f ca="1">$M$452*$Z$452</f>
        <v>-1780.1842515606495</v>
      </c>
      <c r="AG452" s="6">
        <f>$O$452*$AA$452</f>
        <v>-581.60932779277653</v>
      </c>
    </row>
    <row r="453" spans="1:33" ht="11.25" customHeight="1" x14ac:dyDescent="0.25">
      <c r="A453" s="4" t="s">
        <v>28</v>
      </c>
      <c r="B453" s="4" t="s">
        <v>40</v>
      </c>
      <c r="C453" s="4" t="s">
        <v>23</v>
      </c>
      <c r="D453" s="4" t="s">
        <v>41</v>
      </c>
      <c r="E453" s="4" t="s">
        <v>25</v>
      </c>
      <c r="F453" s="4" t="s">
        <v>25</v>
      </c>
      <c r="G453" s="4" t="s">
        <v>25</v>
      </c>
      <c r="H453" s="4" t="s">
        <v>25</v>
      </c>
      <c r="I453" s="5">
        <v>44682</v>
      </c>
      <c r="J453" s="6">
        <v>0</v>
      </c>
      <c r="K453" s="6">
        <v>0</v>
      </c>
      <c r="L453" s="6">
        <v>275.31900000000002</v>
      </c>
      <c r="M453" s="6">
        <v>275.31900000000002</v>
      </c>
      <c r="N453" s="6">
        <v>275.31900000000002</v>
      </c>
      <c r="O453" s="6">
        <v>275.31900000000002</v>
      </c>
      <c r="P453" s="6">
        <v>638</v>
      </c>
      <c r="Q453" s="4" t="s">
        <v>26</v>
      </c>
      <c r="R453" s="4">
        <v>0</v>
      </c>
      <c r="S453" s="6">
        <v>0</v>
      </c>
      <c r="T453" s="6">
        <v>30</v>
      </c>
      <c r="U453" s="6">
        <v>55</v>
      </c>
      <c r="V453" s="6">
        <f>IF(ISERROR(VLOOKUP($S$453,'TAR FIN'!$A$1:$O$85,15,0)),0,VLOOKUP($S$453,'TAR FIN'!$A$1:$O$85,15,0))</f>
        <v>0</v>
      </c>
      <c r="W453" s="6">
        <f>IF(ISERROR(VLOOKUP($T$453,'TAR FIN'!$A$1:$O$85,15,0)),0,VLOOKUP($T$453,'TAR FIN'!$A$1:$O$85,15,0))</f>
        <v>331.77</v>
      </c>
      <c r="X453" s="6">
        <f>IF(ISERROR(VLOOKUP($U$453,'TAR FIN'!$A$1:$O$85,15,0)),0,VLOOKUP($U$453,'TAR FIN'!$A$1:$O$85,15,0))</f>
        <v>124.36</v>
      </c>
      <c r="Y453" s="6"/>
      <c r="Z453" s="6">
        <f ca="1">('TUSD BE'!$AM$33+'TUSD BF'!$AM$33+'TUSD CVA'!$AM$33)*(1-CUSTOS!$M$38)</f>
        <v>390.73403238820225</v>
      </c>
      <c r="AA453" s="6">
        <f>('TE BE'!$AB$23+'TE BF'!$AB$23+'TE CVA'!$AB$23)*(1-CUSTOS!$M$38)</f>
        <v>127.65788581931002</v>
      </c>
      <c r="AB453" s="6">
        <f>$K$453*$V$453</f>
        <v>0</v>
      </c>
      <c r="AC453" s="6">
        <f>$M$453*$W$453</f>
        <v>91342.584629999998</v>
      </c>
      <c r="AD453" s="6">
        <f>$O$453*$X$453</f>
        <v>34238.670839999999</v>
      </c>
      <c r="AE453" s="6">
        <f>$K$453*$Y$453</f>
        <v>0</v>
      </c>
      <c r="AF453" s="6">
        <f ca="1">$M$453*$Z$453</f>
        <v>107576.50306308747</v>
      </c>
      <c r="AG453" s="6">
        <f>$O$453*$AA$453</f>
        <v>35146.64146588662</v>
      </c>
    </row>
    <row r="454" spans="1:33" ht="11.25" customHeight="1" x14ac:dyDescent="0.25">
      <c r="A454" s="4" t="s">
        <v>28</v>
      </c>
      <c r="B454" s="4" t="s">
        <v>40</v>
      </c>
      <c r="C454" s="4" t="s">
        <v>23</v>
      </c>
      <c r="D454" s="4" t="s">
        <v>41</v>
      </c>
      <c r="E454" s="4" t="s">
        <v>25</v>
      </c>
      <c r="F454" s="4" t="s">
        <v>25</v>
      </c>
      <c r="G454" s="4" t="s">
        <v>25</v>
      </c>
      <c r="H454" s="4" t="s">
        <v>25</v>
      </c>
      <c r="I454" s="5">
        <v>44682</v>
      </c>
      <c r="J454" s="6">
        <v>0</v>
      </c>
      <c r="K454" s="6">
        <v>0</v>
      </c>
      <c r="L454" s="6">
        <v>-0.96399999999999997</v>
      </c>
      <c r="M454" s="6">
        <v>-0.96399999999999997</v>
      </c>
      <c r="N454" s="6">
        <v>-0.96399999999999997</v>
      </c>
      <c r="O454" s="6">
        <v>-0.96399999999999997</v>
      </c>
      <c r="P454" s="6">
        <v>2</v>
      </c>
      <c r="Q454" s="4" t="s">
        <v>26</v>
      </c>
      <c r="R454" s="4">
        <v>0</v>
      </c>
      <c r="S454" s="6">
        <v>0</v>
      </c>
      <c r="T454" s="6">
        <v>30</v>
      </c>
      <c r="U454" s="6">
        <v>55</v>
      </c>
      <c r="V454" s="6">
        <f>IF(ISERROR(VLOOKUP($S$454,'TAR FIN'!$A$1:$O$85,15,0)),0,VLOOKUP($S$454,'TAR FIN'!$A$1:$O$85,15,0))</f>
        <v>0</v>
      </c>
      <c r="W454" s="6">
        <f>IF(ISERROR(VLOOKUP($T$454,'TAR FIN'!$A$1:$O$85,15,0)),0,VLOOKUP($T$454,'TAR FIN'!$A$1:$O$85,15,0))</f>
        <v>331.77</v>
      </c>
      <c r="X454" s="6">
        <f>IF(ISERROR(VLOOKUP($U$454,'TAR FIN'!$A$1:$O$85,15,0)),0,VLOOKUP($U$454,'TAR FIN'!$A$1:$O$85,15,0))</f>
        <v>124.36</v>
      </c>
      <c r="Y454" s="6"/>
      <c r="Z454" s="6">
        <f ca="1">('TUSD BE'!$AM$33+'TUSD BF'!$AM$33+'TUSD CVA'!$AM$33)*(1-CUSTOS!$M$38)</f>
        <v>390.73403238820225</v>
      </c>
      <c r="AA454" s="6">
        <f>('TE BE'!$AB$23+'TE BF'!$AB$23+'TE CVA'!$AB$23)*(1-CUSTOS!$M$38)</f>
        <v>127.65788581931002</v>
      </c>
      <c r="AB454" s="6">
        <f>$K$454*$V$454</f>
        <v>0</v>
      </c>
      <c r="AC454" s="6">
        <f>$M$454*$W$454</f>
        <v>-319.82628</v>
      </c>
      <c r="AD454" s="6">
        <f>$O$454*$X$454</f>
        <v>-119.88303999999999</v>
      </c>
      <c r="AE454" s="6">
        <f>$K$454*$Y$454</f>
        <v>0</v>
      </c>
      <c r="AF454" s="6">
        <f ca="1">$M$454*$Z$454</f>
        <v>-376.66760722222693</v>
      </c>
      <c r="AG454" s="6">
        <f>$O$454*$AA$454</f>
        <v>-123.06220192981486</v>
      </c>
    </row>
    <row r="455" spans="1:33" ht="11.25" customHeight="1" x14ac:dyDescent="0.25">
      <c r="A455" s="4" t="s">
        <v>21</v>
      </c>
      <c r="B455" s="4" t="s">
        <v>40</v>
      </c>
      <c r="C455" s="4" t="s">
        <v>23</v>
      </c>
      <c r="D455" s="4" t="s">
        <v>41</v>
      </c>
      <c r="E455" s="4" t="s">
        <v>25</v>
      </c>
      <c r="F455" s="4" t="s">
        <v>25</v>
      </c>
      <c r="G455" s="4" t="s">
        <v>25</v>
      </c>
      <c r="H455" s="4" t="s">
        <v>25</v>
      </c>
      <c r="I455" s="5">
        <v>44713</v>
      </c>
      <c r="J455" s="6">
        <v>0</v>
      </c>
      <c r="K455" s="6">
        <v>0</v>
      </c>
      <c r="L455" s="6">
        <v>2534.9430000000002</v>
      </c>
      <c r="M455" s="6">
        <v>2534.9430000000002</v>
      </c>
      <c r="N455" s="6">
        <v>2534.9430000000002</v>
      </c>
      <c r="O455" s="6">
        <v>2534.9430000000002</v>
      </c>
      <c r="P455" s="6">
        <v>5536</v>
      </c>
      <c r="Q455" s="4" t="s">
        <v>26</v>
      </c>
      <c r="R455" s="4">
        <v>0</v>
      </c>
      <c r="S455" s="6">
        <v>0</v>
      </c>
      <c r="T455" s="6">
        <v>30</v>
      </c>
      <c r="U455" s="6">
        <v>55</v>
      </c>
      <c r="V455" s="6">
        <f>IF(ISERROR(VLOOKUP($S$455,'TAR FIN'!$A$1:$O$85,15,0)),0,VLOOKUP($S$455,'TAR FIN'!$A$1:$O$85,15,0))</f>
        <v>0</v>
      </c>
      <c r="W455" s="6">
        <f>IF(ISERROR(VLOOKUP($T$455,'TAR FIN'!$A$1:$O$85,15,0)),0,VLOOKUP($T$455,'TAR FIN'!$A$1:$O$85,15,0))</f>
        <v>331.77</v>
      </c>
      <c r="X455" s="6">
        <f>IF(ISERROR(VLOOKUP($U$455,'TAR FIN'!$A$1:$O$85,15,0)),0,VLOOKUP($U$455,'TAR FIN'!$A$1:$O$85,15,0))</f>
        <v>124.36</v>
      </c>
      <c r="Y455" s="6"/>
      <c r="Z455" s="6">
        <f ca="1">('TUSD BE'!$AM$33+'TUSD BF'!$AM$33+'TUSD CVA'!$AM$33)*(1-CUSTOS!$M$38)</f>
        <v>390.73403238820225</v>
      </c>
      <c r="AA455" s="6">
        <f>('TE BE'!$AB$23+'TE BF'!$AB$23+'TE CVA'!$AB$23)*(1-CUSTOS!$M$38)</f>
        <v>127.65788581931002</v>
      </c>
      <c r="AB455" s="6">
        <f>$K$455*$V$455</f>
        <v>0</v>
      </c>
      <c r="AC455" s="6">
        <f>$M$455*$W$455</f>
        <v>841018.03911000001</v>
      </c>
      <c r="AD455" s="6">
        <f>$O$455*$X$455</f>
        <v>315245.51148000004</v>
      </c>
      <c r="AE455" s="6">
        <f>$K$455*$Y$455</f>
        <v>0</v>
      </c>
      <c r="AF455" s="6">
        <f ca="1">$M$455*$Z$455</f>
        <v>990488.50026424672</v>
      </c>
      <c r="AG455" s="6">
        <f>$O$455*$AA$455</f>
        <v>323605.46405245923</v>
      </c>
    </row>
    <row r="456" spans="1:33" ht="11.25" customHeight="1" x14ac:dyDescent="0.25">
      <c r="A456" s="4" t="s">
        <v>27</v>
      </c>
      <c r="B456" s="4" t="s">
        <v>40</v>
      </c>
      <c r="C456" s="4" t="s">
        <v>23</v>
      </c>
      <c r="D456" s="4" t="s">
        <v>41</v>
      </c>
      <c r="E456" s="4" t="s">
        <v>25</v>
      </c>
      <c r="F456" s="4" t="s">
        <v>25</v>
      </c>
      <c r="G456" s="4" t="s">
        <v>25</v>
      </c>
      <c r="H456" s="4" t="s">
        <v>25</v>
      </c>
      <c r="I456" s="5">
        <v>44713</v>
      </c>
      <c r="J456" s="6">
        <v>0</v>
      </c>
      <c r="K456" s="6">
        <v>0</v>
      </c>
      <c r="L456" s="6">
        <v>-2.081</v>
      </c>
      <c r="M456" s="6">
        <v>-2.081</v>
      </c>
      <c r="N456" s="6">
        <v>-2.081</v>
      </c>
      <c r="O456" s="6">
        <v>-2.081</v>
      </c>
      <c r="P456" s="6">
        <v>0</v>
      </c>
      <c r="Q456" s="4" t="s">
        <v>26</v>
      </c>
      <c r="R456" s="4">
        <v>0</v>
      </c>
      <c r="S456" s="6">
        <v>0</v>
      </c>
      <c r="T456" s="6">
        <v>30</v>
      </c>
      <c r="U456" s="6">
        <v>55</v>
      </c>
      <c r="V456" s="6">
        <f>IF(ISERROR(VLOOKUP($S$456,'TAR FIN'!$A$1:$O$85,15,0)),0,VLOOKUP($S$456,'TAR FIN'!$A$1:$O$85,15,0))</f>
        <v>0</v>
      </c>
      <c r="W456" s="6">
        <f>IF(ISERROR(VLOOKUP($T$456,'TAR FIN'!$A$1:$O$85,15,0)),0,VLOOKUP($T$456,'TAR FIN'!$A$1:$O$85,15,0))</f>
        <v>331.77</v>
      </c>
      <c r="X456" s="6">
        <f>IF(ISERROR(VLOOKUP($U$456,'TAR FIN'!$A$1:$O$85,15,0)),0,VLOOKUP($U$456,'TAR FIN'!$A$1:$O$85,15,0))</f>
        <v>124.36</v>
      </c>
      <c r="Y456" s="6"/>
      <c r="Z456" s="6">
        <f ca="1">('TUSD BE'!$AM$33+'TUSD BF'!$AM$33+'TUSD CVA'!$AM$33)*(1-CUSTOS!$M$38)</f>
        <v>390.73403238820225</v>
      </c>
      <c r="AA456" s="6">
        <f>('TE BE'!$AB$23+'TE BF'!$AB$23+'TE CVA'!$AB$23)*(1-CUSTOS!$M$38)</f>
        <v>127.65788581931002</v>
      </c>
      <c r="AB456" s="6">
        <f>$K$456*$V$456</f>
        <v>0</v>
      </c>
      <c r="AC456" s="6">
        <f>$M$456*$W$456</f>
        <v>-690.41336999999999</v>
      </c>
      <c r="AD456" s="6">
        <f>$O$456*$X$456</f>
        <v>-258.79316</v>
      </c>
      <c r="AE456" s="6">
        <f>$K$456*$Y$456</f>
        <v>0</v>
      </c>
      <c r="AF456" s="6">
        <f ca="1">$M$456*$Z$456</f>
        <v>-813.1175213998489</v>
      </c>
      <c r="AG456" s="6">
        <f>$O$456*$AA$456</f>
        <v>-265.65606038998413</v>
      </c>
    </row>
    <row r="457" spans="1:33" ht="11.25" customHeight="1" x14ac:dyDescent="0.25">
      <c r="A457" s="4" t="s">
        <v>28</v>
      </c>
      <c r="B457" s="4" t="s">
        <v>40</v>
      </c>
      <c r="C457" s="4" t="s">
        <v>23</v>
      </c>
      <c r="D457" s="4" t="s">
        <v>41</v>
      </c>
      <c r="E457" s="4" t="s">
        <v>25</v>
      </c>
      <c r="F457" s="4" t="s">
        <v>25</v>
      </c>
      <c r="G457" s="4" t="s">
        <v>25</v>
      </c>
      <c r="H457" s="4" t="s">
        <v>25</v>
      </c>
      <c r="I457" s="5">
        <v>44713</v>
      </c>
      <c r="J457" s="6">
        <v>0</v>
      </c>
      <c r="K457" s="6">
        <v>0</v>
      </c>
      <c r="L457" s="6">
        <v>334.767</v>
      </c>
      <c r="M457" s="6">
        <v>334.767</v>
      </c>
      <c r="N457" s="6">
        <v>334.767</v>
      </c>
      <c r="O457" s="6">
        <v>334.767</v>
      </c>
      <c r="P457" s="6">
        <v>616</v>
      </c>
      <c r="Q457" s="4" t="s">
        <v>26</v>
      </c>
      <c r="R457" s="4">
        <v>0</v>
      </c>
      <c r="S457" s="6">
        <v>0</v>
      </c>
      <c r="T457" s="6">
        <v>30</v>
      </c>
      <c r="U457" s="6">
        <v>55</v>
      </c>
      <c r="V457" s="6">
        <f>IF(ISERROR(VLOOKUP($S$457,'TAR FIN'!$A$1:$O$85,15,0)),0,VLOOKUP($S$457,'TAR FIN'!$A$1:$O$85,15,0))</f>
        <v>0</v>
      </c>
      <c r="W457" s="6">
        <f>IF(ISERROR(VLOOKUP($T$457,'TAR FIN'!$A$1:$O$85,15,0)),0,VLOOKUP($T$457,'TAR FIN'!$A$1:$O$85,15,0))</f>
        <v>331.77</v>
      </c>
      <c r="X457" s="6">
        <f>IF(ISERROR(VLOOKUP($U$457,'TAR FIN'!$A$1:$O$85,15,0)),0,VLOOKUP($U$457,'TAR FIN'!$A$1:$O$85,15,0))</f>
        <v>124.36</v>
      </c>
      <c r="Y457" s="6"/>
      <c r="Z457" s="6">
        <f ca="1">('TUSD BE'!$AM$33+'TUSD BF'!$AM$33+'TUSD CVA'!$AM$33)*(1-CUSTOS!$M$38)</f>
        <v>390.73403238820225</v>
      </c>
      <c r="AA457" s="6">
        <f>('TE BE'!$AB$23+'TE BF'!$AB$23+'TE CVA'!$AB$23)*(1-CUSTOS!$M$38)</f>
        <v>127.65788581931002</v>
      </c>
      <c r="AB457" s="6">
        <f>$K$457*$V$457</f>
        <v>0</v>
      </c>
      <c r="AC457" s="6">
        <f>$M$457*$W$457</f>
        <v>111065.64758999999</v>
      </c>
      <c r="AD457" s="6">
        <f>$O$457*$X$457</f>
        <v>41631.62412</v>
      </c>
      <c r="AE457" s="6">
        <f>$K$457*$Y$457</f>
        <v>0</v>
      </c>
      <c r="AF457" s="6">
        <f ca="1">$M$457*$Z$457</f>
        <v>130804.8598205013</v>
      </c>
      <c r="AG457" s="6">
        <f>$O$457*$AA$457</f>
        <v>42735.647462072957</v>
      </c>
    </row>
    <row r="458" spans="1:33" ht="11.25" customHeight="1" x14ac:dyDescent="0.25">
      <c r="A458" s="4" t="s">
        <v>21</v>
      </c>
      <c r="B458" s="4" t="s">
        <v>40</v>
      </c>
      <c r="C458" s="4" t="s">
        <v>23</v>
      </c>
      <c r="D458" s="4" t="s">
        <v>41</v>
      </c>
      <c r="E458" s="4" t="s">
        <v>25</v>
      </c>
      <c r="F458" s="4" t="s">
        <v>25</v>
      </c>
      <c r="G458" s="4" t="s">
        <v>25</v>
      </c>
      <c r="H458" s="4" t="s">
        <v>25</v>
      </c>
      <c r="I458" s="5">
        <v>44743</v>
      </c>
      <c r="J458" s="6">
        <v>0</v>
      </c>
      <c r="K458" s="6">
        <v>0</v>
      </c>
      <c r="L458" s="6">
        <v>2482.971</v>
      </c>
      <c r="M458" s="6">
        <v>2482.971</v>
      </c>
      <c r="N458" s="6">
        <v>2482.971</v>
      </c>
      <c r="O458" s="6">
        <v>2482.971</v>
      </c>
      <c r="P458" s="6">
        <v>5517</v>
      </c>
      <c r="Q458" s="4" t="s">
        <v>26</v>
      </c>
      <c r="R458" s="4">
        <v>0</v>
      </c>
      <c r="S458" s="6">
        <v>0</v>
      </c>
      <c r="T458" s="6">
        <v>30</v>
      </c>
      <c r="U458" s="6">
        <v>55</v>
      </c>
      <c r="V458" s="6">
        <f>IF(ISERROR(VLOOKUP($S$458,'TAR FIN'!$A$1:$O$85,15,0)),0,VLOOKUP($S$458,'TAR FIN'!$A$1:$O$85,15,0))</f>
        <v>0</v>
      </c>
      <c r="W458" s="6">
        <f>IF(ISERROR(VLOOKUP($T$458,'TAR FIN'!$A$1:$O$85,15,0)),0,VLOOKUP($T$458,'TAR FIN'!$A$1:$O$85,15,0))</f>
        <v>331.77</v>
      </c>
      <c r="X458" s="6">
        <f>IF(ISERROR(VLOOKUP($U$458,'TAR FIN'!$A$1:$O$85,15,0)),0,VLOOKUP($U$458,'TAR FIN'!$A$1:$O$85,15,0))</f>
        <v>124.36</v>
      </c>
      <c r="Y458" s="6"/>
      <c r="Z458" s="6">
        <f ca="1">('TUSD BE'!$AM$33+'TUSD BF'!$AM$33+'TUSD CVA'!$AM$33)*(1-CUSTOS!$M$38)</f>
        <v>390.73403238820225</v>
      </c>
      <c r="AA458" s="6">
        <f>('TE BE'!$AB$23+'TE BF'!$AB$23+'TE CVA'!$AB$23)*(1-CUSTOS!$M$38)</f>
        <v>127.65788581931002</v>
      </c>
      <c r="AB458" s="6">
        <f>$K$458*$V$458</f>
        <v>0</v>
      </c>
      <c r="AC458" s="6">
        <f>$M$458*$W$458</f>
        <v>823775.28866999992</v>
      </c>
      <c r="AD458" s="6">
        <f>$O$458*$X$458</f>
        <v>308782.27356</v>
      </c>
      <c r="AE458" s="6">
        <f>$K$458*$Y$458</f>
        <v>0</v>
      </c>
      <c r="AF458" s="6">
        <f ca="1">$M$458*$Z$458</f>
        <v>970181.27113296697</v>
      </c>
      <c r="AG458" s="6">
        <f>$O$458*$AA$458</f>
        <v>316970.82841065805</v>
      </c>
    </row>
    <row r="459" spans="1:33" ht="11.25" customHeight="1" x14ac:dyDescent="0.25">
      <c r="A459" s="4" t="s">
        <v>27</v>
      </c>
      <c r="B459" s="4" t="s">
        <v>40</v>
      </c>
      <c r="C459" s="4" t="s">
        <v>23</v>
      </c>
      <c r="D459" s="4" t="s">
        <v>41</v>
      </c>
      <c r="E459" s="4" t="s">
        <v>25</v>
      </c>
      <c r="F459" s="4" t="s">
        <v>25</v>
      </c>
      <c r="G459" s="4" t="s">
        <v>25</v>
      </c>
      <c r="H459" s="4" t="s">
        <v>25</v>
      </c>
      <c r="I459" s="5">
        <v>44743</v>
      </c>
      <c r="J459" s="6">
        <v>0</v>
      </c>
      <c r="K459" s="6">
        <v>0</v>
      </c>
      <c r="L459" s="6">
        <v>-0.66100000000000003</v>
      </c>
      <c r="M459" s="6">
        <v>-0.66100000000000003</v>
      </c>
      <c r="N459" s="6">
        <v>-0.66100000000000003</v>
      </c>
      <c r="O459" s="6">
        <v>-0.66100000000000003</v>
      </c>
      <c r="P459" s="6">
        <v>0</v>
      </c>
      <c r="Q459" s="4" t="s">
        <v>26</v>
      </c>
      <c r="R459" s="4">
        <v>0</v>
      </c>
      <c r="S459" s="6">
        <v>0</v>
      </c>
      <c r="T459" s="6">
        <v>30</v>
      </c>
      <c r="U459" s="6">
        <v>55</v>
      </c>
      <c r="V459" s="6">
        <f>IF(ISERROR(VLOOKUP($S$459,'TAR FIN'!$A$1:$O$85,15,0)),0,VLOOKUP($S$459,'TAR FIN'!$A$1:$O$85,15,0))</f>
        <v>0</v>
      </c>
      <c r="W459" s="6">
        <f>IF(ISERROR(VLOOKUP($T$459,'TAR FIN'!$A$1:$O$85,15,0)),0,VLOOKUP($T$459,'TAR FIN'!$A$1:$O$85,15,0))</f>
        <v>331.77</v>
      </c>
      <c r="X459" s="6">
        <f>IF(ISERROR(VLOOKUP($U$459,'TAR FIN'!$A$1:$O$85,15,0)),0,VLOOKUP($U$459,'TAR FIN'!$A$1:$O$85,15,0))</f>
        <v>124.36</v>
      </c>
      <c r="Y459" s="6"/>
      <c r="Z459" s="6">
        <f ca="1">('TUSD BE'!$AM$33+'TUSD BF'!$AM$33+'TUSD CVA'!$AM$33)*(1-CUSTOS!$M$38)</f>
        <v>390.73403238820225</v>
      </c>
      <c r="AA459" s="6">
        <f>('TE BE'!$AB$23+'TE BF'!$AB$23+'TE CVA'!$AB$23)*(1-CUSTOS!$M$38)</f>
        <v>127.65788581931002</v>
      </c>
      <c r="AB459" s="6">
        <f>$K$459*$V$459</f>
        <v>0</v>
      </c>
      <c r="AC459" s="6">
        <f>$M$459*$W$459</f>
        <v>-219.29997</v>
      </c>
      <c r="AD459" s="6">
        <f>$O$459*$X$459</f>
        <v>-82.20196</v>
      </c>
      <c r="AE459" s="6">
        <f>$K$459*$Y$459</f>
        <v>0</v>
      </c>
      <c r="AF459" s="6">
        <f ca="1">$M$459*$Z$459</f>
        <v>-258.27519540860169</v>
      </c>
      <c r="AG459" s="6">
        <f>$O$459*$AA$459</f>
        <v>-84.381862526563935</v>
      </c>
    </row>
    <row r="460" spans="1:33" ht="11.25" customHeight="1" x14ac:dyDescent="0.25">
      <c r="A460" s="4" t="s">
        <v>28</v>
      </c>
      <c r="B460" s="4" t="s">
        <v>40</v>
      </c>
      <c r="C460" s="4" t="s">
        <v>23</v>
      </c>
      <c r="D460" s="4" t="s">
        <v>41</v>
      </c>
      <c r="E460" s="4" t="s">
        <v>25</v>
      </c>
      <c r="F460" s="4" t="s">
        <v>25</v>
      </c>
      <c r="G460" s="4" t="s">
        <v>25</v>
      </c>
      <c r="H460" s="4" t="s">
        <v>25</v>
      </c>
      <c r="I460" s="5">
        <v>44743</v>
      </c>
      <c r="J460" s="6">
        <v>0</v>
      </c>
      <c r="K460" s="6">
        <v>0</v>
      </c>
      <c r="L460" s="6">
        <v>319.28100000000001</v>
      </c>
      <c r="M460" s="6">
        <v>319.28100000000001</v>
      </c>
      <c r="N460" s="6">
        <v>319.28100000000001</v>
      </c>
      <c r="O460" s="6">
        <v>319.28100000000001</v>
      </c>
      <c r="P460" s="6">
        <v>640</v>
      </c>
      <c r="Q460" s="4" t="s">
        <v>26</v>
      </c>
      <c r="R460" s="4">
        <v>0</v>
      </c>
      <c r="S460" s="6">
        <v>0</v>
      </c>
      <c r="T460" s="6">
        <v>30</v>
      </c>
      <c r="U460" s="6">
        <v>55</v>
      </c>
      <c r="V460" s="6">
        <f>IF(ISERROR(VLOOKUP($S$460,'TAR FIN'!$A$1:$O$85,15,0)),0,VLOOKUP($S$460,'TAR FIN'!$A$1:$O$85,15,0))</f>
        <v>0</v>
      </c>
      <c r="W460" s="6">
        <f>IF(ISERROR(VLOOKUP($T$460,'TAR FIN'!$A$1:$O$85,15,0)),0,VLOOKUP($T$460,'TAR FIN'!$A$1:$O$85,15,0))</f>
        <v>331.77</v>
      </c>
      <c r="X460" s="6">
        <f>IF(ISERROR(VLOOKUP($U$460,'TAR FIN'!$A$1:$O$85,15,0)),0,VLOOKUP($U$460,'TAR FIN'!$A$1:$O$85,15,0))</f>
        <v>124.36</v>
      </c>
      <c r="Y460" s="6"/>
      <c r="Z460" s="6">
        <f ca="1">('TUSD BE'!$AM$33+'TUSD BF'!$AM$33+'TUSD CVA'!$AM$33)*(1-CUSTOS!$M$38)</f>
        <v>390.73403238820225</v>
      </c>
      <c r="AA460" s="6">
        <f>('TE BE'!$AB$23+'TE BF'!$AB$23+'TE CVA'!$AB$23)*(1-CUSTOS!$M$38)</f>
        <v>127.65788581931002</v>
      </c>
      <c r="AB460" s="6">
        <f>$K$460*$V$460</f>
        <v>0</v>
      </c>
      <c r="AC460" s="6">
        <f>$M$460*$W$460</f>
        <v>105927.85737</v>
      </c>
      <c r="AD460" s="6">
        <f>$O$460*$X$460</f>
        <v>39705.785159999999</v>
      </c>
      <c r="AE460" s="6">
        <f>$K$460*$Y$460</f>
        <v>0</v>
      </c>
      <c r="AF460" s="6">
        <f ca="1">$M$460*$Z$460</f>
        <v>124753.95259493761</v>
      </c>
      <c r="AG460" s="6">
        <f>$O$460*$AA$460</f>
        <v>40758.737442275124</v>
      </c>
    </row>
    <row r="461" spans="1:33" ht="11.25" customHeight="1" x14ac:dyDescent="0.25">
      <c r="A461" s="4" t="s">
        <v>21</v>
      </c>
      <c r="B461" s="4" t="s">
        <v>40</v>
      </c>
      <c r="C461" s="4" t="s">
        <v>23</v>
      </c>
      <c r="D461" s="4" t="s">
        <v>41</v>
      </c>
      <c r="E461" s="4" t="s">
        <v>25</v>
      </c>
      <c r="F461" s="4" t="s">
        <v>25</v>
      </c>
      <c r="G461" s="4" t="s">
        <v>25</v>
      </c>
      <c r="H461" s="4" t="s">
        <v>25</v>
      </c>
      <c r="I461" s="5">
        <v>44774</v>
      </c>
      <c r="J461" s="6">
        <v>0</v>
      </c>
      <c r="K461" s="6">
        <v>0</v>
      </c>
      <c r="L461" s="6">
        <v>2513.9899999999998</v>
      </c>
      <c r="M461" s="6">
        <v>2513.9899999999998</v>
      </c>
      <c r="N461" s="6">
        <v>2513.9899999999998</v>
      </c>
      <c r="O461" s="6">
        <v>2513.9899999999998</v>
      </c>
      <c r="P461" s="6">
        <v>5470</v>
      </c>
      <c r="Q461" s="4" t="s">
        <v>26</v>
      </c>
      <c r="R461" s="4">
        <v>0</v>
      </c>
      <c r="S461" s="6">
        <v>0</v>
      </c>
      <c r="T461" s="6">
        <v>30</v>
      </c>
      <c r="U461" s="6">
        <v>55</v>
      </c>
      <c r="V461" s="6">
        <f>IF(ISERROR(VLOOKUP($S$461,'TAR FIN'!$A$1:$O$85,15,0)),0,VLOOKUP($S$461,'TAR FIN'!$A$1:$O$85,15,0))</f>
        <v>0</v>
      </c>
      <c r="W461" s="6">
        <f>IF(ISERROR(VLOOKUP($T$461,'TAR FIN'!$A$1:$O$85,15,0)),0,VLOOKUP($T$461,'TAR FIN'!$A$1:$O$85,15,0))</f>
        <v>331.77</v>
      </c>
      <c r="X461" s="6">
        <f>IF(ISERROR(VLOOKUP($U$461,'TAR FIN'!$A$1:$O$85,15,0)),0,VLOOKUP($U$461,'TAR FIN'!$A$1:$O$85,15,0))</f>
        <v>124.36</v>
      </c>
      <c r="Y461" s="6"/>
      <c r="Z461" s="6">
        <f ca="1">('TUSD BE'!$AM$33+'TUSD BF'!$AM$33+'TUSD CVA'!$AM$33)*(1-CUSTOS!$M$38)</f>
        <v>390.73403238820225</v>
      </c>
      <c r="AA461" s="6">
        <f>('TE BE'!$AB$23+'TE BF'!$AB$23+'TE CVA'!$AB$23)*(1-CUSTOS!$M$38)</f>
        <v>127.65788581931002</v>
      </c>
      <c r="AB461" s="6">
        <f>$K$461*$V$461</f>
        <v>0</v>
      </c>
      <c r="AC461" s="6">
        <f>$M$461*$W$461</f>
        <v>834066.4622999999</v>
      </c>
      <c r="AD461" s="6">
        <f>$O$461*$X$461</f>
        <v>312639.79639999999</v>
      </c>
      <c r="AE461" s="6">
        <f>$K$461*$Y$461</f>
        <v>0</v>
      </c>
      <c r="AF461" s="6">
        <f ca="1">$M$461*$Z$461</f>
        <v>982301.45008361654</v>
      </c>
      <c r="AG461" s="6">
        <f>$O$461*$AA$461</f>
        <v>320930.64837088715</v>
      </c>
    </row>
    <row r="462" spans="1:33" ht="11.25" customHeight="1" x14ac:dyDescent="0.25">
      <c r="A462" s="4" t="s">
        <v>27</v>
      </c>
      <c r="B462" s="4" t="s">
        <v>40</v>
      </c>
      <c r="C462" s="4" t="s">
        <v>23</v>
      </c>
      <c r="D462" s="4" t="s">
        <v>41</v>
      </c>
      <c r="E462" s="4" t="s">
        <v>25</v>
      </c>
      <c r="F462" s="4" t="s">
        <v>25</v>
      </c>
      <c r="G462" s="4" t="s">
        <v>25</v>
      </c>
      <c r="H462" s="4" t="s">
        <v>25</v>
      </c>
      <c r="I462" s="5">
        <v>44774</v>
      </c>
      <c r="J462" s="6">
        <v>0</v>
      </c>
      <c r="K462" s="6">
        <v>0</v>
      </c>
      <c r="L462" s="6">
        <v>-7.1959999999999997</v>
      </c>
      <c r="M462" s="6">
        <v>-7.1959999999999997</v>
      </c>
      <c r="N462" s="6">
        <v>-7.1959999999999997</v>
      </c>
      <c r="O462" s="6">
        <v>-7.1959999999999997</v>
      </c>
      <c r="P462" s="6">
        <v>0</v>
      </c>
      <c r="Q462" s="4" t="s">
        <v>26</v>
      </c>
      <c r="R462" s="4">
        <v>0</v>
      </c>
      <c r="S462" s="6">
        <v>0</v>
      </c>
      <c r="T462" s="6">
        <v>30</v>
      </c>
      <c r="U462" s="6">
        <v>55</v>
      </c>
      <c r="V462" s="6">
        <f>IF(ISERROR(VLOOKUP($S$462,'TAR FIN'!$A$1:$O$85,15,0)),0,VLOOKUP($S$462,'TAR FIN'!$A$1:$O$85,15,0))</f>
        <v>0</v>
      </c>
      <c r="W462" s="6">
        <f>IF(ISERROR(VLOOKUP($T$462,'TAR FIN'!$A$1:$O$85,15,0)),0,VLOOKUP($T$462,'TAR FIN'!$A$1:$O$85,15,0))</f>
        <v>331.77</v>
      </c>
      <c r="X462" s="6">
        <f>IF(ISERROR(VLOOKUP($U$462,'TAR FIN'!$A$1:$O$85,15,0)),0,VLOOKUP($U$462,'TAR FIN'!$A$1:$O$85,15,0))</f>
        <v>124.36</v>
      </c>
      <c r="Y462" s="6"/>
      <c r="Z462" s="6">
        <f ca="1">('TUSD BE'!$AM$33+'TUSD BF'!$AM$33+'TUSD CVA'!$AM$33)*(1-CUSTOS!$M$38)</f>
        <v>390.73403238820225</v>
      </c>
      <c r="AA462" s="6">
        <f>('TE BE'!$AB$23+'TE BF'!$AB$23+'TE CVA'!$AB$23)*(1-CUSTOS!$M$38)</f>
        <v>127.65788581931002</v>
      </c>
      <c r="AB462" s="6">
        <f>$K$462*$V$462</f>
        <v>0</v>
      </c>
      <c r="AC462" s="6">
        <f>$M$462*$W$462</f>
        <v>-2387.4169199999997</v>
      </c>
      <c r="AD462" s="6">
        <f>$O$462*$X$462</f>
        <v>-894.89455999999996</v>
      </c>
      <c r="AE462" s="6">
        <f>$K$462*$Y$462</f>
        <v>0</v>
      </c>
      <c r="AF462" s="6">
        <f ca="1">$M$462*$Z$462</f>
        <v>-2811.7220970655035</v>
      </c>
      <c r="AG462" s="6">
        <f>$O$462*$AA$462</f>
        <v>-918.62614635575494</v>
      </c>
    </row>
    <row r="463" spans="1:33" ht="11.25" customHeight="1" x14ac:dyDescent="0.25">
      <c r="A463" s="4" t="s">
        <v>28</v>
      </c>
      <c r="B463" s="4" t="s">
        <v>40</v>
      </c>
      <c r="C463" s="4" t="s">
        <v>23</v>
      </c>
      <c r="D463" s="4" t="s">
        <v>41</v>
      </c>
      <c r="E463" s="4" t="s">
        <v>25</v>
      </c>
      <c r="F463" s="4" t="s">
        <v>25</v>
      </c>
      <c r="G463" s="4" t="s">
        <v>25</v>
      </c>
      <c r="H463" s="4" t="s">
        <v>25</v>
      </c>
      <c r="I463" s="5">
        <v>44774</v>
      </c>
      <c r="J463" s="6">
        <v>0</v>
      </c>
      <c r="K463" s="6">
        <v>0</v>
      </c>
      <c r="L463" s="6">
        <v>276.565</v>
      </c>
      <c r="M463" s="6">
        <v>276.565</v>
      </c>
      <c r="N463" s="6">
        <v>276.565</v>
      </c>
      <c r="O463" s="6">
        <v>276.565</v>
      </c>
      <c r="P463" s="6">
        <v>684</v>
      </c>
      <c r="Q463" s="4" t="s">
        <v>26</v>
      </c>
      <c r="R463" s="4">
        <v>0</v>
      </c>
      <c r="S463" s="6">
        <v>0</v>
      </c>
      <c r="T463" s="6">
        <v>30</v>
      </c>
      <c r="U463" s="6">
        <v>55</v>
      </c>
      <c r="V463" s="6">
        <f>IF(ISERROR(VLOOKUP($S$463,'TAR FIN'!$A$1:$O$85,15,0)),0,VLOOKUP($S$463,'TAR FIN'!$A$1:$O$85,15,0))</f>
        <v>0</v>
      </c>
      <c r="W463" s="6">
        <f>IF(ISERROR(VLOOKUP($T$463,'TAR FIN'!$A$1:$O$85,15,0)),0,VLOOKUP($T$463,'TAR FIN'!$A$1:$O$85,15,0))</f>
        <v>331.77</v>
      </c>
      <c r="X463" s="6">
        <f>IF(ISERROR(VLOOKUP($U$463,'TAR FIN'!$A$1:$O$85,15,0)),0,VLOOKUP($U$463,'TAR FIN'!$A$1:$O$85,15,0))</f>
        <v>124.36</v>
      </c>
      <c r="Y463" s="6"/>
      <c r="Z463" s="6">
        <f ca="1">('TUSD BE'!$AM$33+'TUSD BF'!$AM$33+'TUSD CVA'!$AM$33)*(1-CUSTOS!$M$38)</f>
        <v>390.73403238820225</v>
      </c>
      <c r="AA463" s="6">
        <f>('TE BE'!$AB$23+'TE BF'!$AB$23+'TE CVA'!$AB$23)*(1-CUSTOS!$M$38)</f>
        <v>127.65788581931002</v>
      </c>
      <c r="AB463" s="6">
        <f>$K$463*$V$463</f>
        <v>0</v>
      </c>
      <c r="AC463" s="6">
        <f>$M$463*$W$463</f>
        <v>91755.970049999989</v>
      </c>
      <c r="AD463" s="6">
        <f>$O$463*$X$463</f>
        <v>34393.623399999997</v>
      </c>
      <c r="AE463" s="6">
        <f>$K$463*$Y$463</f>
        <v>0</v>
      </c>
      <c r="AF463" s="6">
        <f ca="1">$M$463*$Z$463</f>
        <v>108063.35766744315</v>
      </c>
      <c r="AG463" s="6">
        <f>$O$463*$AA$463</f>
        <v>35305.703191617475</v>
      </c>
    </row>
    <row r="464" spans="1:33" ht="11.25" customHeight="1" x14ac:dyDescent="0.25">
      <c r="A464" s="4" t="s">
        <v>21</v>
      </c>
      <c r="B464" s="4" t="s">
        <v>33</v>
      </c>
      <c r="C464" s="4" t="s">
        <v>23</v>
      </c>
      <c r="D464" s="4" t="s">
        <v>39</v>
      </c>
      <c r="E464" s="4" t="s">
        <v>25</v>
      </c>
      <c r="F464" s="4" t="s">
        <v>25</v>
      </c>
      <c r="G464" s="4" t="s">
        <v>25</v>
      </c>
      <c r="H464" s="4" t="s">
        <v>25</v>
      </c>
      <c r="I464" s="5">
        <v>44440</v>
      </c>
      <c r="J464" s="6">
        <v>0</v>
      </c>
      <c r="K464" s="6">
        <v>0</v>
      </c>
      <c r="L464" s="6">
        <v>220.108</v>
      </c>
      <c r="M464" s="6">
        <v>220.108</v>
      </c>
      <c r="N464" s="6">
        <v>220.108</v>
      </c>
      <c r="O464" s="6">
        <v>220.108</v>
      </c>
      <c r="P464" s="6">
        <v>581</v>
      </c>
      <c r="Q464" s="4" t="s">
        <v>26</v>
      </c>
      <c r="R464" s="4">
        <v>0</v>
      </c>
      <c r="S464" s="6">
        <v>0</v>
      </c>
      <c r="T464" s="6">
        <v>72</v>
      </c>
      <c r="U464" s="6">
        <v>83</v>
      </c>
      <c r="V464" s="6">
        <f>IF(ISERROR(VLOOKUP($S$464,'TAR FIN'!$A$1:$O$85,15,0)),0,VLOOKUP($S$464,'TAR FIN'!$A$1:$O$85,15,0))</f>
        <v>0</v>
      </c>
      <c r="W464" s="6">
        <f>IF(ISERROR(VLOOKUP($T$464,'TAR FIN'!$A$1:$O$85,15,0)),0,VLOOKUP($T$464,'TAR FIN'!$A$1:$O$85,15,0))</f>
        <v>377.01</v>
      </c>
      <c r="X464" s="6">
        <f>IF(ISERROR(VLOOKUP($U$464,'TAR FIN'!$A$1:$O$85,15,0)),0,VLOOKUP($U$464,'TAR FIN'!$A$1:$O$85,15,0))</f>
        <v>141.32</v>
      </c>
      <c r="Y464" s="6"/>
      <c r="Z464" s="6">
        <f ca="1">('TUSD BE'!$AM$48+'TUSD BF'!$AM$48+'TUSD CVA'!$AM$48)*1</f>
        <v>415.67450254064073</v>
      </c>
      <c r="AA464" s="6">
        <f>('TE BE'!$AB$38+'TE BF'!$AB$38+'TE CVA'!$AB$38)*1</f>
        <v>135.80626150990429</v>
      </c>
      <c r="AB464" s="6">
        <f>$K$464*$V$464</f>
        <v>0</v>
      </c>
      <c r="AC464" s="6">
        <f>$M$464*$W$464</f>
        <v>82982.917079999999</v>
      </c>
      <c r="AD464" s="6">
        <f>$O$464*$X$464</f>
        <v>31105.662560000001</v>
      </c>
      <c r="AE464" s="6">
        <f>$K$464*$Y$464</f>
        <v>0</v>
      </c>
      <c r="AF464" s="6">
        <f ca="1">$M$464*$Z$464</f>
        <v>91493.283405215348</v>
      </c>
      <c r="AG464" s="6">
        <f>$O$464*$AA$464</f>
        <v>29892.044608422013</v>
      </c>
    </row>
    <row r="465" spans="1:33" ht="11.25" customHeight="1" x14ac:dyDescent="0.25">
      <c r="A465" s="4" t="s">
        <v>28</v>
      </c>
      <c r="B465" s="4" t="s">
        <v>33</v>
      </c>
      <c r="C465" s="4" t="s">
        <v>23</v>
      </c>
      <c r="D465" s="4" t="s">
        <v>39</v>
      </c>
      <c r="E465" s="4" t="s">
        <v>25</v>
      </c>
      <c r="F465" s="4" t="s">
        <v>25</v>
      </c>
      <c r="G465" s="4" t="s">
        <v>25</v>
      </c>
      <c r="H465" s="4" t="s">
        <v>25</v>
      </c>
      <c r="I465" s="5">
        <v>44440</v>
      </c>
      <c r="J465" s="6">
        <v>0</v>
      </c>
      <c r="K465" s="6">
        <v>0</v>
      </c>
      <c r="L465" s="6">
        <v>6.907</v>
      </c>
      <c r="M465" s="6">
        <v>6.907</v>
      </c>
      <c r="N465" s="6">
        <v>6.907</v>
      </c>
      <c r="O465" s="6">
        <v>6.907</v>
      </c>
      <c r="P465" s="6">
        <v>24</v>
      </c>
      <c r="Q465" s="4" t="s">
        <v>26</v>
      </c>
      <c r="R465" s="4">
        <v>0</v>
      </c>
      <c r="S465" s="6">
        <v>0</v>
      </c>
      <c r="T465" s="6">
        <v>72</v>
      </c>
      <c r="U465" s="6">
        <v>83</v>
      </c>
      <c r="V465" s="6">
        <f>IF(ISERROR(VLOOKUP($S$465,'TAR FIN'!$A$1:$O$85,15,0)),0,VLOOKUP($S$465,'TAR FIN'!$A$1:$O$85,15,0))</f>
        <v>0</v>
      </c>
      <c r="W465" s="6">
        <f>IF(ISERROR(VLOOKUP($T$465,'TAR FIN'!$A$1:$O$85,15,0)),0,VLOOKUP($T$465,'TAR FIN'!$A$1:$O$85,15,0))</f>
        <v>377.01</v>
      </c>
      <c r="X465" s="6">
        <f>IF(ISERROR(VLOOKUP($U$465,'TAR FIN'!$A$1:$O$85,15,0)),0,VLOOKUP($U$465,'TAR FIN'!$A$1:$O$85,15,0))</f>
        <v>141.32</v>
      </c>
      <c r="Y465" s="6"/>
      <c r="Z465" s="6">
        <f ca="1">('TUSD BE'!$AM$48+'TUSD BF'!$AM$48+'TUSD CVA'!$AM$48)*1</f>
        <v>415.67450254064073</v>
      </c>
      <c r="AA465" s="6">
        <f>('TE BE'!$AB$38+'TE BF'!$AB$38+'TE CVA'!$AB$38)*1</f>
        <v>135.80626150990429</v>
      </c>
      <c r="AB465" s="6">
        <f>$K$465*$V$465</f>
        <v>0</v>
      </c>
      <c r="AC465" s="6">
        <f>$M$465*$W$465</f>
        <v>2604.0080699999999</v>
      </c>
      <c r="AD465" s="6">
        <f>$O$465*$X$465</f>
        <v>976.09723999999994</v>
      </c>
      <c r="AE465" s="6">
        <f>$K$465*$Y$465</f>
        <v>0</v>
      </c>
      <c r="AF465" s="6">
        <f ca="1">$M$465*$Z$465</f>
        <v>2871.0637890482058</v>
      </c>
      <c r="AG465" s="6">
        <f>$O$465*$AA$465</f>
        <v>938.01384824890897</v>
      </c>
    </row>
    <row r="466" spans="1:33" ht="11.25" customHeight="1" x14ac:dyDescent="0.25">
      <c r="A466" s="4" t="s">
        <v>21</v>
      </c>
      <c r="B466" s="4" t="s">
        <v>33</v>
      </c>
      <c r="C466" s="4" t="s">
        <v>23</v>
      </c>
      <c r="D466" s="4" t="s">
        <v>39</v>
      </c>
      <c r="E466" s="4" t="s">
        <v>25</v>
      </c>
      <c r="F466" s="4" t="s">
        <v>25</v>
      </c>
      <c r="G466" s="4" t="s">
        <v>25</v>
      </c>
      <c r="H466" s="4" t="s">
        <v>25</v>
      </c>
      <c r="I466" s="5">
        <v>44470</v>
      </c>
      <c r="J466" s="6">
        <v>0</v>
      </c>
      <c r="K466" s="6">
        <v>0</v>
      </c>
      <c r="L466" s="6">
        <v>194.86199999999999</v>
      </c>
      <c r="M466" s="6">
        <v>194.86199999999999</v>
      </c>
      <c r="N466" s="6">
        <v>194.86199999999999</v>
      </c>
      <c r="O466" s="6">
        <v>194.86199999999999</v>
      </c>
      <c r="P466" s="6">
        <v>556</v>
      </c>
      <c r="Q466" s="4" t="s">
        <v>26</v>
      </c>
      <c r="R466" s="4">
        <v>0</v>
      </c>
      <c r="S466" s="6">
        <v>0</v>
      </c>
      <c r="T466" s="6">
        <v>72</v>
      </c>
      <c r="U466" s="6">
        <v>83</v>
      </c>
      <c r="V466" s="6">
        <f>IF(ISERROR(VLOOKUP($S$466,'TAR FIN'!$A$1:$O$85,15,0)),0,VLOOKUP($S$466,'TAR FIN'!$A$1:$O$85,15,0))</f>
        <v>0</v>
      </c>
      <c r="W466" s="6">
        <f>IF(ISERROR(VLOOKUP($T$466,'TAR FIN'!$A$1:$O$85,15,0)),0,VLOOKUP($T$466,'TAR FIN'!$A$1:$O$85,15,0))</f>
        <v>377.01</v>
      </c>
      <c r="X466" s="6">
        <f>IF(ISERROR(VLOOKUP($U$466,'TAR FIN'!$A$1:$O$85,15,0)),0,VLOOKUP($U$466,'TAR FIN'!$A$1:$O$85,15,0))</f>
        <v>141.32</v>
      </c>
      <c r="Y466" s="6"/>
      <c r="Z466" s="6">
        <f ca="1">('TUSD BE'!$AM$48+'TUSD BF'!$AM$48+'TUSD CVA'!$AM$48)*1</f>
        <v>415.67450254064073</v>
      </c>
      <c r="AA466" s="6">
        <f>('TE BE'!$AB$38+'TE BF'!$AB$38+'TE CVA'!$AB$38)*1</f>
        <v>135.80626150990429</v>
      </c>
      <c r="AB466" s="6">
        <f>$K$466*$V$466</f>
        <v>0</v>
      </c>
      <c r="AC466" s="6">
        <f>$M$466*$W$466</f>
        <v>73464.922619999998</v>
      </c>
      <c r="AD466" s="6">
        <f>$O$466*$X$466</f>
        <v>27537.897839999998</v>
      </c>
      <c r="AE466" s="6">
        <f>$K$466*$Y$466</f>
        <v>0</v>
      </c>
      <c r="AF466" s="6">
        <f ca="1">$M$466*$Z$466</f>
        <v>80999.164914074325</v>
      </c>
      <c r="AG466" s="6">
        <f>$O$466*$AA$466</f>
        <v>26463.47973034297</v>
      </c>
    </row>
    <row r="467" spans="1:33" ht="11.25" customHeight="1" x14ac:dyDescent="0.25">
      <c r="A467" s="4" t="s">
        <v>28</v>
      </c>
      <c r="B467" s="4" t="s">
        <v>33</v>
      </c>
      <c r="C467" s="4" t="s">
        <v>23</v>
      </c>
      <c r="D467" s="4" t="s">
        <v>39</v>
      </c>
      <c r="E467" s="4" t="s">
        <v>25</v>
      </c>
      <c r="F467" s="4" t="s">
        <v>25</v>
      </c>
      <c r="G467" s="4" t="s">
        <v>25</v>
      </c>
      <c r="H467" s="4" t="s">
        <v>25</v>
      </c>
      <c r="I467" s="5">
        <v>44470</v>
      </c>
      <c r="J467" s="6">
        <v>0</v>
      </c>
      <c r="K467" s="6">
        <v>0</v>
      </c>
      <c r="L467" s="6">
        <v>4.9320000000000004</v>
      </c>
      <c r="M467" s="6">
        <v>4.9320000000000004</v>
      </c>
      <c r="N467" s="6">
        <v>4.9320000000000004</v>
      </c>
      <c r="O467" s="6">
        <v>4.9320000000000004</v>
      </c>
      <c r="P467" s="6">
        <v>24</v>
      </c>
      <c r="Q467" s="4" t="s">
        <v>26</v>
      </c>
      <c r="R467" s="4">
        <v>0</v>
      </c>
      <c r="S467" s="6">
        <v>0</v>
      </c>
      <c r="T467" s="6">
        <v>72</v>
      </c>
      <c r="U467" s="6">
        <v>83</v>
      </c>
      <c r="V467" s="6">
        <f>IF(ISERROR(VLOOKUP($S$467,'TAR FIN'!$A$1:$O$85,15,0)),0,VLOOKUP($S$467,'TAR FIN'!$A$1:$O$85,15,0))</f>
        <v>0</v>
      </c>
      <c r="W467" s="6">
        <f>IF(ISERROR(VLOOKUP($T$467,'TAR FIN'!$A$1:$O$85,15,0)),0,VLOOKUP($T$467,'TAR FIN'!$A$1:$O$85,15,0))</f>
        <v>377.01</v>
      </c>
      <c r="X467" s="6">
        <f>IF(ISERROR(VLOOKUP($U$467,'TAR FIN'!$A$1:$O$85,15,0)),0,VLOOKUP($U$467,'TAR FIN'!$A$1:$O$85,15,0))</f>
        <v>141.32</v>
      </c>
      <c r="Y467" s="6"/>
      <c r="Z467" s="6">
        <f ca="1">('TUSD BE'!$AM$48+'TUSD BF'!$AM$48+'TUSD CVA'!$AM$48)*1</f>
        <v>415.67450254064073</v>
      </c>
      <c r="AA467" s="6">
        <f>('TE BE'!$AB$38+'TE BF'!$AB$38+'TE CVA'!$AB$38)*1</f>
        <v>135.80626150990429</v>
      </c>
      <c r="AB467" s="6">
        <f>$K$467*$V$467</f>
        <v>0</v>
      </c>
      <c r="AC467" s="6">
        <f>$M$467*$W$467</f>
        <v>1859.4133200000001</v>
      </c>
      <c r="AD467" s="6">
        <f>$O$467*$X$467</f>
        <v>696.99023999999997</v>
      </c>
      <c r="AE467" s="6">
        <f>$K$467*$Y$467</f>
        <v>0</v>
      </c>
      <c r="AF467" s="6">
        <f ca="1">$M$467*$Z$467</f>
        <v>2050.1066465304402</v>
      </c>
      <c r="AG467" s="6">
        <f>$O$467*$AA$467</f>
        <v>669.79648176684805</v>
      </c>
    </row>
    <row r="468" spans="1:33" ht="11.25" customHeight="1" x14ac:dyDescent="0.25">
      <c r="A468" s="4" t="s">
        <v>21</v>
      </c>
      <c r="B468" s="4" t="s">
        <v>33</v>
      </c>
      <c r="C468" s="4" t="s">
        <v>23</v>
      </c>
      <c r="D468" s="4" t="s">
        <v>39</v>
      </c>
      <c r="E468" s="4" t="s">
        <v>25</v>
      </c>
      <c r="F468" s="4" t="s">
        <v>25</v>
      </c>
      <c r="G468" s="4" t="s">
        <v>25</v>
      </c>
      <c r="H468" s="4" t="s">
        <v>25</v>
      </c>
      <c r="I468" s="5">
        <v>44501</v>
      </c>
      <c r="J468" s="6">
        <v>0</v>
      </c>
      <c r="K468" s="6">
        <v>0</v>
      </c>
      <c r="L468" s="6">
        <v>205.809</v>
      </c>
      <c r="M468" s="6">
        <v>205.809</v>
      </c>
      <c r="N468" s="6">
        <v>205.809</v>
      </c>
      <c r="O468" s="6">
        <v>205.809</v>
      </c>
      <c r="P468" s="6">
        <v>555</v>
      </c>
      <c r="Q468" s="4" t="s">
        <v>26</v>
      </c>
      <c r="R468" s="4">
        <v>0</v>
      </c>
      <c r="S468" s="6">
        <v>0</v>
      </c>
      <c r="T468" s="6">
        <v>72</v>
      </c>
      <c r="U468" s="6">
        <v>83</v>
      </c>
      <c r="V468" s="6">
        <f>IF(ISERROR(VLOOKUP($S$468,'TAR FIN'!$A$1:$O$85,15,0)),0,VLOOKUP($S$468,'TAR FIN'!$A$1:$O$85,15,0))</f>
        <v>0</v>
      </c>
      <c r="W468" s="6">
        <f>IF(ISERROR(VLOOKUP($T$468,'TAR FIN'!$A$1:$O$85,15,0)),0,VLOOKUP($T$468,'TAR FIN'!$A$1:$O$85,15,0))</f>
        <v>377.01</v>
      </c>
      <c r="X468" s="6">
        <f>IF(ISERROR(VLOOKUP($U$468,'TAR FIN'!$A$1:$O$85,15,0)),0,VLOOKUP($U$468,'TAR FIN'!$A$1:$O$85,15,0))</f>
        <v>141.32</v>
      </c>
      <c r="Y468" s="6"/>
      <c r="Z468" s="6">
        <f ca="1">('TUSD BE'!$AM$48+'TUSD BF'!$AM$48+'TUSD CVA'!$AM$48)*1</f>
        <v>415.67450254064073</v>
      </c>
      <c r="AA468" s="6">
        <f>('TE BE'!$AB$38+'TE BF'!$AB$38+'TE CVA'!$AB$38)*1</f>
        <v>135.80626150990429</v>
      </c>
      <c r="AB468" s="6">
        <f>$K$468*$V$468</f>
        <v>0</v>
      </c>
      <c r="AC468" s="6">
        <f>$M$468*$W$468</f>
        <v>77592.051089999994</v>
      </c>
      <c r="AD468" s="6">
        <f>$O$468*$X$468</f>
        <v>29084.927879999999</v>
      </c>
      <c r="AE468" s="6">
        <f>$K$468*$Y$468</f>
        <v>0</v>
      </c>
      <c r="AF468" s="6">
        <f ca="1">$M$468*$Z$468</f>
        <v>85549.553693386726</v>
      </c>
      <c r="AG468" s="6">
        <f>$O$468*$AA$468</f>
        <v>27950.150875091891</v>
      </c>
    </row>
    <row r="469" spans="1:33" ht="11.25" customHeight="1" x14ac:dyDescent="0.25">
      <c r="A469" s="4" t="s">
        <v>28</v>
      </c>
      <c r="B469" s="4" t="s">
        <v>33</v>
      </c>
      <c r="C469" s="4" t="s">
        <v>23</v>
      </c>
      <c r="D469" s="4" t="s">
        <v>39</v>
      </c>
      <c r="E469" s="4" t="s">
        <v>25</v>
      </c>
      <c r="F469" s="4" t="s">
        <v>25</v>
      </c>
      <c r="G469" s="4" t="s">
        <v>25</v>
      </c>
      <c r="H469" s="4" t="s">
        <v>25</v>
      </c>
      <c r="I469" s="5">
        <v>44501</v>
      </c>
      <c r="J469" s="6">
        <v>0</v>
      </c>
      <c r="K469" s="6">
        <v>0</v>
      </c>
      <c r="L469" s="6">
        <v>4.6859999999999999</v>
      </c>
      <c r="M469" s="6">
        <v>4.6859999999999999</v>
      </c>
      <c r="N469" s="6">
        <v>4.6859999999999999</v>
      </c>
      <c r="O469" s="6">
        <v>4.6859999999999999</v>
      </c>
      <c r="P469" s="6">
        <v>31</v>
      </c>
      <c r="Q469" s="4" t="s">
        <v>26</v>
      </c>
      <c r="R469" s="4">
        <v>0</v>
      </c>
      <c r="S469" s="6">
        <v>0</v>
      </c>
      <c r="T469" s="6">
        <v>72</v>
      </c>
      <c r="U469" s="6">
        <v>83</v>
      </c>
      <c r="V469" s="6">
        <f>IF(ISERROR(VLOOKUP($S$469,'TAR FIN'!$A$1:$O$85,15,0)),0,VLOOKUP($S$469,'TAR FIN'!$A$1:$O$85,15,0))</f>
        <v>0</v>
      </c>
      <c r="W469" s="6">
        <f>IF(ISERROR(VLOOKUP($T$469,'TAR FIN'!$A$1:$O$85,15,0)),0,VLOOKUP($T$469,'TAR FIN'!$A$1:$O$85,15,0))</f>
        <v>377.01</v>
      </c>
      <c r="X469" s="6">
        <f>IF(ISERROR(VLOOKUP($U$469,'TAR FIN'!$A$1:$O$85,15,0)),0,VLOOKUP($U$469,'TAR FIN'!$A$1:$O$85,15,0))</f>
        <v>141.32</v>
      </c>
      <c r="Y469" s="6"/>
      <c r="Z469" s="6">
        <f ca="1">('TUSD BE'!$AM$48+'TUSD BF'!$AM$48+'TUSD CVA'!$AM$48)*1</f>
        <v>415.67450254064073</v>
      </c>
      <c r="AA469" s="6">
        <f>('TE BE'!$AB$38+'TE BF'!$AB$38+'TE CVA'!$AB$38)*1</f>
        <v>135.80626150990429</v>
      </c>
      <c r="AB469" s="6">
        <f>$K$469*$V$469</f>
        <v>0</v>
      </c>
      <c r="AC469" s="6">
        <f>$M$469*$W$469</f>
        <v>1766.66886</v>
      </c>
      <c r="AD469" s="6">
        <f>$O$469*$X$469</f>
        <v>662.22551999999996</v>
      </c>
      <c r="AE469" s="6">
        <f>$K$469*$Y$469</f>
        <v>0</v>
      </c>
      <c r="AF469" s="6">
        <f ca="1">$M$469*$Z$469</f>
        <v>1947.8507189054424</v>
      </c>
      <c r="AG469" s="6">
        <f>$O$469*$AA$469</f>
        <v>636.38814143541151</v>
      </c>
    </row>
    <row r="470" spans="1:33" ht="11.25" customHeight="1" x14ac:dyDescent="0.25">
      <c r="A470" s="4" t="s">
        <v>21</v>
      </c>
      <c r="B470" s="4" t="s">
        <v>33</v>
      </c>
      <c r="C470" s="4" t="s">
        <v>23</v>
      </c>
      <c r="D470" s="4" t="s">
        <v>39</v>
      </c>
      <c r="E470" s="4" t="s">
        <v>25</v>
      </c>
      <c r="F470" s="4" t="s">
        <v>25</v>
      </c>
      <c r="G470" s="4" t="s">
        <v>25</v>
      </c>
      <c r="H470" s="4" t="s">
        <v>25</v>
      </c>
      <c r="I470" s="5">
        <v>44531</v>
      </c>
      <c r="J470" s="6">
        <v>0</v>
      </c>
      <c r="K470" s="6">
        <v>0</v>
      </c>
      <c r="L470" s="6">
        <v>240.87700000000001</v>
      </c>
      <c r="M470" s="6">
        <v>240.87700000000001</v>
      </c>
      <c r="N470" s="6">
        <v>240.87700000000001</v>
      </c>
      <c r="O470" s="6">
        <v>240.87700000000001</v>
      </c>
      <c r="P470" s="6">
        <v>581</v>
      </c>
      <c r="Q470" s="4" t="s">
        <v>26</v>
      </c>
      <c r="R470" s="4">
        <v>0</v>
      </c>
      <c r="S470" s="6">
        <v>0</v>
      </c>
      <c r="T470" s="6">
        <v>72</v>
      </c>
      <c r="U470" s="6">
        <v>83</v>
      </c>
      <c r="V470" s="6">
        <f>IF(ISERROR(VLOOKUP($S$470,'TAR FIN'!$A$1:$O$85,15,0)),0,VLOOKUP($S$470,'TAR FIN'!$A$1:$O$85,15,0))</f>
        <v>0</v>
      </c>
      <c r="W470" s="6">
        <f>IF(ISERROR(VLOOKUP($T$470,'TAR FIN'!$A$1:$O$85,15,0)),0,VLOOKUP($T$470,'TAR FIN'!$A$1:$O$85,15,0))</f>
        <v>377.01</v>
      </c>
      <c r="X470" s="6">
        <f>IF(ISERROR(VLOOKUP($U$470,'TAR FIN'!$A$1:$O$85,15,0)),0,VLOOKUP($U$470,'TAR FIN'!$A$1:$O$85,15,0))</f>
        <v>141.32</v>
      </c>
      <c r="Y470" s="6"/>
      <c r="Z470" s="6">
        <f ca="1">('TUSD BE'!$AM$48+'TUSD BF'!$AM$48+'TUSD CVA'!$AM$48)*1</f>
        <v>415.67450254064073</v>
      </c>
      <c r="AA470" s="6">
        <f>('TE BE'!$AB$38+'TE BF'!$AB$38+'TE CVA'!$AB$38)*1</f>
        <v>135.80626150990429</v>
      </c>
      <c r="AB470" s="6">
        <f>$K$470*$V$470</f>
        <v>0</v>
      </c>
      <c r="AC470" s="6">
        <f>$M$470*$W$470</f>
        <v>90813.037769999995</v>
      </c>
      <c r="AD470" s="6">
        <f>$O$470*$X$470</f>
        <v>34040.737639999999</v>
      </c>
      <c r="AE470" s="6">
        <f>$K$470*$Y$470</f>
        <v>0</v>
      </c>
      <c r="AF470" s="6">
        <f ca="1">$M$470*$Z$470</f>
        <v>100126.42714848192</v>
      </c>
      <c r="AG470" s="6">
        <f>$O$470*$AA$470</f>
        <v>32712.604853721215</v>
      </c>
    </row>
    <row r="471" spans="1:33" ht="11.25" customHeight="1" x14ac:dyDescent="0.25">
      <c r="A471" s="4" t="s">
        <v>28</v>
      </c>
      <c r="B471" s="4" t="s">
        <v>33</v>
      </c>
      <c r="C471" s="4" t="s">
        <v>23</v>
      </c>
      <c r="D471" s="4" t="s">
        <v>39</v>
      </c>
      <c r="E471" s="4" t="s">
        <v>25</v>
      </c>
      <c r="F471" s="4" t="s">
        <v>25</v>
      </c>
      <c r="G471" s="4" t="s">
        <v>25</v>
      </c>
      <c r="H471" s="4" t="s">
        <v>25</v>
      </c>
      <c r="I471" s="5">
        <v>44531</v>
      </c>
      <c r="J471" s="6">
        <v>0</v>
      </c>
      <c r="K471" s="6">
        <v>0</v>
      </c>
      <c r="L471" s="6">
        <v>4.6589999999999998</v>
      </c>
      <c r="M471" s="6">
        <v>4.6589999999999998</v>
      </c>
      <c r="N471" s="6">
        <v>4.6589999999999998</v>
      </c>
      <c r="O471" s="6">
        <v>4.6589999999999998</v>
      </c>
      <c r="P471" s="6">
        <v>32</v>
      </c>
      <c r="Q471" s="4" t="s">
        <v>26</v>
      </c>
      <c r="R471" s="4">
        <v>0</v>
      </c>
      <c r="S471" s="6">
        <v>0</v>
      </c>
      <c r="T471" s="6">
        <v>72</v>
      </c>
      <c r="U471" s="6">
        <v>83</v>
      </c>
      <c r="V471" s="6">
        <f>IF(ISERROR(VLOOKUP($S$471,'TAR FIN'!$A$1:$O$85,15,0)),0,VLOOKUP($S$471,'TAR FIN'!$A$1:$O$85,15,0))</f>
        <v>0</v>
      </c>
      <c r="W471" s="6">
        <f>IF(ISERROR(VLOOKUP($T$471,'TAR FIN'!$A$1:$O$85,15,0)),0,VLOOKUP($T$471,'TAR FIN'!$A$1:$O$85,15,0))</f>
        <v>377.01</v>
      </c>
      <c r="X471" s="6">
        <f>IF(ISERROR(VLOOKUP($U$471,'TAR FIN'!$A$1:$O$85,15,0)),0,VLOOKUP($U$471,'TAR FIN'!$A$1:$O$85,15,0))</f>
        <v>141.32</v>
      </c>
      <c r="Y471" s="6"/>
      <c r="Z471" s="6">
        <f ca="1">('TUSD BE'!$AM$48+'TUSD BF'!$AM$48+'TUSD CVA'!$AM$48)*1</f>
        <v>415.67450254064073</v>
      </c>
      <c r="AA471" s="6">
        <f>('TE BE'!$AB$38+'TE BF'!$AB$38+'TE CVA'!$AB$38)*1</f>
        <v>135.80626150990429</v>
      </c>
      <c r="AB471" s="6">
        <f>$K$471*$V$471</f>
        <v>0</v>
      </c>
      <c r="AC471" s="6">
        <f>$M$471*$W$471</f>
        <v>1756.4895899999999</v>
      </c>
      <c r="AD471" s="6">
        <f>$O$471*$X$471</f>
        <v>658.40987999999993</v>
      </c>
      <c r="AE471" s="6">
        <f>$K$471*$Y$471</f>
        <v>0</v>
      </c>
      <c r="AF471" s="6">
        <f ca="1">$M$471*$Z$471</f>
        <v>1936.6275073368452</v>
      </c>
      <c r="AG471" s="6">
        <f>$O$471*$AA$471</f>
        <v>632.72137237464403</v>
      </c>
    </row>
    <row r="472" spans="1:33" ht="11.25" customHeight="1" x14ac:dyDescent="0.25">
      <c r="A472" s="4" t="s">
        <v>21</v>
      </c>
      <c r="B472" s="4" t="s">
        <v>33</v>
      </c>
      <c r="C472" s="4" t="s">
        <v>23</v>
      </c>
      <c r="D472" s="4" t="s">
        <v>39</v>
      </c>
      <c r="E472" s="4" t="s">
        <v>25</v>
      </c>
      <c r="F472" s="4" t="s">
        <v>25</v>
      </c>
      <c r="G472" s="4" t="s">
        <v>25</v>
      </c>
      <c r="H472" s="4" t="s">
        <v>25</v>
      </c>
      <c r="I472" s="5">
        <v>44562</v>
      </c>
      <c r="J472" s="6">
        <v>0</v>
      </c>
      <c r="K472" s="6">
        <v>0</v>
      </c>
      <c r="L472" s="6">
        <v>226.01300000000001</v>
      </c>
      <c r="M472" s="6">
        <v>226.01300000000001</v>
      </c>
      <c r="N472" s="6">
        <v>226.01300000000001</v>
      </c>
      <c r="O472" s="6">
        <v>226.01300000000001</v>
      </c>
      <c r="P472" s="6">
        <v>576</v>
      </c>
      <c r="Q472" s="4" t="s">
        <v>26</v>
      </c>
      <c r="R472" s="4">
        <v>0</v>
      </c>
      <c r="S472" s="6">
        <v>0</v>
      </c>
      <c r="T472" s="6">
        <v>72</v>
      </c>
      <c r="U472" s="6">
        <v>83</v>
      </c>
      <c r="V472" s="6">
        <f>IF(ISERROR(VLOOKUP($S$472,'TAR FIN'!$A$1:$O$85,15,0)),0,VLOOKUP($S$472,'TAR FIN'!$A$1:$O$85,15,0))</f>
        <v>0</v>
      </c>
      <c r="W472" s="6">
        <f>IF(ISERROR(VLOOKUP($T$472,'TAR FIN'!$A$1:$O$85,15,0)),0,VLOOKUP($T$472,'TAR FIN'!$A$1:$O$85,15,0))</f>
        <v>377.01</v>
      </c>
      <c r="X472" s="6">
        <f>IF(ISERROR(VLOOKUP($U$472,'TAR FIN'!$A$1:$O$85,15,0)),0,VLOOKUP($U$472,'TAR FIN'!$A$1:$O$85,15,0))</f>
        <v>141.32</v>
      </c>
      <c r="Y472" s="6"/>
      <c r="Z472" s="6">
        <f ca="1">('TUSD BE'!$AM$48+'TUSD BF'!$AM$48+'TUSD CVA'!$AM$48)*1</f>
        <v>415.67450254064073</v>
      </c>
      <c r="AA472" s="6">
        <f>('TE BE'!$AB$38+'TE BF'!$AB$38+'TE CVA'!$AB$38)*1</f>
        <v>135.80626150990429</v>
      </c>
      <c r="AB472" s="6">
        <f>$K$472*$V$472</f>
        <v>0</v>
      </c>
      <c r="AC472" s="6">
        <f>$M$472*$W$472</f>
        <v>85209.161129999993</v>
      </c>
      <c r="AD472" s="6">
        <f>$O$472*$X$472</f>
        <v>31940.157159999999</v>
      </c>
      <c r="AE472" s="6">
        <f>$K$472*$Y$472</f>
        <v>0</v>
      </c>
      <c r="AF472" s="6">
        <f ca="1">$M$472*$Z$472</f>
        <v>93947.841342717831</v>
      </c>
      <c r="AG472" s="6">
        <f>$O$472*$AA$472</f>
        <v>30693.980582638</v>
      </c>
    </row>
    <row r="473" spans="1:33" ht="11.25" customHeight="1" x14ac:dyDescent="0.25">
      <c r="A473" s="4" t="s">
        <v>27</v>
      </c>
      <c r="B473" s="4" t="s">
        <v>33</v>
      </c>
      <c r="C473" s="4" t="s">
        <v>23</v>
      </c>
      <c r="D473" s="4" t="s">
        <v>39</v>
      </c>
      <c r="E473" s="4" t="s">
        <v>25</v>
      </c>
      <c r="F473" s="4" t="s">
        <v>25</v>
      </c>
      <c r="G473" s="4" t="s">
        <v>25</v>
      </c>
      <c r="H473" s="4" t="s">
        <v>25</v>
      </c>
      <c r="I473" s="5">
        <v>44562</v>
      </c>
      <c r="J473" s="6">
        <v>0</v>
      </c>
      <c r="K473" s="6">
        <v>0</v>
      </c>
      <c r="L473" s="6">
        <v>-0.16</v>
      </c>
      <c r="M473" s="6">
        <v>-0.16</v>
      </c>
      <c r="N473" s="6">
        <v>-0.16</v>
      </c>
      <c r="O473" s="6">
        <v>-0.16</v>
      </c>
      <c r="P473" s="6">
        <v>0</v>
      </c>
      <c r="Q473" s="4" t="s">
        <v>26</v>
      </c>
      <c r="R473" s="4">
        <v>0</v>
      </c>
      <c r="S473" s="6">
        <v>0</v>
      </c>
      <c r="T473" s="6">
        <v>72</v>
      </c>
      <c r="U473" s="6">
        <v>83</v>
      </c>
      <c r="V473" s="6">
        <f>IF(ISERROR(VLOOKUP($S$473,'TAR FIN'!$A$1:$O$85,15,0)),0,VLOOKUP($S$473,'TAR FIN'!$A$1:$O$85,15,0))</f>
        <v>0</v>
      </c>
      <c r="W473" s="6">
        <f>IF(ISERROR(VLOOKUP($T$473,'TAR FIN'!$A$1:$O$85,15,0)),0,VLOOKUP($T$473,'TAR FIN'!$A$1:$O$85,15,0))</f>
        <v>377.01</v>
      </c>
      <c r="X473" s="6">
        <f>IF(ISERROR(VLOOKUP($U$473,'TAR FIN'!$A$1:$O$85,15,0)),0,VLOOKUP($U$473,'TAR FIN'!$A$1:$O$85,15,0))</f>
        <v>141.32</v>
      </c>
      <c r="Y473" s="6"/>
      <c r="Z473" s="6">
        <f ca="1">('TUSD BE'!$AM$48+'TUSD BF'!$AM$48+'TUSD CVA'!$AM$48)*1</f>
        <v>415.67450254064073</v>
      </c>
      <c r="AA473" s="6">
        <f>('TE BE'!$AB$38+'TE BF'!$AB$38+'TE CVA'!$AB$38)*1</f>
        <v>135.80626150990429</v>
      </c>
      <c r="AB473" s="6">
        <f>$K$473*$V$473</f>
        <v>0</v>
      </c>
      <c r="AC473" s="6">
        <f>$M$473*$W$473</f>
        <v>-60.321599999999997</v>
      </c>
      <c r="AD473" s="6">
        <f>$O$473*$X$473</f>
        <v>-22.6112</v>
      </c>
      <c r="AE473" s="6">
        <f>$K$473*$Y$473</f>
        <v>0</v>
      </c>
      <c r="AF473" s="6">
        <f ca="1">$M$473*$Z$473</f>
        <v>-66.507920406502521</v>
      </c>
      <c r="AG473" s="6">
        <f>$O$473*$AA$473</f>
        <v>-21.729001841584687</v>
      </c>
    </row>
    <row r="474" spans="1:33" ht="11.25" customHeight="1" x14ac:dyDescent="0.25">
      <c r="A474" s="4" t="s">
        <v>28</v>
      </c>
      <c r="B474" s="4" t="s">
        <v>33</v>
      </c>
      <c r="C474" s="4" t="s">
        <v>23</v>
      </c>
      <c r="D474" s="4" t="s">
        <v>39</v>
      </c>
      <c r="E474" s="4" t="s">
        <v>25</v>
      </c>
      <c r="F474" s="4" t="s">
        <v>25</v>
      </c>
      <c r="G474" s="4" t="s">
        <v>25</v>
      </c>
      <c r="H474" s="4" t="s">
        <v>25</v>
      </c>
      <c r="I474" s="5">
        <v>44562</v>
      </c>
      <c r="J474" s="6">
        <v>0</v>
      </c>
      <c r="K474" s="6">
        <v>0</v>
      </c>
      <c r="L474" s="6">
        <v>8.4700000000000006</v>
      </c>
      <c r="M474" s="6">
        <v>8.4700000000000006</v>
      </c>
      <c r="N474" s="6">
        <v>8.4700000000000006</v>
      </c>
      <c r="O474" s="6">
        <v>8.4700000000000006</v>
      </c>
      <c r="P474" s="6">
        <v>34</v>
      </c>
      <c r="Q474" s="4" t="s">
        <v>26</v>
      </c>
      <c r="R474" s="4">
        <v>0</v>
      </c>
      <c r="S474" s="6">
        <v>0</v>
      </c>
      <c r="T474" s="6">
        <v>72</v>
      </c>
      <c r="U474" s="6">
        <v>83</v>
      </c>
      <c r="V474" s="6">
        <f>IF(ISERROR(VLOOKUP($S$474,'TAR FIN'!$A$1:$O$85,15,0)),0,VLOOKUP($S$474,'TAR FIN'!$A$1:$O$85,15,0))</f>
        <v>0</v>
      </c>
      <c r="W474" s="6">
        <f>IF(ISERROR(VLOOKUP($T$474,'TAR FIN'!$A$1:$O$85,15,0)),0,VLOOKUP($T$474,'TAR FIN'!$A$1:$O$85,15,0))</f>
        <v>377.01</v>
      </c>
      <c r="X474" s="6">
        <f>IF(ISERROR(VLOOKUP($U$474,'TAR FIN'!$A$1:$O$85,15,0)),0,VLOOKUP($U$474,'TAR FIN'!$A$1:$O$85,15,0))</f>
        <v>141.32</v>
      </c>
      <c r="Y474" s="6"/>
      <c r="Z474" s="6">
        <f ca="1">('TUSD BE'!$AM$48+'TUSD BF'!$AM$48+'TUSD CVA'!$AM$48)*1</f>
        <v>415.67450254064073</v>
      </c>
      <c r="AA474" s="6">
        <f>('TE BE'!$AB$38+'TE BF'!$AB$38+'TE CVA'!$AB$38)*1</f>
        <v>135.80626150990429</v>
      </c>
      <c r="AB474" s="6">
        <f>$K$474*$V$474</f>
        <v>0</v>
      </c>
      <c r="AC474" s="6">
        <f>$M$474*$W$474</f>
        <v>3193.2746999999999</v>
      </c>
      <c r="AD474" s="6">
        <f>$O$474*$X$474</f>
        <v>1196.9804000000001</v>
      </c>
      <c r="AE474" s="6">
        <f>$K$474*$Y$474</f>
        <v>0</v>
      </c>
      <c r="AF474" s="6">
        <f ca="1">$M$474*$Z$474</f>
        <v>3520.7630365192272</v>
      </c>
      <c r="AG474" s="6">
        <f>$O$474*$AA$474</f>
        <v>1150.2790349888894</v>
      </c>
    </row>
    <row r="475" spans="1:33" ht="11.25" customHeight="1" x14ac:dyDescent="0.25">
      <c r="A475" s="4" t="s">
        <v>21</v>
      </c>
      <c r="B475" s="4" t="s">
        <v>33</v>
      </c>
      <c r="C475" s="4" t="s">
        <v>23</v>
      </c>
      <c r="D475" s="4" t="s">
        <v>39</v>
      </c>
      <c r="E475" s="4" t="s">
        <v>25</v>
      </c>
      <c r="F475" s="4" t="s">
        <v>25</v>
      </c>
      <c r="G475" s="4" t="s">
        <v>25</v>
      </c>
      <c r="H475" s="4" t="s">
        <v>25</v>
      </c>
      <c r="I475" s="5">
        <v>44593</v>
      </c>
      <c r="J475" s="6">
        <v>0</v>
      </c>
      <c r="K475" s="6">
        <v>0</v>
      </c>
      <c r="L475" s="6">
        <v>247.99199999999999</v>
      </c>
      <c r="M475" s="6">
        <v>247.99199999999999</v>
      </c>
      <c r="N475" s="6">
        <v>247.99199999999999</v>
      </c>
      <c r="O475" s="6">
        <v>247.99199999999999</v>
      </c>
      <c r="P475" s="6">
        <v>579</v>
      </c>
      <c r="Q475" s="4" t="s">
        <v>26</v>
      </c>
      <c r="R475" s="4">
        <v>0</v>
      </c>
      <c r="S475" s="6">
        <v>0</v>
      </c>
      <c r="T475" s="6">
        <v>72</v>
      </c>
      <c r="U475" s="6">
        <v>83</v>
      </c>
      <c r="V475" s="6">
        <f>IF(ISERROR(VLOOKUP($S$475,'TAR FIN'!$A$1:$O$85,15,0)),0,VLOOKUP($S$475,'TAR FIN'!$A$1:$O$85,15,0))</f>
        <v>0</v>
      </c>
      <c r="W475" s="6">
        <f>IF(ISERROR(VLOOKUP($T$475,'TAR FIN'!$A$1:$O$85,15,0)),0,VLOOKUP($T$475,'TAR FIN'!$A$1:$O$85,15,0))</f>
        <v>377.01</v>
      </c>
      <c r="X475" s="6">
        <f>IF(ISERROR(VLOOKUP($U$475,'TAR FIN'!$A$1:$O$85,15,0)),0,VLOOKUP($U$475,'TAR FIN'!$A$1:$O$85,15,0))</f>
        <v>141.32</v>
      </c>
      <c r="Y475" s="6"/>
      <c r="Z475" s="6">
        <f ca="1">('TUSD BE'!$AM$48+'TUSD BF'!$AM$48+'TUSD CVA'!$AM$48)*1</f>
        <v>415.67450254064073</v>
      </c>
      <c r="AA475" s="6">
        <f>('TE BE'!$AB$38+'TE BF'!$AB$38+'TE CVA'!$AB$38)*1</f>
        <v>135.80626150990429</v>
      </c>
      <c r="AB475" s="6">
        <f>$K$475*$V$475</f>
        <v>0</v>
      </c>
      <c r="AC475" s="6">
        <f>$M$475*$W$475</f>
        <v>93495.463919999995</v>
      </c>
      <c r="AD475" s="6">
        <f>$O$475*$X$475</f>
        <v>35046.229439999996</v>
      </c>
      <c r="AE475" s="6">
        <f>$K$475*$Y$475</f>
        <v>0</v>
      </c>
      <c r="AF475" s="6">
        <f ca="1">$M$475*$Z$475</f>
        <v>103083.95123405858</v>
      </c>
      <c r="AG475" s="6">
        <f>$O$475*$AA$475</f>
        <v>33678.866404364184</v>
      </c>
    </row>
    <row r="476" spans="1:33" ht="11.25" customHeight="1" x14ac:dyDescent="0.25">
      <c r="A476" s="4" t="s">
        <v>28</v>
      </c>
      <c r="B476" s="4" t="s">
        <v>33</v>
      </c>
      <c r="C476" s="4" t="s">
        <v>23</v>
      </c>
      <c r="D476" s="4" t="s">
        <v>39</v>
      </c>
      <c r="E476" s="4" t="s">
        <v>25</v>
      </c>
      <c r="F476" s="4" t="s">
        <v>25</v>
      </c>
      <c r="G476" s="4" t="s">
        <v>25</v>
      </c>
      <c r="H476" s="4" t="s">
        <v>25</v>
      </c>
      <c r="I476" s="5">
        <v>44593</v>
      </c>
      <c r="J476" s="6">
        <v>0</v>
      </c>
      <c r="K476" s="6">
        <v>0</v>
      </c>
      <c r="L476" s="6">
        <v>7.9870000000000001</v>
      </c>
      <c r="M476" s="6">
        <v>7.9870000000000001</v>
      </c>
      <c r="N476" s="6">
        <v>7.9870000000000001</v>
      </c>
      <c r="O476" s="6">
        <v>7.9870000000000001</v>
      </c>
      <c r="P476" s="6">
        <v>34</v>
      </c>
      <c r="Q476" s="4" t="s">
        <v>26</v>
      </c>
      <c r="R476" s="4">
        <v>0</v>
      </c>
      <c r="S476" s="6">
        <v>0</v>
      </c>
      <c r="T476" s="6">
        <v>72</v>
      </c>
      <c r="U476" s="6">
        <v>83</v>
      </c>
      <c r="V476" s="6">
        <f>IF(ISERROR(VLOOKUP($S$476,'TAR FIN'!$A$1:$O$85,15,0)),0,VLOOKUP($S$476,'TAR FIN'!$A$1:$O$85,15,0))</f>
        <v>0</v>
      </c>
      <c r="W476" s="6">
        <f>IF(ISERROR(VLOOKUP($T$476,'TAR FIN'!$A$1:$O$85,15,0)),0,VLOOKUP($T$476,'TAR FIN'!$A$1:$O$85,15,0))</f>
        <v>377.01</v>
      </c>
      <c r="X476" s="6">
        <f>IF(ISERROR(VLOOKUP($U$476,'TAR FIN'!$A$1:$O$85,15,0)),0,VLOOKUP($U$476,'TAR FIN'!$A$1:$O$85,15,0))</f>
        <v>141.32</v>
      </c>
      <c r="Y476" s="6"/>
      <c r="Z476" s="6">
        <f ca="1">('TUSD BE'!$AM$48+'TUSD BF'!$AM$48+'TUSD CVA'!$AM$48)*1</f>
        <v>415.67450254064073</v>
      </c>
      <c r="AA476" s="6">
        <f>('TE BE'!$AB$38+'TE BF'!$AB$38+'TE CVA'!$AB$38)*1</f>
        <v>135.80626150990429</v>
      </c>
      <c r="AB476" s="6">
        <f>$K$476*$V$476</f>
        <v>0</v>
      </c>
      <c r="AC476" s="6">
        <f>$M$476*$W$476</f>
        <v>3011.1788700000002</v>
      </c>
      <c r="AD476" s="6">
        <f>$O$476*$X$476</f>
        <v>1128.7228399999999</v>
      </c>
      <c r="AE476" s="6">
        <f>$K$476*$Y$476</f>
        <v>0</v>
      </c>
      <c r="AF476" s="6">
        <f ca="1">$M$476*$Z$476</f>
        <v>3319.9922517920977</v>
      </c>
      <c r="AG476" s="6">
        <f>$O$476*$AA$476</f>
        <v>1084.6846106796056</v>
      </c>
    </row>
    <row r="477" spans="1:33" ht="11.25" customHeight="1" x14ac:dyDescent="0.25">
      <c r="A477" s="4" t="s">
        <v>21</v>
      </c>
      <c r="B477" s="4" t="s">
        <v>33</v>
      </c>
      <c r="C477" s="4" t="s">
        <v>23</v>
      </c>
      <c r="D477" s="4" t="s">
        <v>39</v>
      </c>
      <c r="E477" s="4" t="s">
        <v>25</v>
      </c>
      <c r="F477" s="4" t="s">
        <v>25</v>
      </c>
      <c r="G477" s="4" t="s">
        <v>25</v>
      </c>
      <c r="H477" s="4" t="s">
        <v>25</v>
      </c>
      <c r="I477" s="5">
        <v>44621</v>
      </c>
      <c r="J477" s="6">
        <v>0</v>
      </c>
      <c r="K477" s="6">
        <v>0</v>
      </c>
      <c r="L477" s="6">
        <v>239.46899999999999</v>
      </c>
      <c r="M477" s="6">
        <v>239.46899999999999</v>
      </c>
      <c r="N477" s="6">
        <v>239.46899999999999</v>
      </c>
      <c r="O477" s="6">
        <v>239.46899999999999</v>
      </c>
      <c r="P477" s="6">
        <v>587</v>
      </c>
      <c r="Q477" s="4" t="s">
        <v>26</v>
      </c>
      <c r="R477" s="4">
        <v>0</v>
      </c>
      <c r="S477" s="6">
        <v>0</v>
      </c>
      <c r="T477" s="6">
        <v>72</v>
      </c>
      <c r="U477" s="6">
        <v>83</v>
      </c>
      <c r="V477" s="6">
        <f>IF(ISERROR(VLOOKUP($S$477,'TAR FIN'!$A$1:$O$85,15,0)),0,VLOOKUP($S$477,'TAR FIN'!$A$1:$O$85,15,0))</f>
        <v>0</v>
      </c>
      <c r="W477" s="6">
        <f>IF(ISERROR(VLOOKUP($T$477,'TAR FIN'!$A$1:$O$85,15,0)),0,VLOOKUP($T$477,'TAR FIN'!$A$1:$O$85,15,0))</f>
        <v>377.01</v>
      </c>
      <c r="X477" s="6">
        <f>IF(ISERROR(VLOOKUP($U$477,'TAR FIN'!$A$1:$O$85,15,0)),0,VLOOKUP($U$477,'TAR FIN'!$A$1:$O$85,15,0))</f>
        <v>141.32</v>
      </c>
      <c r="Y477" s="6"/>
      <c r="Z477" s="6">
        <f ca="1">('TUSD BE'!$AM$48+'TUSD BF'!$AM$48+'TUSD CVA'!$AM$48)*1</f>
        <v>415.67450254064073</v>
      </c>
      <c r="AA477" s="6">
        <f>('TE BE'!$AB$38+'TE BF'!$AB$38+'TE CVA'!$AB$38)*1</f>
        <v>135.80626150990429</v>
      </c>
      <c r="AB477" s="6">
        <f>$K$477*$V$477</f>
        <v>0</v>
      </c>
      <c r="AC477" s="6">
        <f>$M$477*$W$477</f>
        <v>90282.207689999996</v>
      </c>
      <c r="AD477" s="6">
        <f>$O$477*$X$477</f>
        <v>33841.759079999996</v>
      </c>
      <c r="AE477" s="6">
        <f>$K$477*$Y$477</f>
        <v>0</v>
      </c>
      <c r="AF477" s="6">
        <f ca="1">$M$477*$Z$477</f>
        <v>99541.157448904691</v>
      </c>
      <c r="AG477" s="6">
        <f>$O$477*$AA$477</f>
        <v>32521.389637515269</v>
      </c>
    </row>
    <row r="478" spans="1:33" ht="11.25" customHeight="1" x14ac:dyDescent="0.25">
      <c r="A478" s="4" t="s">
        <v>28</v>
      </c>
      <c r="B478" s="4" t="s">
        <v>33</v>
      </c>
      <c r="C478" s="4" t="s">
        <v>23</v>
      </c>
      <c r="D478" s="4" t="s">
        <v>39</v>
      </c>
      <c r="E478" s="4" t="s">
        <v>25</v>
      </c>
      <c r="F478" s="4" t="s">
        <v>25</v>
      </c>
      <c r="G478" s="4" t="s">
        <v>25</v>
      </c>
      <c r="H478" s="4" t="s">
        <v>25</v>
      </c>
      <c r="I478" s="5">
        <v>44621</v>
      </c>
      <c r="J478" s="6">
        <v>0</v>
      </c>
      <c r="K478" s="6">
        <v>0</v>
      </c>
      <c r="L478" s="6">
        <v>7.8159999999999998</v>
      </c>
      <c r="M478" s="6">
        <v>7.8159999999999998</v>
      </c>
      <c r="N478" s="6">
        <v>7.8159999999999998</v>
      </c>
      <c r="O478" s="6">
        <v>7.8159999999999998</v>
      </c>
      <c r="P478" s="6">
        <v>30</v>
      </c>
      <c r="Q478" s="4" t="s">
        <v>26</v>
      </c>
      <c r="R478" s="4">
        <v>0</v>
      </c>
      <c r="S478" s="6">
        <v>0</v>
      </c>
      <c r="T478" s="6">
        <v>72</v>
      </c>
      <c r="U478" s="6">
        <v>83</v>
      </c>
      <c r="V478" s="6">
        <f>IF(ISERROR(VLOOKUP($S$478,'TAR FIN'!$A$1:$O$85,15,0)),0,VLOOKUP($S$478,'TAR FIN'!$A$1:$O$85,15,0))</f>
        <v>0</v>
      </c>
      <c r="W478" s="6">
        <f>IF(ISERROR(VLOOKUP($T$478,'TAR FIN'!$A$1:$O$85,15,0)),0,VLOOKUP($T$478,'TAR FIN'!$A$1:$O$85,15,0))</f>
        <v>377.01</v>
      </c>
      <c r="X478" s="6">
        <f>IF(ISERROR(VLOOKUP($U$478,'TAR FIN'!$A$1:$O$85,15,0)),0,VLOOKUP($U$478,'TAR FIN'!$A$1:$O$85,15,0))</f>
        <v>141.32</v>
      </c>
      <c r="Y478" s="6"/>
      <c r="Z478" s="6">
        <f ca="1">('TUSD BE'!$AM$48+'TUSD BF'!$AM$48+'TUSD CVA'!$AM$48)*1</f>
        <v>415.67450254064073</v>
      </c>
      <c r="AA478" s="6">
        <f>('TE BE'!$AB$38+'TE BF'!$AB$38+'TE CVA'!$AB$38)*1</f>
        <v>135.80626150990429</v>
      </c>
      <c r="AB478" s="6">
        <f>$K$478*$V$478</f>
        <v>0</v>
      </c>
      <c r="AC478" s="6">
        <f>$M$478*$W$478</f>
        <v>2946.7101600000001</v>
      </c>
      <c r="AD478" s="6">
        <f>$O$478*$X$478</f>
        <v>1104.5571199999999</v>
      </c>
      <c r="AE478" s="6">
        <f>$K$478*$Y$478</f>
        <v>0</v>
      </c>
      <c r="AF478" s="6">
        <f ca="1">$M$478*$Z$478</f>
        <v>3248.9119118576477</v>
      </c>
      <c r="AG478" s="6">
        <f>$O$478*$AA$478</f>
        <v>1061.4617399614119</v>
      </c>
    </row>
    <row r="479" spans="1:33" ht="11.25" customHeight="1" x14ac:dyDescent="0.25">
      <c r="A479" s="4" t="s">
        <v>21</v>
      </c>
      <c r="B479" s="4" t="s">
        <v>33</v>
      </c>
      <c r="C479" s="4" t="s">
        <v>23</v>
      </c>
      <c r="D479" s="4" t="s">
        <v>39</v>
      </c>
      <c r="E479" s="4" t="s">
        <v>25</v>
      </c>
      <c r="F479" s="4" t="s">
        <v>25</v>
      </c>
      <c r="G479" s="4" t="s">
        <v>25</v>
      </c>
      <c r="H479" s="4" t="s">
        <v>25</v>
      </c>
      <c r="I479" s="5">
        <v>44652</v>
      </c>
      <c r="J479" s="6">
        <v>0</v>
      </c>
      <c r="K479" s="6">
        <v>0</v>
      </c>
      <c r="L479" s="6">
        <v>228.21299999999999</v>
      </c>
      <c r="M479" s="6">
        <v>228.21299999999999</v>
      </c>
      <c r="N479" s="6">
        <v>228.21299999999999</v>
      </c>
      <c r="O479" s="6">
        <v>228.21299999999999</v>
      </c>
      <c r="P479" s="6">
        <v>588</v>
      </c>
      <c r="Q479" s="4" t="s">
        <v>26</v>
      </c>
      <c r="R479" s="4">
        <v>0</v>
      </c>
      <c r="S479" s="6">
        <v>0</v>
      </c>
      <c r="T479" s="6">
        <v>72</v>
      </c>
      <c r="U479" s="6">
        <v>83</v>
      </c>
      <c r="V479" s="6">
        <f>IF(ISERROR(VLOOKUP($S$479,'TAR FIN'!$A$1:$O$85,15,0)),0,VLOOKUP($S$479,'TAR FIN'!$A$1:$O$85,15,0))</f>
        <v>0</v>
      </c>
      <c r="W479" s="6">
        <f>IF(ISERROR(VLOOKUP($T$479,'TAR FIN'!$A$1:$O$85,15,0)),0,VLOOKUP($T$479,'TAR FIN'!$A$1:$O$85,15,0))</f>
        <v>377.01</v>
      </c>
      <c r="X479" s="6">
        <f>IF(ISERROR(VLOOKUP($U$479,'TAR FIN'!$A$1:$O$85,15,0)),0,VLOOKUP($U$479,'TAR FIN'!$A$1:$O$85,15,0))</f>
        <v>141.32</v>
      </c>
      <c r="Y479" s="6"/>
      <c r="Z479" s="6">
        <f ca="1">('TUSD BE'!$AM$48+'TUSD BF'!$AM$48+'TUSD CVA'!$AM$48)*1</f>
        <v>415.67450254064073</v>
      </c>
      <c r="AA479" s="6">
        <f>('TE BE'!$AB$38+'TE BF'!$AB$38+'TE CVA'!$AB$38)*1</f>
        <v>135.80626150990429</v>
      </c>
      <c r="AB479" s="6">
        <f>$K$479*$V$479</f>
        <v>0</v>
      </c>
      <c r="AC479" s="6">
        <f>$M$479*$W$479</f>
        <v>86038.583129999999</v>
      </c>
      <c r="AD479" s="6">
        <f>$O$479*$X$479</f>
        <v>32251.061159999997</v>
      </c>
      <c r="AE479" s="6">
        <f>$K$479*$Y$479</f>
        <v>0</v>
      </c>
      <c r="AF479" s="6">
        <f ca="1">$M$479*$Z$479</f>
        <v>94862.325248307243</v>
      </c>
      <c r="AG479" s="6">
        <f>$O$479*$AA$479</f>
        <v>30992.754357959788</v>
      </c>
    </row>
    <row r="480" spans="1:33" ht="11.25" customHeight="1" x14ac:dyDescent="0.25">
      <c r="A480" s="4" t="s">
        <v>27</v>
      </c>
      <c r="B480" s="4" t="s">
        <v>33</v>
      </c>
      <c r="C480" s="4" t="s">
        <v>23</v>
      </c>
      <c r="D480" s="4" t="s">
        <v>39</v>
      </c>
      <c r="E480" s="4" t="s">
        <v>25</v>
      </c>
      <c r="F480" s="4" t="s">
        <v>25</v>
      </c>
      <c r="G480" s="4" t="s">
        <v>25</v>
      </c>
      <c r="H480" s="4" t="s">
        <v>25</v>
      </c>
      <c r="I480" s="5">
        <v>44652</v>
      </c>
      <c r="J480" s="6">
        <v>0</v>
      </c>
      <c r="K480" s="6">
        <v>0</v>
      </c>
      <c r="L480" s="6">
        <v>-1</v>
      </c>
      <c r="M480" s="6">
        <v>-1</v>
      </c>
      <c r="N480" s="6">
        <v>-1</v>
      </c>
      <c r="O480" s="6">
        <v>-1</v>
      </c>
      <c r="P480" s="6">
        <v>0</v>
      </c>
      <c r="Q480" s="4" t="s">
        <v>26</v>
      </c>
      <c r="R480" s="4">
        <v>0</v>
      </c>
      <c r="S480" s="6">
        <v>0</v>
      </c>
      <c r="T480" s="6">
        <v>72</v>
      </c>
      <c r="U480" s="6">
        <v>83</v>
      </c>
      <c r="V480" s="6">
        <f>IF(ISERROR(VLOOKUP($S$480,'TAR FIN'!$A$1:$O$85,15,0)),0,VLOOKUP($S$480,'TAR FIN'!$A$1:$O$85,15,0))</f>
        <v>0</v>
      </c>
      <c r="W480" s="6">
        <f>IF(ISERROR(VLOOKUP($T$480,'TAR FIN'!$A$1:$O$85,15,0)),0,VLOOKUP($T$480,'TAR FIN'!$A$1:$O$85,15,0))</f>
        <v>377.01</v>
      </c>
      <c r="X480" s="6">
        <f>IF(ISERROR(VLOOKUP($U$480,'TAR FIN'!$A$1:$O$85,15,0)),0,VLOOKUP($U$480,'TAR FIN'!$A$1:$O$85,15,0))</f>
        <v>141.32</v>
      </c>
      <c r="Y480" s="6"/>
      <c r="Z480" s="6">
        <f ca="1">('TUSD BE'!$AM$48+'TUSD BF'!$AM$48+'TUSD CVA'!$AM$48)*1</f>
        <v>415.67450254064073</v>
      </c>
      <c r="AA480" s="6">
        <f>('TE BE'!$AB$38+'TE BF'!$AB$38+'TE CVA'!$AB$38)*1</f>
        <v>135.80626150990429</v>
      </c>
      <c r="AB480" s="6">
        <f>$K$480*$V$480</f>
        <v>0</v>
      </c>
      <c r="AC480" s="6">
        <f>$M$480*$W$480</f>
        <v>-377.01</v>
      </c>
      <c r="AD480" s="6">
        <f>$O$480*$X$480</f>
        <v>-141.32</v>
      </c>
      <c r="AE480" s="6">
        <f>$K$480*$Y$480</f>
        <v>0</v>
      </c>
      <c r="AF480" s="6">
        <f ca="1">$M$480*$Z$480</f>
        <v>-415.67450254064073</v>
      </c>
      <c r="AG480" s="6">
        <f>$O$480*$AA$480</f>
        <v>-135.80626150990429</v>
      </c>
    </row>
    <row r="481" spans="1:33" ht="11.25" customHeight="1" x14ac:dyDescent="0.25">
      <c r="A481" s="4" t="s">
        <v>28</v>
      </c>
      <c r="B481" s="4" t="s">
        <v>33</v>
      </c>
      <c r="C481" s="4" t="s">
        <v>23</v>
      </c>
      <c r="D481" s="4" t="s">
        <v>39</v>
      </c>
      <c r="E481" s="4" t="s">
        <v>25</v>
      </c>
      <c r="F481" s="4" t="s">
        <v>25</v>
      </c>
      <c r="G481" s="4" t="s">
        <v>25</v>
      </c>
      <c r="H481" s="4" t="s">
        <v>25</v>
      </c>
      <c r="I481" s="5">
        <v>44652</v>
      </c>
      <c r="J481" s="6">
        <v>0</v>
      </c>
      <c r="K481" s="6">
        <v>0</v>
      </c>
      <c r="L481" s="6">
        <v>9.9359999999999999</v>
      </c>
      <c r="M481" s="6">
        <v>9.9359999999999999</v>
      </c>
      <c r="N481" s="6">
        <v>9.9359999999999999</v>
      </c>
      <c r="O481" s="6">
        <v>9.9359999999999999</v>
      </c>
      <c r="P481" s="6">
        <v>30</v>
      </c>
      <c r="Q481" s="4" t="s">
        <v>26</v>
      </c>
      <c r="R481" s="4">
        <v>0</v>
      </c>
      <c r="S481" s="6">
        <v>0</v>
      </c>
      <c r="T481" s="6">
        <v>72</v>
      </c>
      <c r="U481" s="6">
        <v>83</v>
      </c>
      <c r="V481" s="6">
        <f>IF(ISERROR(VLOOKUP($S$481,'TAR FIN'!$A$1:$O$85,15,0)),0,VLOOKUP($S$481,'TAR FIN'!$A$1:$O$85,15,0))</f>
        <v>0</v>
      </c>
      <c r="W481" s="6">
        <f>IF(ISERROR(VLOOKUP($T$481,'TAR FIN'!$A$1:$O$85,15,0)),0,VLOOKUP($T$481,'TAR FIN'!$A$1:$O$85,15,0))</f>
        <v>377.01</v>
      </c>
      <c r="X481" s="6">
        <f>IF(ISERROR(VLOOKUP($U$481,'TAR FIN'!$A$1:$O$85,15,0)),0,VLOOKUP($U$481,'TAR FIN'!$A$1:$O$85,15,0))</f>
        <v>141.32</v>
      </c>
      <c r="Y481" s="6"/>
      <c r="Z481" s="6">
        <f ca="1">('TUSD BE'!$AM$48+'TUSD BF'!$AM$48+'TUSD CVA'!$AM$48)*1</f>
        <v>415.67450254064073</v>
      </c>
      <c r="AA481" s="6">
        <f>('TE BE'!$AB$38+'TE BF'!$AB$38+'TE CVA'!$AB$38)*1</f>
        <v>135.80626150990429</v>
      </c>
      <c r="AB481" s="6">
        <f>$K$481*$V$481</f>
        <v>0</v>
      </c>
      <c r="AC481" s="6">
        <f>$M$481*$W$481</f>
        <v>3745.97136</v>
      </c>
      <c r="AD481" s="6">
        <f>$O$481*$X$481</f>
        <v>1404.15552</v>
      </c>
      <c r="AE481" s="6">
        <f>$K$481*$Y$481</f>
        <v>0</v>
      </c>
      <c r="AF481" s="6">
        <f ca="1">$M$481*$Z$481</f>
        <v>4130.141857243806</v>
      </c>
      <c r="AG481" s="6">
        <f>$O$481*$AA$481</f>
        <v>1349.3710143624089</v>
      </c>
    </row>
    <row r="482" spans="1:33" ht="11.25" customHeight="1" x14ac:dyDescent="0.25">
      <c r="A482" s="4" t="s">
        <v>21</v>
      </c>
      <c r="B482" s="4" t="s">
        <v>33</v>
      </c>
      <c r="C482" s="4" t="s">
        <v>23</v>
      </c>
      <c r="D482" s="4" t="s">
        <v>39</v>
      </c>
      <c r="E482" s="4" t="s">
        <v>25</v>
      </c>
      <c r="F482" s="4" t="s">
        <v>25</v>
      </c>
      <c r="G482" s="4" t="s">
        <v>25</v>
      </c>
      <c r="H482" s="4" t="s">
        <v>25</v>
      </c>
      <c r="I482" s="5">
        <v>44682</v>
      </c>
      <c r="J482" s="6">
        <v>0</v>
      </c>
      <c r="K482" s="6">
        <v>0</v>
      </c>
      <c r="L482" s="6">
        <v>213.23699999999999</v>
      </c>
      <c r="M482" s="6">
        <v>213.23699999999999</v>
      </c>
      <c r="N482" s="6">
        <v>213.23699999999999</v>
      </c>
      <c r="O482" s="6">
        <v>213.23699999999999</v>
      </c>
      <c r="P482" s="6">
        <v>587</v>
      </c>
      <c r="Q482" s="4" t="s">
        <v>26</v>
      </c>
      <c r="R482" s="4">
        <v>0</v>
      </c>
      <c r="S482" s="6">
        <v>0</v>
      </c>
      <c r="T482" s="6">
        <v>72</v>
      </c>
      <c r="U482" s="6">
        <v>83</v>
      </c>
      <c r="V482" s="6">
        <f>IF(ISERROR(VLOOKUP($S$482,'TAR FIN'!$A$1:$O$85,15,0)),0,VLOOKUP($S$482,'TAR FIN'!$A$1:$O$85,15,0))</f>
        <v>0</v>
      </c>
      <c r="W482" s="6">
        <f>IF(ISERROR(VLOOKUP($T$482,'TAR FIN'!$A$1:$O$85,15,0)),0,VLOOKUP($T$482,'TAR FIN'!$A$1:$O$85,15,0))</f>
        <v>377.01</v>
      </c>
      <c r="X482" s="6">
        <f>IF(ISERROR(VLOOKUP($U$482,'TAR FIN'!$A$1:$O$85,15,0)),0,VLOOKUP($U$482,'TAR FIN'!$A$1:$O$85,15,0))</f>
        <v>141.32</v>
      </c>
      <c r="Y482" s="6"/>
      <c r="Z482" s="6">
        <f ca="1">('TUSD BE'!$AM$48+'TUSD BF'!$AM$48+'TUSD CVA'!$AM$48)*1</f>
        <v>415.67450254064073</v>
      </c>
      <c r="AA482" s="6">
        <f>('TE BE'!$AB$38+'TE BF'!$AB$38+'TE CVA'!$AB$38)*1</f>
        <v>135.80626150990429</v>
      </c>
      <c r="AB482" s="6">
        <f>$K$482*$V$482</f>
        <v>0</v>
      </c>
      <c r="AC482" s="6">
        <f>$M$482*$W$482</f>
        <v>80392.481369999994</v>
      </c>
      <c r="AD482" s="6">
        <f>$O$482*$X$482</f>
        <v>30134.652839999999</v>
      </c>
      <c r="AE482" s="6">
        <f>$K$482*$Y$482</f>
        <v>0</v>
      </c>
      <c r="AF482" s="6">
        <f ca="1">$M$482*$Z$482</f>
        <v>88637.183898258605</v>
      </c>
      <c r="AG482" s="6">
        <f>$O$482*$AA$482</f>
        <v>28958.919785587459</v>
      </c>
    </row>
    <row r="483" spans="1:33" ht="11.25" customHeight="1" x14ac:dyDescent="0.25">
      <c r="A483" s="4" t="s">
        <v>28</v>
      </c>
      <c r="B483" s="4" t="s">
        <v>33</v>
      </c>
      <c r="C483" s="4" t="s">
        <v>23</v>
      </c>
      <c r="D483" s="4" t="s">
        <v>39</v>
      </c>
      <c r="E483" s="4" t="s">
        <v>25</v>
      </c>
      <c r="F483" s="4" t="s">
        <v>25</v>
      </c>
      <c r="G483" s="4" t="s">
        <v>25</v>
      </c>
      <c r="H483" s="4" t="s">
        <v>25</v>
      </c>
      <c r="I483" s="5">
        <v>44682</v>
      </c>
      <c r="J483" s="6">
        <v>0</v>
      </c>
      <c r="K483" s="6">
        <v>0</v>
      </c>
      <c r="L483" s="6">
        <v>9.952</v>
      </c>
      <c r="M483" s="6">
        <v>9.952</v>
      </c>
      <c r="N483" s="6">
        <v>9.952</v>
      </c>
      <c r="O483" s="6">
        <v>9.952</v>
      </c>
      <c r="P483" s="6">
        <v>31</v>
      </c>
      <c r="Q483" s="4" t="s">
        <v>26</v>
      </c>
      <c r="R483" s="4">
        <v>0</v>
      </c>
      <c r="S483" s="6">
        <v>0</v>
      </c>
      <c r="T483" s="6">
        <v>72</v>
      </c>
      <c r="U483" s="6">
        <v>83</v>
      </c>
      <c r="V483" s="6">
        <f>IF(ISERROR(VLOOKUP($S$483,'TAR FIN'!$A$1:$O$85,15,0)),0,VLOOKUP($S$483,'TAR FIN'!$A$1:$O$85,15,0))</f>
        <v>0</v>
      </c>
      <c r="W483" s="6">
        <f>IF(ISERROR(VLOOKUP($T$483,'TAR FIN'!$A$1:$O$85,15,0)),0,VLOOKUP($T$483,'TAR FIN'!$A$1:$O$85,15,0))</f>
        <v>377.01</v>
      </c>
      <c r="X483" s="6">
        <f>IF(ISERROR(VLOOKUP($U$483,'TAR FIN'!$A$1:$O$85,15,0)),0,VLOOKUP($U$483,'TAR FIN'!$A$1:$O$85,15,0))</f>
        <v>141.32</v>
      </c>
      <c r="Y483" s="6"/>
      <c r="Z483" s="6">
        <f ca="1">('TUSD BE'!$AM$48+'TUSD BF'!$AM$48+'TUSD CVA'!$AM$48)*1</f>
        <v>415.67450254064073</v>
      </c>
      <c r="AA483" s="6">
        <f>('TE BE'!$AB$38+'TE BF'!$AB$38+'TE CVA'!$AB$38)*1</f>
        <v>135.80626150990429</v>
      </c>
      <c r="AB483" s="6">
        <f>$K$483*$V$483</f>
        <v>0</v>
      </c>
      <c r="AC483" s="6">
        <f>$M$483*$W$483</f>
        <v>3752.0035199999998</v>
      </c>
      <c r="AD483" s="6">
        <f>$O$483*$X$483</f>
        <v>1406.4166399999999</v>
      </c>
      <c r="AE483" s="6">
        <f>$K$483*$Y$483</f>
        <v>0</v>
      </c>
      <c r="AF483" s="6">
        <f ca="1">$M$483*$Z$483</f>
        <v>4136.7926492844563</v>
      </c>
      <c r="AG483" s="6">
        <f>$O$483*$AA$483</f>
        <v>1351.5439145465675</v>
      </c>
    </row>
    <row r="484" spans="1:33" ht="11.25" customHeight="1" x14ac:dyDescent="0.25">
      <c r="A484" s="4" t="s">
        <v>21</v>
      </c>
      <c r="B484" s="4" t="s">
        <v>33</v>
      </c>
      <c r="C484" s="4" t="s">
        <v>23</v>
      </c>
      <c r="D484" s="4" t="s">
        <v>39</v>
      </c>
      <c r="E484" s="4" t="s">
        <v>25</v>
      </c>
      <c r="F484" s="4" t="s">
        <v>25</v>
      </c>
      <c r="G484" s="4" t="s">
        <v>25</v>
      </c>
      <c r="H484" s="4" t="s">
        <v>25</v>
      </c>
      <c r="I484" s="5">
        <v>44713</v>
      </c>
      <c r="J484" s="6">
        <v>0</v>
      </c>
      <c r="K484" s="6">
        <v>0</v>
      </c>
      <c r="L484" s="6">
        <v>209.62200000000001</v>
      </c>
      <c r="M484" s="6">
        <v>209.62200000000001</v>
      </c>
      <c r="N484" s="6">
        <v>209.62200000000001</v>
      </c>
      <c r="O484" s="6">
        <v>209.62200000000001</v>
      </c>
      <c r="P484" s="6">
        <v>591</v>
      </c>
      <c r="Q484" s="4" t="s">
        <v>26</v>
      </c>
      <c r="R484" s="4">
        <v>0</v>
      </c>
      <c r="S484" s="6">
        <v>0</v>
      </c>
      <c r="T484" s="6">
        <v>72</v>
      </c>
      <c r="U484" s="6">
        <v>83</v>
      </c>
      <c r="V484" s="6">
        <f>IF(ISERROR(VLOOKUP($S$484,'TAR FIN'!$A$1:$O$85,15,0)),0,VLOOKUP($S$484,'TAR FIN'!$A$1:$O$85,15,0))</f>
        <v>0</v>
      </c>
      <c r="W484" s="6">
        <f>IF(ISERROR(VLOOKUP($T$484,'TAR FIN'!$A$1:$O$85,15,0)),0,VLOOKUP($T$484,'TAR FIN'!$A$1:$O$85,15,0))</f>
        <v>377.01</v>
      </c>
      <c r="X484" s="6">
        <f>IF(ISERROR(VLOOKUP($U$484,'TAR FIN'!$A$1:$O$85,15,0)),0,VLOOKUP($U$484,'TAR FIN'!$A$1:$O$85,15,0))</f>
        <v>141.32</v>
      </c>
      <c r="Y484" s="6"/>
      <c r="Z484" s="6">
        <f ca="1">('TUSD BE'!$AM$48+'TUSD BF'!$AM$48+'TUSD CVA'!$AM$48)*1</f>
        <v>415.67450254064073</v>
      </c>
      <c r="AA484" s="6">
        <f>('TE BE'!$AB$38+'TE BF'!$AB$38+'TE CVA'!$AB$38)*1</f>
        <v>135.80626150990429</v>
      </c>
      <c r="AB484" s="6">
        <f>$K$484*$V$484</f>
        <v>0</v>
      </c>
      <c r="AC484" s="6">
        <f>$M$484*$W$484</f>
        <v>79029.590219999998</v>
      </c>
      <c r="AD484" s="6">
        <f>$O$484*$X$484</f>
        <v>29623.781040000002</v>
      </c>
      <c r="AE484" s="6">
        <f>$K$484*$Y$484</f>
        <v>0</v>
      </c>
      <c r="AF484" s="6">
        <f ca="1">$M$484*$Z$484</f>
        <v>87134.52057157419</v>
      </c>
      <c r="AG484" s="6">
        <f>$O$484*$AA$484</f>
        <v>28467.980150229159</v>
      </c>
    </row>
    <row r="485" spans="1:33" ht="11.25" customHeight="1" x14ac:dyDescent="0.25">
      <c r="A485" s="4" t="s">
        <v>28</v>
      </c>
      <c r="B485" s="4" t="s">
        <v>33</v>
      </c>
      <c r="C485" s="4" t="s">
        <v>23</v>
      </c>
      <c r="D485" s="4" t="s">
        <v>39</v>
      </c>
      <c r="E485" s="4" t="s">
        <v>25</v>
      </c>
      <c r="F485" s="4" t="s">
        <v>25</v>
      </c>
      <c r="G485" s="4" t="s">
        <v>25</v>
      </c>
      <c r="H485" s="4" t="s">
        <v>25</v>
      </c>
      <c r="I485" s="5">
        <v>44713</v>
      </c>
      <c r="J485" s="6">
        <v>0</v>
      </c>
      <c r="K485" s="6">
        <v>0</v>
      </c>
      <c r="L485" s="6">
        <v>11.952999999999999</v>
      </c>
      <c r="M485" s="6">
        <v>11.952999999999999</v>
      </c>
      <c r="N485" s="6">
        <v>11.952999999999999</v>
      </c>
      <c r="O485" s="6">
        <v>11.952999999999999</v>
      </c>
      <c r="P485" s="6">
        <v>32</v>
      </c>
      <c r="Q485" s="4" t="s">
        <v>26</v>
      </c>
      <c r="R485" s="4">
        <v>0</v>
      </c>
      <c r="S485" s="6">
        <v>0</v>
      </c>
      <c r="T485" s="6">
        <v>72</v>
      </c>
      <c r="U485" s="6">
        <v>83</v>
      </c>
      <c r="V485" s="6">
        <f>IF(ISERROR(VLOOKUP($S$485,'TAR FIN'!$A$1:$O$85,15,0)),0,VLOOKUP($S$485,'TAR FIN'!$A$1:$O$85,15,0))</f>
        <v>0</v>
      </c>
      <c r="W485" s="6">
        <f>IF(ISERROR(VLOOKUP($T$485,'TAR FIN'!$A$1:$O$85,15,0)),0,VLOOKUP($T$485,'TAR FIN'!$A$1:$O$85,15,0))</f>
        <v>377.01</v>
      </c>
      <c r="X485" s="6">
        <f>IF(ISERROR(VLOOKUP($U$485,'TAR FIN'!$A$1:$O$85,15,0)),0,VLOOKUP($U$485,'TAR FIN'!$A$1:$O$85,15,0))</f>
        <v>141.32</v>
      </c>
      <c r="Y485" s="6"/>
      <c r="Z485" s="6">
        <f ca="1">('TUSD BE'!$AM$48+'TUSD BF'!$AM$48+'TUSD CVA'!$AM$48)*1</f>
        <v>415.67450254064073</v>
      </c>
      <c r="AA485" s="6">
        <f>('TE BE'!$AB$38+'TE BF'!$AB$38+'TE CVA'!$AB$38)*1</f>
        <v>135.80626150990429</v>
      </c>
      <c r="AB485" s="6">
        <f>$K$485*$V$485</f>
        <v>0</v>
      </c>
      <c r="AC485" s="6">
        <f>$M$485*$W$485</f>
        <v>4506.4005299999999</v>
      </c>
      <c r="AD485" s="6">
        <f>$O$485*$X$485</f>
        <v>1689.1979599999997</v>
      </c>
      <c r="AE485" s="6">
        <f>$K$485*$Y$485</f>
        <v>0</v>
      </c>
      <c r="AF485" s="6">
        <f ca="1">$M$485*$Z$485</f>
        <v>4968.5573288682781</v>
      </c>
      <c r="AG485" s="6">
        <f>$O$485*$AA$485</f>
        <v>1623.2922438278858</v>
      </c>
    </row>
    <row r="486" spans="1:33" ht="11.25" customHeight="1" x14ac:dyDescent="0.25">
      <c r="A486" s="4" t="s">
        <v>21</v>
      </c>
      <c r="B486" s="4" t="s">
        <v>33</v>
      </c>
      <c r="C486" s="4" t="s">
        <v>23</v>
      </c>
      <c r="D486" s="4" t="s">
        <v>39</v>
      </c>
      <c r="E486" s="4" t="s">
        <v>25</v>
      </c>
      <c r="F486" s="4" t="s">
        <v>25</v>
      </c>
      <c r="G486" s="4" t="s">
        <v>25</v>
      </c>
      <c r="H486" s="4" t="s">
        <v>25</v>
      </c>
      <c r="I486" s="5">
        <v>44743</v>
      </c>
      <c r="J486" s="6">
        <v>0</v>
      </c>
      <c r="K486" s="6">
        <v>0</v>
      </c>
      <c r="L486" s="6">
        <v>191.53</v>
      </c>
      <c r="M486" s="6">
        <v>191.53</v>
      </c>
      <c r="N486" s="6">
        <v>191.53</v>
      </c>
      <c r="O486" s="6">
        <v>191.53</v>
      </c>
      <c r="P486" s="6">
        <v>586</v>
      </c>
      <c r="Q486" s="4" t="s">
        <v>26</v>
      </c>
      <c r="R486" s="4">
        <v>0</v>
      </c>
      <c r="S486" s="6">
        <v>0</v>
      </c>
      <c r="T486" s="6">
        <v>72</v>
      </c>
      <c r="U486" s="6">
        <v>83</v>
      </c>
      <c r="V486" s="6">
        <f>IF(ISERROR(VLOOKUP($S$486,'TAR FIN'!$A$1:$O$85,15,0)),0,VLOOKUP($S$486,'TAR FIN'!$A$1:$O$85,15,0))</f>
        <v>0</v>
      </c>
      <c r="W486" s="6">
        <f>IF(ISERROR(VLOOKUP($T$486,'TAR FIN'!$A$1:$O$85,15,0)),0,VLOOKUP($T$486,'TAR FIN'!$A$1:$O$85,15,0))</f>
        <v>377.01</v>
      </c>
      <c r="X486" s="6">
        <f>IF(ISERROR(VLOOKUP($U$486,'TAR FIN'!$A$1:$O$85,15,0)),0,VLOOKUP($U$486,'TAR FIN'!$A$1:$O$85,15,0))</f>
        <v>141.32</v>
      </c>
      <c r="Y486" s="6"/>
      <c r="Z486" s="6">
        <f ca="1">('TUSD BE'!$AM$48+'TUSD BF'!$AM$48+'TUSD CVA'!$AM$48)*1</f>
        <v>415.67450254064073</v>
      </c>
      <c r="AA486" s="6">
        <f>('TE BE'!$AB$38+'TE BF'!$AB$38+'TE CVA'!$AB$38)*1</f>
        <v>135.80626150990429</v>
      </c>
      <c r="AB486" s="6">
        <f>$K$486*$V$486</f>
        <v>0</v>
      </c>
      <c r="AC486" s="6">
        <f>$M$486*$W$486</f>
        <v>72208.725300000006</v>
      </c>
      <c r="AD486" s="6">
        <f>$O$486*$X$486</f>
        <v>27067.0196</v>
      </c>
      <c r="AE486" s="6">
        <f>$K$486*$Y$486</f>
        <v>0</v>
      </c>
      <c r="AF486" s="6">
        <f ca="1">$M$486*$Z$486</f>
        <v>79614.137471608919</v>
      </c>
      <c r="AG486" s="6">
        <f>$O$486*$AA$486</f>
        <v>26010.973266991969</v>
      </c>
    </row>
    <row r="487" spans="1:33" ht="11.25" customHeight="1" x14ac:dyDescent="0.25">
      <c r="A487" s="4" t="s">
        <v>28</v>
      </c>
      <c r="B487" s="4" t="s">
        <v>33</v>
      </c>
      <c r="C487" s="4" t="s">
        <v>23</v>
      </c>
      <c r="D487" s="4" t="s">
        <v>39</v>
      </c>
      <c r="E487" s="4" t="s">
        <v>25</v>
      </c>
      <c r="F487" s="4" t="s">
        <v>25</v>
      </c>
      <c r="G487" s="4" t="s">
        <v>25</v>
      </c>
      <c r="H487" s="4" t="s">
        <v>25</v>
      </c>
      <c r="I487" s="5">
        <v>44743</v>
      </c>
      <c r="J487" s="6">
        <v>0</v>
      </c>
      <c r="K487" s="6">
        <v>0</v>
      </c>
      <c r="L487" s="6">
        <v>12.05</v>
      </c>
      <c r="M487" s="6">
        <v>12.05</v>
      </c>
      <c r="N487" s="6">
        <v>12.05</v>
      </c>
      <c r="O487" s="6">
        <v>12.05</v>
      </c>
      <c r="P487" s="6">
        <v>36</v>
      </c>
      <c r="Q487" s="4" t="s">
        <v>26</v>
      </c>
      <c r="R487" s="4">
        <v>0</v>
      </c>
      <c r="S487" s="6">
        <v>0</v>
      </c>
      <c r="T487" s="6">
        <v>72</v>
      </c>
      <c r="U487" s="6">
        <v>83</v>
      </c>
      <c r="V487" s="6">
        <f>IF(ISERROR(VLOOKUP($S$487,'TAR FIN'!$A$1:$O$85,15,0)),0,VLOOKUP($S$487,'TAR FIN'!$A$1:$O$85,15,0))</f>
        <v>0</v>
      </c>
      <c r="W487" s="6">
        <f>IF(ISERROR(VLOOKUP($T$487,'TAR FIN'!$A$1:$O$85,15,0)),0,VLOOKUP($T$487,'TAR FIN'!$A$1:$O$85,15,0))</f>
        <v>377.01</v>
      </c>
      <c r="X487" s="6">
        <f>IF(ISERROR(VLOOKUP($U$487,'TAR FIN'!$A$1:$O$85,15,0)),0,VLOOKUP($U$487,'TAR FIN'!$A$1:$O$85,15,0))</f>
        <v>141.32</v>
      </c>
      <c r="Y487" s="6"/>
      <c r="Z487" s="6">
        <f ca="1">('TUSD BE'!$AM$48+'TUSD BF'!$AM$48+'TUSD CVA'!$AM$48)*1</f>
        <v>415.67450254064073</v>
      </c>
      <c r="AA487" s="6">
        <f>('TE BE'!$AB$38+'TE BF'!$AB$38+'TE CVA'!$AB$38)*1</f>
        <v>135.80626150990429</v>
      </c>
      <c r="AB487" s="6">
        <f>$K$487*$V$487</f>
        <v>0</v>
      </c>
      <c r="AC487" s="6">
        <f>$M$487*$W$487</f>
        <v>4542.9705000000004</v>
      </c>
      <c r="AD487" s="6">
        <f>$O$487*$X$487</f>
        <v>1702.9059999999999</v>
      </c>
      <c r="AE487" s="6">
        <f>$K$487*$Y$487</f>
        <v>0</v>
      </c>
      <c r="AF487" s="6">
        <f ca="1">$M$487*$Z$487</f>
        <v>5008.8777556147215</v>
      </c>
      <c r="AG487" s="6">
        <f>$O$487*$AA$487</f>
        <v>1636.4654511943468</v>
      </c>
    </row>
    <row r="488" spans="1:33" ht="11.25" customHeight="1" x14ac:dyDescent="0.25">
      <c r="A488" s="4" t="s">
        <v>21</v>
      </c>
      <c r="B488" s="4" t="s">
        <v>33</v>
      </c>
      <c r="C488" s="4" t="s">
        <v>23</v>
      </c>
      <c r="D488" s="4" t="s">
        <v>39</v>
      </c>
      <c r="E488" s="4" t="s">
        <v>25</v>
      </c>
      <c r="F488" s="4" t="s">
        <v>25</v>
      </c>
      <c r="G488" s="4" t="s">
        <v>25</v>
      </c>
      <c r="H488" s="4" t="s">
        <v>25</v>
      </c>
      <c r="I488" s="5">
        <v>44774</v>
      </c>
      <c r="J488" s="6">
        <v>0</v>
      </c>
      <c r="K488" s="6">
        <v>0</v>
      </c>
      <c r="L488" s="6">
        <v>195.05099999999999</v>
      </c>
      <c r="M488" s="6">
        <v>195.05099999999999</v>
      </c>
      <c r="N488" s="6">
        <v>195.05099999999999</v>
      </c>
      <c r="O488" s="6">
        <v>195.05099999999999</v>
      </c>
      <c r="P488" s="6">
        <v>588</v>
      </c>
      <c r="Q488" s="4" t="s">
        <v>26</v>
      </c>
      <c r="R488" s="4">
        <v>0</v>
      </c>
      <c r="S488" s="6">
        <v>0</v>
      </c>
      <c r="T488" s="6">
        <v>72</v>
      </c>
      <c r="U488" s="6">
        <v>83</v>
      </c>
      <c r="V488" s="6">
        <f>IF(ISERROR(VLOOKUP($S$488,'TAR FIN'!$A$1:$O$85,15,0)),0,VLOOKUP($S$488,'TAR FIN'!$A$1:$O$85,15,0))</f>
        <v>0</v>
      </c>
      <c r="W488" s="6">
        <f>IF(ISERROR(VLOOKUP($T$488,'TAR FIN'!$A$1:$O$85,15,0)),0,VLOOKUP($T$488,'TAR FIN'!$A$1:$O$85,15,0))</f>
        <v>377.01</v>
      </c>
      <c r="X488" s="6">
        <f>IF(ISERROR(VLOOKUP($U$488,'TAR FIN'!$A$1:$O$85,15,0)),0,VLOOKUP($U$488,'TAR FIN'!$A$1:$O$85,15,0))</f>
        <v>141.32</v>
      </c>
      <c r="Y488" s="6"/>
      <c r="Z488" s="6">
        <f ca="1">('TUSD BE'!$AM$48+'TUSD BF'!$AM$48+'TUSD CVA'!$AM$48)*1</f>
        <v>415.67450254064073</v>
      </c>
      <c r="AA488" s="6">
        <f>('TE BE'!$AB$38+'TE BF'!$AB$38+'TE CVA'!$AB$38)*1</f>
        <v>135.80626150990429</v>
      </c>
      <c r="AB488" s="6">
        <f>$K$488*$V$488</f>
        <v>0</v>
      </c>
      <c r="AC488" s="6">
        <f>$M$488*$W$488</f>
        <v>73536.177509999994</v>
      </c>
      <c r="AD488" s="6">
        <f>$O$488*$X$488</f>
        <v>27564.607319999996</v>
      </c>
      <c r="AE488" s="6">
        <f>$K$488*$Y$488</f>
        <v>0</v>
      </c>
      <c r="AF488" s="6">
        <f ca="1">$M$488*$Z$488</f>
        <v>81077.727395054506</v>
      </c>
      <c r="AG488" s="6">
        <f>$O$488*$AA$488</f>
        <v>26489.14711376834</v>
      </c>
    </row>
    <row r="489" spans="1:33" ht="11.25" customHeight="1" x14ac:dyDescent="0.25">
      <c r="A489" s="4" t="s">
        <v>28</v>
      </c>
      <c r="B489" s="4" t="s">
        <v>33</v>
      </c>
      <c r="C489" s="4" t="s">
        <v>23</v>
      </c>
      <c r="D489" s="4" t="s">
        <v>39</v>
      </c>
      <c r="E489" s="4" t="s">
        <v>25</v>
      </c>
      <c r="F489" s="4" t="s">
        <v>25</v>
      </c>
      <c r="G489" s="4" t="s">
        <v>25</v>
      </c>
      <c r="H489" s="4" t="s">
        <v>25</v>
      </c>
      <c r="I489" s="5">
        <v>44774</v>
      </c>
      <c r="J489" s="6">
        <v>0</v>
      </c>
      <c r="K489" s="6">
        <v>0</v>
      </c>
      <c r="L489" s="6">
        <v>10.855</v>
      </c>
      <c r="M489" s="6">
        <v>10.855</v>
      </c>
      <c r="N489" s="6">
        <v>10.855</v>
      </c>
      <c r="O489" s="6">
        <v>10.855</v>
      </c>
      <c r="P489" s="6">
        <v>36</v>
      </c>
      <c r="Q489" s="4" t="s">
        <v>26</v>
      </c>
      <c r="R489" s="4">
        <v>0</v>
      </c>
      <c r="S489" s="6">
        <v>0</v>
      </c>
      <c r="T489" s="6">
        <v>72</v>
      </c>
      <c r="U489" s="6">
        <v>83</v>
      </c>
      <c r="V489" s="6">
        <f>IF(ISERROR(VLOOKUP($S$489,'TAR FIN'!$A$1:$O$85,15,0)),0,VLOOKUP($S$489,'TAR FIN'!$A$1:$O$85,15,0))</f>
        <v>0</v>
      </c>
      <c r="W489" s="6">
        <f>IF(ISERROR(VLOOKUP($T$489,'TAR FIN'!$A$1:$O$85,15,0)),0,VLOOKUP($T$489,'TAR FIN'!$A$1:$O$85,15,0))</f>
        <v>377.01</v>
      </c>
      <c r="X489" s="6">
        <f>IF(ISERROR(VLOOKUP($U$489,'TAR FIN'!$A$1:$O$85,15,0)),0,VLOOKUP($U$489,'TAR FIN'!$A$1:$O$85,15,0))</f>
        <v>141.32</v>
      </c>
      <c r="Y489" s="6"/>
      <c r="Z489" s="6">
        <f ca="1">('TUSD BE'!$AM$48+'TUSD BF'!$AM$48+'TUSD CVA'!$AM$48)*1</f>
        <v>415.67450254064073</v>
      </c>
      <c r="AA489" s="6">
        <f>('TE BE'!$AB$38+'TE BF'!$AB$38+'TE CVA'!$AB$38)*1</f>
        <v>135.80626150990429</v>
      </c>
      <c r="AB489" s="6">
        <f>$K$489*$V$489</f>
        <v>0</v>
      </c>
      <c r="AC489" s="6">
        <f>$M$489*$W$489</f>
        <v>4092.44355</v>
      </c>
      <c r="AD489" s="6">
        <f>$O$489*$X$489</f>
        <v>1534.0286000000001</v>
      </c>
      <c r="AE489" s="6">
        <f>$K$489*$Y$489</f>
        <v>0</v>
      </c>
      <c r="AF489" s="6">
        <f ca="1">$M$489*$Z$489</f>
        <v>4512.1467250786554</v>
      </c>
      <c r="AG489" s="6">
        <f>$O$489*$AA$489</f>
        <v>1474.1769686900111</v>
      </c>
    </row>
    <row r="490" spans="1:33" ht="11.25" customHeight="1" x14ac:dyDescent="0.25">
      <c r="A490" s="4" t="s">
        <v>28</v>
      </c>
      <c r="B490" s="4" t="s">
        <v>33</v>
      </c>
      <c r="C490" s="4" t="s">
        <v>23</v>
      </c>
      <c r="D490" s="4" t="s">
        <v>39</v>
      </c>
      <c r="E490" s="4" t="s">
        <v>25</v>
      </c>
      <c r="F490" s="4" t="s">
        <v>25</v>
      </c>
      <c r="G490" s="4" t="s">
        <v>25</v>
      </c>
      <c r="H490" s="4" t="s">
        <v>25</v>
      </c>
      <c r="I490" s="5">
        <v>44774</v>
      </c>
      <c r="J490" s="6">
        <v>0</v>
      </c>
      <c r="K490" s="6">
        <v>0</v>
      </c>
      <c r="L490" s="6">
        <v>0.1</v>
      </c>
      <c r="M490" s="6">
        <v>0.1</v>
      </c>
      <c r="N490" s="6">
        <v>0.1</v>
      </c>
      <c r="O490" s="6">
        <v>0.1</v>
      </c>
      <c r="P490" s="6">
        <v>1</v>
      </c>
      <c r="Q490" s="4" t="s">
        <v>26</v>
      </c>
      <c r="R490" s="4">
        <v>0</v>
      </c>
      <c r="S490" s="6">
        <v>0</v>
      </c>
      <c r="T490" s="6">
        <v>72</v>
      </c>
      <c r="U490" s="6">
        <v>83</v>
      </c>
      <c r="V490" s="6">
        <f>IF(ISERROR(VLOOKUP($S$490,'TAR FIN'!$A$1:$O$85,15,0)),0,VLOOKUP($S$490,'TAR FIN'!$A$1:$O$85,15,0))</f>
        <v>0</v>
      </c>
      <c r="W490" s="6">
        <f>IF(ISERROR(VLOOKUP($T$490,'TAR FIN'!$A$1:$O$85,15,0)),0,VLOOKUP($T$490,'TAR FIN'!$A$1:$O$85,15,0))</f>
        <v>377.01</v>
      </c>
      <c r="X490" s="6">
        <f>IF(ISERROR(VLOOKUP($U$490,'TAR FIN'!$A$1:$O$85,15,0)),0,VLOOKUP($U$490,'TAR FIN'!$A$1:$O$85,15,0))</f>
        <v>141.32</v>
      </c>
      <c r="Y490" s="6"/>
      <c r="Z490" s="6">
        <f ca="1">('TUSD BE'!$AM$48+'TUSD BF'!$AM$48+'TUSD CVA'!$AM$48)*1</f>
        <v>415.67450254064073</v>
      </c>
      <c r="AA490" s="6">
        <f>('TE BE'!$AB$38+'TE BF'!$AB$38+'TE CVA'!$AB$38)*1</f>
        <v>135.80626150990429</v>
      </c>
      <c r="AB490" s="6">
        <f>$K$490*$V$490</f>
        <v>0</v>
      </c>
      <c r="AC490" s="6">
        <f>$M$490*$W$490</f>
        <v>37.701000000000001</v>
      </c>
      <c r="AD490" s="6">
        <f>$O$490*$X$490</f>
        <v>14.132</v>
      </c>
      <c r="AE490" s="6">
        <f>$K$490*$Y$490</f>
        <v>0</v>
      </c>
      <c r="AF490" s="6">
        <f ca="1">$M$490*$Z$490</f>
        <v>41.567450254064077</v>
      </c>
      <c r="AG490" s="6">
        <f>$O$490*$AA$490</f>
        <v>13.58062615099043</v>
      </c>
    </row>
    <row r="491" spans="1:33" ht="11.25" customHeight="1" x14ac:dyDescent="0.25">
      <c r="A491" s="4" t="s">
        <v>21</v>
      </c>
      <c r="B491" s="4" t="s">
        <v>33</v>
      </c>
      <c r="C491" s="4" t="s">
        <v>23</v>
      </c>
      <c r="D491" s="4" t="s">
        <v>34</v>
      </c>
      <c r="E491" s="4" t="s">
        <v>25</v>
      </c>
      <c r="F491" s="4" t="s">
        <v>25</v>
      </c>
      <c r="G491" s="4" t="s">
        <v>25</v>
      </c>
      <c r="H491" s="4" t="s">
        <v>25</v>
      </c>
      <c r="I491" s="5">
        <v>44440</v>
      </c>
      <c r="J491" s="6">
        <v>0</v>
      </c>
      <c r="K491" s="6">
        <v>0</v>
      </c>
      <c r="L491" s="6">
        <v>168.71199999999999</v>
      </c>
      <c r="M491" s="6">
        <v>168.71199999999999</v>
      </c>
      <c r="N491" s="6">
        <v>168.71199999999999</v>
      </c>
      <c r="O491" s="6">
        <v>168.71199999999999</v>
      </c>
      <c r="P491" s="6">
        <v>141</v>
      </c>
      <c r="Q491" s="4" t="s">
        <v>26</v>
      </c>
      <c r="R491" s="4">
        <v>0</v>
      </c>
      <c r="S491" s="6">
        <v>0</v>
      </c>
      <c r="T491" s="6">
        <v>72</v>
      </c>
      <c r="U491" s="6">
        <v>83</v>
      </c>
      <c r="V491" s="6">
        <f>IF(ISERROR(VLOOKUP($S$491,'TAR FIN'!$A$1:$O$85,15,0)),0,VLOOKUP($S$491,'TAR FIN'!$A$1:$O$85,15,0))</f>
        <v>0</v>
      </c>
      <c r="W491" s="6">
        <f>IF(ISERROR(VLOOKUP($T$491,'TAR FIN'!$A$1:$O$85,15,0)),0,VLOOKUP($T$491,'TAR FIN'!$A$1:$O$85,15,0))</f>
        <v>377.01</v>
      </c>
      <c r="X491" s="6">
        <f>IF(ISERROR(VLOOKUP($U$491,'TAR FIN'!$A$1:$O$85,15,0)),0,VLOOKUP($U$491,'TAR FIN'!$A$1:$O$85,15,0))</f>
        <v>141.32</v>
      </c>
      <c r="Y491" s="6"/>
      <c r="Z491" s="6">
        <f ca="1">('TUSD BE'!$AM$48+'TUSD BF'!$AM$48+'TUSD CVA'!$AM$48)*1</f>
        <v>415.67450254064073</v>
      </c>
      <c r="AA491" s="6">
        <f>('TE BE'!$AB$38+'TE BF'!$AB$38+'TE CVA'!$AB$38)*1</f>
        <v>135.80626150990429</v>
      </c>
      <c r="AB491" s="6">
        <f>$K$491*$V$491</f>
        <v>0</v>
      </c>
      <c r="AC491" s="6">
        <f>$M$491*$W$491</f>
        <v>63606.111119999994</v>
      </c>
      <c r="AD491" s="6">
        <f>$O$491*$X$491</f>
        <v>23842.379839999998</v>
      </c>
      <c r="AE491" s="6">
        <f>$K$491*$Y$491</f>
        <v>0</v>
      </c>
      <c r="AF491" s="6">
        <f ca="1">$M$491*$Z$491</f>
        <v>70129.276672636581</v>
      </c>
      <c r="AG491" s="6">
        <f>$O$491*$AA$491</f>
        <v>22912.145991858972</v>
      </c>
    </row>
    <row r="492" spans="1:33" ht="11.25" customHeight="1" x14ac:dyDescent="0.25">
      <c r="A492" s="4" t="s">
        <v>28</v>
      </c>
      <c r="B492" s="4" t="s">
        <v>33</v>
      </c>
      <c r="C492" s="4" t="s">
        <v>23</v>
      </c>
      <c r="D492" s="4" t="s">
        <v>34</v>
      </c>
      <c r="E492" s="4" t="s">
        <v>25</v>
      </c>
      <c r="F492" s="4" t="s">
        <v>25</v>
      </c>
      <c r="G492" s="4" t="s">
        <v>25</v>
      </c>
      <c r="H492" s="4" t="s">
        <v>25</v>
      </c>
      <c r="I492" s="5">
        <v>44440</v>
      </c>
      <c r="J492" s="6">
        <v>0</v>
      </c>
      <c r="K492" s="6">
        <v>0</v>
      </c>
      <c r="L492" s="6">
        <v>6.9630000000000001</v>
      </c>
      <c r="M492" s="6">
        <v>6.9630000000000001</v>
      </c>
      <c r="N492" s="6">
        <v>6.9630000000000001</v>
      </c>
      <c r="O492" s="6">
        <v>6.9630000000000001</v>
      </c>
      <c r="P492" s="6">
        <v>9</v>
      </c>
      <c r="Q492" s="4" t="s">
        <v>26</v>
      </c>
      <c r="R492" s="4">
        <v>0</v>
      </c>
      <c r="S492" s="6">
        <v>0</v>
      </c>
      <c r="T492" s="6">
        <v>72</v>
      </c>
      <c r="U492" s="6">
        <v>83</v>
      </c>
      <c r="V492" s="6">
        <f>IF(ISERROR(VLOOKUP($S$492,'TAR FIN'!$A$1:$O$85,15,0)),0,VLOOKUP($S$492,'TAR FIN'!$A$1:$O$85,15,0))</f>
        <v>0</v>
      </c>
      <c r="W492" s="6">
        <f>IF(ISERROR(VLOOKUP($T$492,'TAR FIN'!$A$1:$O$85,15,0)),0,VLOOKUP($T$492,'TAR FIN'!$A$1:$O$85,15,0))</f>
        <v>377.01</v>
      </c>
      <c r="X492" s="6">
        <f>IF(ISERROR(VLOOKUP($U$492,'TAR FIN'!$A$1:$O$85,15,0)),0,VLOOKUP($U$492,'TAR FIN'!$A$1:$O$85,15,0))</f>
        <v>141.32</v>
      </c>
      <c r="Y492" s="6"/>
      <c r="Z492" s="6">
        <f ca="1">('TUSD BE'!$AM$48+'TUSD BF'!$AM$48+'TUSD CVA'!$AM$48)*1</f>
        <v>415.67450254064073</v>
      </c>
      <c r="AA492" s="6">
        <f>('TE BE'!$AB$38+'TE BF'!$AB$38+'TE CVA'!$AB$38)*1</f>
        <v>135.80626150990429</v>
      </c>
      <c r="AB492" s="6">
        <f>$K$492*$V$492</f>
        <v>0</v>
      </c>
      <c r="AC492" s="6">
        <f>$M$492*$W$492</f>
        <v>2625.1206299999999</v>
      </c>
      <c r="AD492" s="6">
        <f>$O$492*$X$492</f>
        <v>984.01116000000002</v>
      </c>
      <c r="AE492" s="6">
        <f>$K$492*$Y$492</f>
        <v>0</v>
      </c>
      <c r="AF492" s="6">
        <f ca="1">$M$492*$Z$492</f>
        <v>2894.3415611904816</v>
      </c>
      <c r="AG492" s="6">
        <f>$O$492*$AA$492</f>
        <v>945.61899889346353</v>
      </c>
    </row>
    <row r="493" spans="1:33" ht="11.25" customHeight="1" x14ac:dyDescent="0.25">
      <c r="A493" s="4" t="s">
        <v>21</v>
      </c>
      <c r="B493" s="4" t="s">
        <v>33</v>
      </c>
      <c r="C493" s="4" t="s">
        <v>23</v>
      </c>
      <c r="D493" s="4" t="s">
        <v>34</v>
      </c>
      <c r="E493" s="4" t="s">
        <v>25</v>
      </c>
      <c r="F493" s="4" t="s">
        <v>25</v>
      </c>
      <c r="G493" s="4" t="s">
        <v>25</v>
      </c>
      <c r="H493" s="4" t="s">
        <v>25</v>
      </c>
      <c r="I493" s="5">
        <v>44470</v>
      </c>
      <c r="J493" s="6">
        <v>0</v>
      </c>
      <c r="K493" s="6">
        <v>0</v>
      </c>
      <c r="L493" s="6">
        <v>155.042</v>
      </c>
      <c r="M493" s="6">
        <v>155.042</v>
      </c>
      <c r="N493" s="6">
        <v>155.042</v>
      </c>
      <c r="O493" s="6">
        <v>155.042</v>
      </c>
      <c r="P493" s="6">
        <v>144</v>
      </c>
      <c r="Q493" s="4" t="s">
        <v>26</v>
      </c>
      <c r="R493" s="4">
        <v>0</v>
      </c>
      <c r="S493" s="6">
        <v>0</v>
      </c>
      <c r="T493" s="6">
        <v>72</v>
      </c>
      <c r="U493" s="6">
        <v>83</v>
      </c>
      <c r="V493" s="6">
        <f>IF(ISERROR(VLOOKUP($S$493,'TAR FIN'!$A$1:$O$85,15,0)),0,VLOOKUP($S$493,'TAR FIN'!$A$1:$O$85,15,0))</f>
        <v>0</v>
      </c>
      <c r="W493" s="6">
        <f>IF(ISERROR(VLOOKUP($T$493,'TAR FIN'!$A$1:$O$85,15,0)),0,VLOOKUP($T$493,'TAR FIN'!$A$1:$O$85,15,0))</f>
        <v>377.01</v>
      </c>
      <c r="X493" s="6">
        <f>IF(ISERROR(VLOOKUP($U$493,'TAR FIN'!$A$1:$O$85,15,0)),0,VLOOKUP($U$493,'TAR FIN'!$A$1:$O$85,15,0))</f>
        <v>141.32</v>
      </c>
      <c r="Y493" s="6"/>
      <c r="Z493" s="6">
        <f ca="1">('TUSD BE'!$AM$48+'TUSD BF'!$AM$48+'TUSD CVA'!$AM$48)*1</f>
        <v>415.67450254064073</v>
      </c>
      <c r="AA493" s="6">
        <f>('TE BE'!$AB$38+'TE BF'!$AB$38+'TE CVA'!$AB$38)*1</f>
        <v>135.80626150990429</v>
      </c>
      <c r="AB493" s="6">
        <f>$K$493*$V$493</f>
        <v>0</v>
      </c>
      <c r="AC493" s="6">
        <f>$M$493*$W$493</f>
        <v>58452.384420000002</v>
      </c>
      <c r="AD493" s="6">
        <f>$O$493*$X$493</f>
        <v>21910.53544</v>
      </c>
      <c r="AE493" s="6">
        <f>$K$493*$Y$493</f>
        <v>0</v>
      </c>
      <c r="AF493" s="6">
        <f ca="1">$M$493*$Z$493</f>
        <v>64447.00622290602</v>
      </c>
      <c r="AG493" s="6">
        <f>$O$493*$AA$493</f>
        <v>21055.674397018582</v>
      </c>
    </row>
    <row r="494" spans="1:33" ht="11.25" customHeight="1" x14ac:dyDescent="0.25">
      <c r="A494" s="4" t="s">
        <v>28</v>
      </c>
      <c r="B494" s="4" t="s">
        <v>33</v>
      </c>
      <c r="C494" s="4" t="s">
        <v>23</v>
      </c>
      <c r="D494" s="4" t="s">
        <v>34</v>
      </c>
      <c r="E494" s="4" t="s">
        <v>25</v>
      </c>
      <c r="F494" s="4" t="s">
        <v>25</v>
      </c>
      <c r="G494" s="4" t="s">
        <v>25</v>
      </c>
      <c r="H494" s="4" t="s">
        <v>25</v>
      </c>
      <c r="I494" s="5">
        <v>44470</v>
      </c>
      <c r="J494" s="6">
        <v>0</v>
      </c>
      <c r="K494" s="6">
        <v>0</v>
      </c>
      <c r="L494" s="6">
        <v>5.1040000000000001</v>
      </c>
      <c r="M494" s="6">
        <v>5.1040000000000001</v>
      </c>
      <c r="N494" s="6">
        <v>5.1040000000000001</v>
      </c>
      <c r="O494" s="6">
        <v>5.1040000000000001</v>
      </c>
      <c r="P494" s="6">
        <v>10</v>
      </c>
      <c r="Q494" s="4" t="s">
        <v>26</v>
      </c>
      <c r="R494" s="4">
        <v>0</v>
      </c>
      <c r="S494" s="6">
        <v>0</v>
      </c>
      <c r="T494" s="6">
        <v>72</v>
      </c>
      <c r="U494" s="6">
        <v>83</v>
      </c>
      <c r="V494" s="6">
        <f>IF(ISERROR(VLOOKUP($S$494,'TAR FIN'!$A$1:$O$85,15,0)),0,VLOOKUP($S$494,'TAR FIN'!$A$1:$O$85,15,0))</f>
        <v>0</v>
      </c>
      <c r="W494" s="6">
        <f>IF(ISERROR(VLOOKUP($T$494,'TAR FIN'!$A$1:$O$85,15,0)),0,VLOOKUP($T$494,'TAR FIN'!$A$1:$O$85,15,0))</f>
        <v>377.01</v>
      </c>
      <c r="X494" s="6">
        <f>IF(ISERROR(VLOOKUP($U$494,'TAR FIN'!$A$1:$O$85,15,0)),0,VLOOKUP($U$494,'TAR FIN'!$A$1:$O$85,15,0))</f>
        <v>141.32</v>
      </c>
      <c r="Y494" s="6"/>
      <c r="Z494" s="6">
        <f ca="1">('TUSD BE'!$AM$48+'TUSD BF'!$AM$48+'TUSD CVA'!$AM$48)*1</f>
        <v>415.67450254064073</v>
      </c>
      <c r="AA494" s="6">
        <f>('TE BE'!$AB$38+'TE BF'!$AB$38+'TE CVA'!$AB$38)*1</f>
        <v>135.80626150990429</v>
      </c>
      <c r="AB494" s="6">
        <f>$K$494*$V$494</f>
        <v>0</v>
      </c>
      <c r="AC494" s="6">
        <f>$M$494*$W$494</f>
        <v>1924.2590399999999</v>
      </c>
      <c r="AD494" s="6">
        <f>$O$494*$X$494</f>
        <v>721.29728</v>
      </c>
      <c r="AE494" s="6">
        <f>$K$494*$Y$494</f>
        <v>0</v>
      </c>
      <c r="AF494" s="6">
        <f ca="1">$M$494*$Z$494</f>
        <v>2121.6026609674304</v>
      </c>
      <c r="AG494" s="6">
        <f>$O$494*$AA$494</f>
        <v>693.15515874655148</v>
      </c>
    </row>
    <row r="495" spans="1:33" ht="11.25" customHeight="1" x14ac:dyDescent="0.25">
      <c r="A495" s="4" t="s">
        <v>21</v>
      </c>
      <c r="B495" s="4" t="s">
        <v>33</v>
      </c>
      <c r="C495" s="4" t="s">
        <v>23</v>
      </c>
      <c r="D495" s="4" t="s">
        <v>34</v>
      </c>
      <c r="E495" s="4" t="s">
        <v>25</v>
      </c>
      <c r="F495" s="4" t="s">
        <v>25</v>
      </c>
      <c r="G495" s="4" t="s">
        <v>25</v>
      </c>
      <c r="H495" s="4" t="s">
        <v>25</v>
      </c>
      <c r="I495" s="5">
        <v>44501</v>
      </c>
      <c r="J495" s="6">
        <v>0</v>
      </c>
      <c r="K495" s="6">
        <v>0</v>
      </c>
      <c r="L495" s="6">
        <v>139.66900000000001</v>
      </c>
      <c r="M495" s="6">
        <v>139.66900000000001</v>
      </c>
      <c r="N495" s="6">
        <v>139.66900000000001</v>
      </c>
      <c r="O495" s="6">
        <v>139.66900000000001</v>
      </c>
      <c r="P495" s="6">
        <v>145</v>
      </c>
      <c r="Q495" s="4" t="s">
        <v>26</v>
      </c>
      <c r="R495" s="4">
        <v>0</v>
      </c>
      <c r="S495" s="6">
        <v>0</v>
      </c>
      <c r="T495" s="6">
        <v>72</v>
      </c>
      <c r="U495" s="6">
        <v>83</v>
      </c>
      <c r="V495" s="6">
        <f>IF(ISERROR(VLOOKUP($S$495,'TAR FIN'!$A$1:$O$85,15,0)),0,VLOOKUP($S$495,'TAR FIN'!$A$1:$O$85,15,0))</f>
        <v>0</v>
      </c>
      <c r="W495" s="6">
        <f>IF(ISERROR(VLOOKUP($T$495,'TAR FIN'!$A$1:$O$85,15,0)),0,VLOOKUP($T$495,'TAR FIN'!$A$1:$O$85,15,0))</f>
        <v>377.01</v>
      </c>
      <c r="X495" s="6">
        <f>IF(ISERROR(VLOOKUP($U$495,'TAR FIN'!$A$1:$O$85,15,0)),0,VLOOKUP($U$495,'TAR FIN'!$A$1:$O$85,15,0))</f>
        <v>141.32</v>
      </c>
      <c r="Y495" s="6"/>
      <c r="Z495" s="6">
        <f ca="1">('TUSD BE'!$AM$48+'TUSD BF'!$AM$48+'TUSD CVA'!$AM$48)*1</f>
        <v>415.67450254064073</v>
      </c>
      <c r="AA495" s="6">
        <f>('TE BE'!$AB$38+'TE BF'!$AB$38+'TE CVA'!$AB$38)*1</f>
        <v>135.80626150990429</v>
      </c>
      <c r="AB495" s="6">
        <f>$K$495*$V$495</f>
        <v>0</v>
      </c>
      <c r="AC495" s="6">
        <f>$M$495*$W$495</f>
        <v>52656.609690000005</v>
      </c>
      <c r="AD495" s="6">
        <f>$O$495*$X$495</f>
        <v>19738.023079999999</v>
      </c>
      <c r="AE495" s="6">
        <f>$K$495*$Y$495</f>
        <v>0</v>
      </c>
      <c r="AF495" s="6">
        <f ca="1">$M$495*$Z$495</f>
        <v>58056.842095348758</v>
      </c>
      <c r="AG495" s="6">
        <f>$O$495*$AA$495</f>
        <v>18967.924738826823</v>
      </c>
    </row>
    <row r="496" spans="1:33" ht="11.25" customHeight="1" x14ac:dyDescent="0.25">
      <c r="A496" s="4" t="s">
        <v>28</v>
      </c>
      <c r="B496" s="4" t="s">
        <v>33</v>
      </c>
      <c r="C496" s="4" t="s">
        <v>23</v>
      </c>
      <c r="D496" s="4" t="s">
        <v>34</v>
      </c>
      <c r="E496" s="4" t="s">
        <v>25</v>
      </c>
      <c r="F496" s="4" t="s">
        <v>25</v>
      </c>
      <c r="G496" s="4" t="s">
        <v>25</v>
      </c>
      <c r="H496" s="4" t="s">
        <v>25</v>
      </c>
      <c r="I496" s="5">
        <v>44501</v>
      </c>
      <c r="J496" s="6">
        <v>0</v>
      </c>
      <c r="K496" s="6">
        <v>0</v>
      </c>
      <c r="L496" s="6">
        <v>5.7770000000000001</v>
      </c>
      <c r="M496" s="6">
        <v>5.7770000000000001</v>
      </c>
      <c r="N496" s="6">
        <v>5.7770000000000001</v>
      </c>
      <c r="O496" s="6">
        <v>5.7770000000000001</v>
      </c>
      <c r="P496" s="6">
        <v>10</v>
      </c>
      <c r="Q496" s="4" t="s">
        <v>26</v>
      </c>
      <c r="R496" s="4">
        <v>0</v>
      </c>
      <c r="S496" s="6">
        <v>0</v>
      </c>
      <c r="T496" s="6">
        <v>72</v>
      </c>
      <c r="U496" s="6">
        <v>83</v>
      </c>
      <c r="V496" s="6">
        <f>IF(ISERROR(VLOOKUP($S$496,'TAR FIN'!$A$1:$O$85,15,0)),0,VLOOKUP($S$496,'TAR FIN'!$A$1:$O$85,15,0))</f>
        <v>0</v>
      </c>
      <c r="W496" s="6">
        <f>IF(ISERROR(VLOOKUP($T$496,'TAR FIN'!$A$1:$O$85,15,0)),0,VLOOKUP($T$496,'TAR FIN'!$A$1:$O$85,15,0))</f>
        <v>377.01</v>
      </c>
      <c r="X496" s="6">
        <f>IF(ISERROR(VLOOKUP($U$496,'TAR FIN'!$A$1:$O$85,15,0)),0,VLOOKUP($U$496,'TAR FIN'!$A$1:$O$85,15,0))</f>
        <v>141.32</v>
      </c>
      <c r="Y496" s="6"/>
      <c r="Z496" s="6">
        <f ca="1">('TUSD BE'!$AM$48+'TUSD BF'!$AM$48+'TUSD CVA'!$AM$48)*1</f>
        <v>415.67450254064073</v>
      </c>
      <c r="AA496" s="6">
        <f>('TE BE'!$AB$38+'TE BF'!$AB$38+'TE CVA'!$AB$38)*1</f>
        <v>135.80626150990429</v>
      </c>
      <c r="AB496" s="6">
        <f>$K$496*$V$496</f>
        <v>0</v>
      </c>
      <c r="AC496" s="6">
        <f>$M$496*$W$496</f>
        <v>2177.98677</v>
      </c>
      <c r="AD496" s="6">
        <f>$O$496*$X$496</f>
        <v>816.40563999999995</v>
      </c>
      <c r="AE496" s="6">
        <f>$K$496*$Y$496</f>
        <v>0</v>
      </c>
      <c r="AF496" s="6">
        <f ca="1">$M$496*$Z$496</f>
        <v>2401.3516011772817</v>
      </c>
      <c r="AG496" s="6">
        <f>$O$496*$AA$496</f>
        <v>784.55277274271714</v>
      </c>
    </row>
    <row r="497" spans="1:33" ht="11.25" customHeight="1" x14ac:dyDescent="0.25">
      <c r="A497" s="4" t="s">
        <v>21</v>
      </c>
      <c r="B497" s="4" t="s">
        <v>33</v>
      </c>
      <c r="C497" s="4" t="s">
        <v>23</v>
      </c>
      <c r="D497" s="4" t="s">
        <v>34</v>
      </c>
      <c r="E497" s="4" t="s">
        <v>25</v>
      </c>
      <c r="F497" s="4" t="s">
        <v>25</v>
      </c>
      <c r="G497" s="4" t="s">
        <v>25</v>
      </c>
      <c r="H497" s="4" t="s">
        <v>25</v>
      </c>
      <c r="I497" s="5">
        <v>44531</v>
      </c>
      <c r="J497" s="6">
        <v>0</v>
      </c>
      <c r="K497" s="6">
        <v>0</v>
      </c>
      <c r="L497" s="6">
        <v>157.71600000000001</v>
      </c>
      <c r="M497" s="6">
        <v>157.71600000000001</v>
      </c>
      <c r="N497" s="6">
        <v>157.71600000000001</v>
      </c>
      <c r="O497" s="6">
        <v>157.71600000000001</v>
      </c>
      <c r="P497" s="6">
        <v>145</v>
      </c>
      <c r="Q497" s="4" t="s">
        <v>26</v>
      </c>
      <c r="R497" s="4">
        <v>0</v>
      </c>
      <c r="S497" s="6">
        <v>0</v>
      </c>
      <c r="T497" s="6">
        <v>72</v>
      </c>
      <c r="U497" s="6">
        <v>83</v>
      </c>
      <c r="V497" s="6">
        <f>IF(ISERROR(VLOOKUP($S$497,'TAR FIN'!$A$1:$O$85,15,0)),0,VLOOKUP($S$497,'TAR FIN'!$A$1:$O$85,15,0))</f>
        <v>0</v>
      </c>
      <c r="W497" s="6">
        <f>IF(ISERROR(VLOOKUP($T$497,'TAR FIN'!$A$1:$O$85,15,0)),0,VLOOKUP($T$497,'TAR FIN'!$A$1:$O$85,15,0))</f>
        <v>377.01</v>
      </c>
      <c r="X497" s="6">
        <f>IF(ISERROR(VLOOKUP($U$497,'TAR FIN'!$A$1:$O$85,15,0)),0,VLOOKUP($U$497,'TAR FIN'!$A$1:$O$85,15,0))</f>
        <v>141.32</v>
      </c>
      <c r="Y497" s="6"/>
      <c r="Z497" s="6">
        <f ca="1">('TUSD BE'!$AM$48+'TUSD BF'!$AM$48+'TUSD CVA'!$AM$48)*1</f>
        <v>415.67450254064073</v>
      </c>
      <c r="AA497" s="6">
        <f>('TE BE'!$AB$38+'TE BF'!$AB$38+'TE CVA'!$AB$38)*1</f>
        <v>135.80626150990429</v>
      </c>
      <c r="AB497" s="6">
        <f>$K$497*$V$497</f>
        <v>0</v>
      </c>
      <c r="AC497" s="6">
        <f>$M$497*$W$497</f>
        <v>59460.509160000001</v>
      </c>
      <c r="AD497" s="6">
        <f>$O$497*$X$497</f>
        <v>22288.42512</v>
      </c>
      <c r="AE497" s="6">
        <f>$K$497*$Y$497</f>
        <v>0</v>
      </c>
      <c r="AF497" s="6">
        <f ca="1">$M$497*$Z$497</f>
        <v>65558.519842699694</v>
      </c>
      <c r="AG497" s="6">
        <f>$O$497*$AA$497</f>
        <v>21418.820340296064</v>
      </c>
    </row>
    <row r="498" spans="1:33" ht="11.25" customHeight="1" x14ac:dyDescent="0.25">
      <c r="A498" s="4" t="s">
        <v>28</v>
      </c>
      <c r="B498" s="4" t="s">
        <v>33</v>
      </c>
      <c r="C498" s="4" t="s">
        <v>23</v>
      </c>
      <c r="D498" s="4" t="s">
        <v>34</v>
      </c>
      <c r="E498" s="4" t="s">
        <v>25</v>
      </c>
      <c r="F498" s="4" t="s">
        <v>25</v>
      </c>
      <c r="G498" s="4" t="s">
        <v>25</v>
      </c>
      <c r="H498" s="4" t="s">
        <v>25</v>
      </c>
      <c r="I498" s="5">
        <v>44531</v>
      </c>
      <c r="J498" s="6">
        <v>0</v>
      </c>
      <c r="K498" s="6">
        <v>0</v>
      </c>
      <c r="L498" s="6">
        <v>3.4830000000000001</v>
      </c>
      <c r="M498" s="6">
        <v>3.4830000000000001</v>
      </c>
      <c r="N498" s="6">
        <v>3.4830000000000001</v>
      </c>
      <c r="O498" s="6">
        <v>3.4830000000000001</v>
      </c>
      <c r="P498" s="6">
        <v>10</v>
      </c>
      <c r="Q498" s="4" t="s">
        <v>26</v>
      </c>
      <c r="R498" s="4">
        <v>0</v>
      </c>
      <c r="S498" s="6">
        <v>0</v>
      </c>
      <c r="T498" s="6">
        <v>72</v>
      </c>
      <c r="U498" s="6">
        <v>83</v>
      </c>
      <c r="V498" s="6">
        <f>IF(ISERROR(VLOOKUP($S$498,'TAR FIN'!$A$1:$O$85,15,0)),0,VLOOKUP($S$498,'TAR FIN'!$A$1:$O$85,15,0))</f>
        <v>0</v>
      </c>
      <c r="W498" s="6">
        <f>IF(ISERROR(VLOOKUP($T$498,'TAR FIN'!$A$1:$O$85,15,0)),0,VLOOKUP($T$498,'TAR FIN'!$A$1:$O$85,15,0))</f>
        <v>377.01</v>
      </c>
      <c r="X498" s="6">
        <f>IF(ISERROR(VLOOKUP($U$498,'TAR FIN'!$A$1:$O$85,15,0)),0,VLOOKUP($U$498,'TAR FIN'!$A$1:$O$85,15,0))</f>
        <v>141.32</v>
      </c>
      <c r="Y498" s="6"/>
      <c r="Z498" s="6">
        <f ca="1">('TUSD BE'!$AM$48+'TUSD BF'!$AM$48+'TUSD CVA'!$AM$48)*1</f>
        <v>415.67450254064073</v>
      </c>
      <c r="AA498" s="6">
        <f>('TE BE'!$AB$38+'TE BF'!$AB$38+'TE CVA'!$AB$38)*1</f>
        <v>135.80626150990429</v>
      </c>
      <c r="AB498" s="6">
        <f>$K$498*$V$498</f>
        <v>0</v>
      </c>
      <c r="AC498" s="6">
        <f>$M$498*$W$498</f>
        <v>1313.12583</v>
      </c>
      <c r="AD498" s="6">
        <f>$O$498*$X$498</f>
        <v>492.21755999999999</v>
      </c>
      <c r="AE498" s="6">
        <f>$K$498*$Y$498</f>
        <v>0</v>
      </c>
      <c r="AF498" s="6">
        <f ca="1">$M$498*$Z$498</f>
        <v>1447.7942923490516</v>
      </c>
      <c r="AG498" s="6">
        <f>$O$498*$AA$498</f>
        <v>473.01320883899666</v>
      </c>
    </row>
    <row r="499" spans="1:33" ht="11.25" customHeight="1" x14ac:dyDescent="0.25">
      <c r="A499" s="4" t="s">
        <v>21</v>
      </c>
      <c r="B499" s="4" t="s">
        <v>33</v>
      </c>
      <c r="C499" s="4" t="s">
        <v>23</v>
      </c>
      <c r="D499" s="4" t="s">
        <v>34</v>
      </c>
      <c r="E499" s="4" t="s">
        <v>25</v>
      </c>
      <c r="F499" s="4" t="s">
        <v>25</v>
      </c>
      <c r="G499" s="4" t="s">
        <v>25</v>
      </c>
      <c r="H499" s="4" t="s">
        <v>25</v>
      </c>
      <c r="I499" s="5">
        <v>44562</v>
      </c>
      <c r="J499" s="6">
        <v>0</v>
      </c>
      <c r="K499" s="6">
        <v>0</v>
      </c>
      <c r="L499" s="6">
        <v>111.425</v>
      </c>
      <c r="M499" s="6">
        <v>111.425</v>
      </c>
      <c r="N499" s="6">
        <v>111.425</v>
      </c>
      <c r="O499" s="6">
        <v>111.425</v>
      </c>
      <c r="P499" s="6">
        <v>144</v>
      </c>
      <c r="Q499" s="4" t="s">
        <v>26</v>
      </c>
      <c r="R499" s="4">
        <v>0</v>
      </c>
      <c r="S499" s="6">
        <v>0</v>
      </c>
      <c r="T499" s="6">
        <v>72</v>
      </c>
      <c r="U499" s="6">
        <v>83</v>
      </c>
      <c r="V499" s="6">
        <f>IF(ISERROR(VLOOKUP($S$499,'TAR FIN'!$A$1:$O$85,15,0)),0,VLOOKUP($S$499,'TAR FIN'!$A$1:$O$85,15,0))</f>
        <v>0</v>
      </c>
      <c r="W499" s="6">
        <f>IF(ISERROR(VLOOKUP($T$499,'TAR FIN'!$A$1:$O$85,15,0)),0,VLOOKUP($T$499,'TAR FIN'!$A$1:$O$85,15,0))</f>
        <v>377.01</v>
      </c>
      <c r="X499" s="6">
        <f>IF(ISERROR(VLOOKUP($U$499,'TAR FIN'!$A$1:$O$85,15,0)),0,VLOOKUP($U$499,'TAR FIN'!$A$1:$O$85,15,0))</f>
        <v>141.32</v>
      </c>
      <c r="Y499" s="6"/>
      <c r="Z499" s="6">
        <f ca="1">('TUSD BE'!$AM$48+'TUSD BF'!$AM$48+'TUSD CVA'!$AM$48)*1</f>
        <v>415.67450254064073</v>
      </c>
      <c r="AA499" s="6">
        <f>('TE BE'!$AB$38+'TE BF'!$AB$38+'TE CVA'!$AB$38)*1</f>
        <v>135.80626150990429</v>
      </c>
      <c r="AB499" s="6">
        <f>$K$499*$V$499</f>
        <v>0</v>
      </c>
      <c r="AC499" s="6">
        <f>$M$499*$W$499</f>
        <v>42008.339249999997</v>
      </c>
      <c r="AD499" s="6">
        <f>$O$499*$X$499</f>
        <v>15746.580999999998</v>
      </c>
      <c r="AE499" s="6">
        <f>$K$499*$Y$499</f>
        <v>0</v>
      </c>
      <c r="AF499" s="6">
        <f ca="1">$M$499*$Z$499</f>
        <v>46316.531445590896</v>
      </c>
      <c r="AG499" s="6">
        <f>$O$499*$AA$499</f>
        <v>15132.212688741085</v>
      </c>
    </row>
    <row r="500" spans="1:33" ht="11.25" customHeight="1" x14ac:dyDescent="0.25">
      <c r="A500" s="4" t="s">
        <v>28</v>
      </c>
      <c r="B500" s="4" t="s">
        <v>33</v>
      </c>
      <c r="C500" s="4" t="s">
        <v>23</v>
      </c>
      <c r="D500" s="4" t="s">
        <v>34</v>
      </c>
      <c r="E500" s="4" t="s">
        <v>25</v>
      </c>
      <c r="F500" s="4" t="s">
        <v>25</v>
      </c>
      <c r="G500" s="4" t="s">
        <v>25</v>
      </c>
      <c r="H500" s="4" t="s">
        <v>25</v>
      </c>
      <c r="I500" s="5">
        <v>44562</v>
      </c>
      <c r="J500" s="6">
        <v>0</v>
      </c>
      <c r="K500" s="6">
        <v>0</v>
      </c>
      <c r="L500" s="6">
        <v>8.7379999999999995</v>
      </c>
      <c r="M500" s="6">
        <v>8.7379999999999995</v>
      </c>
      <c r="N500" s="6">
        <v>8.7379999999999995</v>
      </c>
      <c r="O500" s="6">
        <v>8.7379999999999995</v>
      </c>
      <c r="P500" s="6">
        <v>10</v>
      </c>
      <c r="Q500" s="4" t="s">
        <v>26</v>
      </c>
      <c r="R500" s="4">
        <v>0</v>
      </c>
      <c r="S500" s="6">
        <v>0</v>
      </c>
      <c r="T500" s="6">
        <v>72</v>
      </c>
      <c r="U500" s="6">
        <v>83</v>
      </c>
      <c r="V500" s="6">
        <f>IF(ISERROR(VLOOKUP($S$500,'TAR FIN'!$A$1:$O$85,15,0)),0,VLOOKUP($S$500,'TAR FIN'!$A$1:$O$85,15,0))</f>
        <v>0</v>
      </c>
      <c r="W500" s="6">
        <f>IF(ISERROR(VLOOKUP($T$500,'TAR FIN'!$A$1:$O$85,15,0)),0,VLOOKUP($T$500,'TAR FIN'!$A$1:$O$85,15,0))</f>
        <v>377.01</v>
      </c>
      <c r="X500" s="6">
        <f>IF(ISERROR(VLOOKUP($U$500,'TAR FIN'!$A$1:$O$85,15,0)),0,VLOOKUP($U$500,'TAR FIN'!$A$1:$O$85,15,0))</f>
        <v>141.32</v>
      </c>
      <c r="Y500" s="6"/>
      <c r="Z500" s="6">
        <f ca="1">('TUSD BE'!$AM$48+'TUSD BF'!$AM$48+'TUSD CVA'!$AM$48)*1</f>
        <v>415.67450254064073</v>
      </c>
      <c r="AA500" s="6">
        <f>('TE BE'!$AB$38+'TE BF'!$AB$38+'TE CVA'!$AB$38)*1</f>
        <v>135.80626150990429</v>
      </c>
      <c r="AB500" s="6">
        <f>$K$500*$V$500</f>
        <v>0</v>
      </c>
      <c r="AC500" s="6">
        <f>$M$500*$W$500</f>
        <v>3294.3133799999996</v>
      </c>
      <c r="AD500" s="6">
        <f>$O$500*$X$500</f>
        <v>1234.8541599999999</v>
      </c>
      <c r="AE500" s="6">
        <f>$K$500*$Y$500</f>
        <v>0</v>
      </c>
      <c r="AF500" s="6">
        <f ca="1">$M$500*$Z$500</f>
        <v>3632.1638032001183</v>
      </c>
      <c r="AG500" s="6">
        <f>$O$500*$AA$500</f>
        <v>1186.6751130735436</v>
      </c>
    </row>
    <row r="501" spans="1:33" ht="11.25" customHeight="1" x14ac:dyDescent="0.25">
      <c r="A501" s="4" t="s">
        <v>21</v>
      </c>
      <c r="B501" s="4" t="s">
        <v>33</v>
      </c>
      <c r="C501" s="4" t="s">
        <v>23</v>
      </c>
      <c r="D501" s="4" t="s">
        <v>34</v>
      </c>
      <c r="E501" s="4" t="s">
        <v>25</v>
      </c>
      <c r="F501" s="4" t="s">
        <v>25</v>
      </c>
      <c r="G501" s="4" t="s">
        <v>25</v>
      </c>
      <c r="H501" s="4" t="s">
        <v>25</v>
      </c>
      <c r="I501" s="5">
        <v>44593</v>
      </c>
      <c r="J501" s="6">
        <v>0</v>
      </c>
      <c r="K501" s="6">
        <v>0</v>
      </c>
      <c r="L501" s="6">
        <v>151.197</v>
      </c>
      <c r="M501" s="6">
        <v>151.197</v>
      </c>
      <c r="N501" s="6">
        <v>151.197</v>
      </c>
      <c r="O501" s="6">
        <v>151.197</v>
      </c>
      <c r="P501" s="6">
        <v>143</v>
      </c>
      <c r="Q501" s="4" t="s">
        <v>26</v>
      </c>
      <c r="R501" s="4">
        <v>0</v>
      </c>
      <c r="S501" s="6">
        <v>0</v>
      </c>
      <c r="T501" s="6">
        <v>72</v>
      </c>
      <c r="U501" s="6">
        <v>83</v>
      </c>
      <c r="V501" s="6">
        <f>IF(ISERROR(VLOOKUP($S$501,'TAR FIN'!$A$1:$O$85,15,0)),0,VLOOKUP($S$501,'TAR FIN'!$A$1:$O$85,15,0))</f>
        <v>0</v>
      </c>
      <c r="W501" s="6">
        <f>IF(ISERROR(VLOOKUP($T$501,'TAR FIN'!$A$1:$O$85,15,0)),0,VLOOKUP($T$501,'TAR FIN'!$A$1:$O$85,15,0))</f>
        <v>377.01</v>
      </c>
      <c r="X501" s="6">
        <f>IF(ISERROR(VLOOKUP($U$501,'TAR FIN'!$A$1:$O$85,15,0)),0,VLOOKUP($U$501,'TAR FIN'!$A$1:$O$85,15,0))</f>
        <v>141.32</v>
      </c>
      <c r="Y501" s="6"/>
      <c r="Z501" s="6">
        <f ca="1">('TUSD BE'!$AM$48+'TUSD BF'!$AM$48+'TUSD CVA'!$AM$48)*1</f>
        <v>415.67450254064073</v>
      </c>
      <c r="AA501" s="6">
        <f>('TE BE'!$AB$38+'TE BF'!$AB$38+'TE CVA'!$AB$38)*1</f>
        <v>135.80626150990429</v>
      </c>
      <c r="AB501" s="6">
        <f>$K$501*$V$501</f>
        <v>0</v>
      </c>
      <c r="AC501" s="6">
        <f>$M$501*$W$501</f>
        <v>57002.78097</v>
      </c>
      <c r="AD501" s="6">
        <f>$O$501*$X$501</f>
        <v>21367.160039999999</v>
      </c>
      <c r="AE501" s="6">
        <f>$K$501*$Y$501</f>
        <v>0</v>
      </c>
      <c r="AF501" s="6">
        <f ca="1">$M$501*$Z$501</f>
        <v>62848.737760637261</v>
      </c>
      <c r="AG501" s="6">
        <f>$O$501*$AA$501</f>
        <v>20533.499321512998</v>
      </c>
    </row>
    <row r="502" spans="1:33" ht="11.25" customHeight="1" x14ac:dyDescent="0.25">
      <c r="A502" s="4" t="s">
        <v>28</v>
      </c>
      <c r="B502" s="4" t="s">
        <v>33</v>
      </c>
      <c r="C502" s="4" t="s">
        <v>23</v>
      </c>
      <c r="D502" s="4" t="s">
        <v>34</v>
      </c>
      <c r="E502" s="4" t="s">
        <v>25</v>
      </c>
      <c r="F502" s="4" t="s">
        <v>25</v>
      </c>
      <c r="G502" s="4" t="s">
        <v>25</v>
      </c>
      <c r="H502" s="4" t="s">
        <v>25</v>
      </c>
      <c r="I502" s="5">
        <v>44593</v>
      </c>
      <c r="J502" s="6">
        <v>0</v>
      </c>
      <c r="K502" s="6">
        <v>0</v>
      </c>
      <c r="L502" s="6">
        <v>7.7590000000000003</v>
      </c>
      <c r="M502" s="6">
        <v>7.7590000000000003</v>
      </c>
      <c r="N502" s="6">
        <v>7.7590000000000003</v>
      </c>
      <c r="O502" s="6">
        <v>7.7590000000000003</v>
      </c>
      <c r="P502" s="6">
        <v>10</v>
      </c>
      <c r="Q502" s="4" t="s">
        <v>26</v>
      </c>
      <c r="R502" s="4">
        <v>0</v>
      </c>
      <c r="S502" s="6">
        <v>0</v>
      </c>
      <c r="T502" s="6">
        <v>72</v>
      </c>
      <c r="U502" s="6">
        <v>83</v>
      </c>
      <c r="V502" s="6">
        <f>IF(ISERROR(VLOOKUP($S$502,'TAR FIN'!$A$1:$O$85,15,0)),0,VLOOKUP($S$502,'TAR FIN'!$A$1:$O$85,15,0))</f>
        <v>0</v>
      </c>
      <c r="W502" s="6">
        <f>IF(ISERROR(VLOOKUP($T$502,'TAR FIN'!$A$1:$O$85,15,0)),0,VLOOKUP($T$502,'TAR FIN'!$A$1:$O$85,15,0))</f>
        <v>377.01</v>
      </c>
      <c r="X502" s="6">
        <f>IF(ISERROR(VLOOKUP($U$502,'TAR FIN'!$A$1:$O$85,15,0)),0,VLOOKUP($U$502,'TAR FIN'!$A$1:$O$85,15,0))</f>
        <v>141.32</v>
      </c>
      <c r="Y502" s="6"/>
      <c r="Z502" s="6">
        <f ca="1">('TUSD BE'!$AM$48+'TUSD BF'!$AM$48+'TUSD CVA'!$AM$48)*1</f>
        <v>415.67450254064073</v>
      </c>
      <c r="AA502" s="6">
        <f>('TE BE'!$AB$38+'TE BF'!$AB$38+'TE CVA'!$AB$38)*1</f>
        <v>135.80626150990429</v>
      </c>
      <c r="AB502" s="6">
        <f>$K$502*$V$502</f>
        <v>0</v>
      </c>
      <c r="AC502" s="6">
        <f>$M$502*$W$502</f>
        <v>2925.2205899999999</v>
      </c>
      <c r="AD502" s="6">
        <f>$O$502*$X$502</f>
        <v>1096.50188</v>
      </c>
      <c r="AE502" s="6">
        <f>$K$502*$Y$502</f>
        <v>0</v>
      </c>
      <c r="AF502" s="6">
        <f ca="1">$M$502*$Z$502</f>
        <v>3225.2184652128317</v>
      </c>
      <c r="AG502" s="6">
        <f>$O$502*$AA$502</f>
        <v>1053.7207830553475</v>
      </c>
    </row>
    <row r="503" spans="1:33" ht="11.25" customHeight="1" x14ac:dyDescent="0.25">
      <c r="A503" s="4" t="s">
        <v>21</v>
      </c>
      <c r="B503" s="4" t="s">
        <v>33</v>
      </c>
      <c r="C503" s="4" t="s">
        <v>23</v>
      </c>
      <c r="D503" s="4" t="s">
        <v>34</v>
      </c>
      <c r="E503" s="4" t="s">
        <v>25</v>
      </c>
      <c r="F503" s="4" t="s">
        <v>25</v>
      </c>
      <c r="G503" s="4" t="s">
        <v>25</v>
      </c>
      <c r="H503" s="4" t="s">
        <v>25</v>
      </c>
      <c r="I503" s="5">
        <v>44621</v>
      </c>
      <c r="J503" s="6">
        <v>0</v>
      </c>
      <c r="K503" s="6">
        <v>0</v>
      </c>
      <c r="L503" s="6">
        <v>148.249</v>
      </c>
      <c r="M503" s="6">
        <v>148.249</v>
      </c>
      <c r="N503" s="6">
        <v>148.249</v>
      </c>
      <c r="O503" s="6">
        <v>148.249</v>
      </c>
      <c r="P503" s="6">
        <v>143</v>
      </c>
      <c r="Q503" s="4" t="s">
        <v>26</v>
      </c>
      <c r="R503" s="4">
        <v>0</v>
      </c>
      <c r="S503" s="6">
        <v>0</v>
      </c>
      <c r="T503" s="6">
        <v>72</v>
      </c>
      <c r="U503" s="6">
        <v>83</v>
      </c>
      <c r="V503" s="6">
        <f>IF(ISERROR(VLOOKUP($S$503,'TAR FIN'!$A$1:$O$85,15,0)),0,VLOOKUP($S$503,'TAR FIN'!$A$1:$O$85,15,0))</f>
        <v>0</v>
      </c>
      <c r="W503" s="6">
        <f>IF(ISERROR(VLOOKUP($T$503,'TAR FIN'!$A$1:$O$85,15,0)),0,VLOOKUP($T$503,'TAR FIN'!$A$1:$O$85,15,0))</f>
        <v>377.01</v>
      </c>
      <c r="X503" s="6">
        <f>IF(ISERROR(VLOOKUP($U$503,'TAR FIN'!$A$1:$O$85,15,0)),0,VLOOKUP($U$503,'TAR FIN'!$A$1:$O$85,15,0))</f>
        <v>141.32</v>
      </c>
      <c r="Y503" s="6"/>
      <c r="Z503" s="6">
        <f ca="1">('TUSD BE'!$AM$48+'TUSD BF'!$AM$48+'TUSD CVA'!$AM$48)*1</f>
        <v>415.67450254064073</v>
      </c>
      <c r="AA503" s="6">
        <f>('TE BE'!$AB$38+'TE BF'!$AB$38+'TE CVA'!$AB$38)*1</f>
        <v>135.80626150990429</v>
      </c>
      <c r="AB503" s="6">
        <f>$K$503*$V$503</f>
        <v>0</v>
      </c>
      <c r="AC503" s="6">
        <f>$M$503*$W$503</f>
        <v>55891.355489999994</v>
      </c>
      <c r="AD503" s="6">
        <f>$O$503*$X$503</f>
        <v>20950.54868</v>
      </c>
      <c r="AE503" s="6">
        <f>$K$503*$Y$503</f>
        <v>0</v>
      </c>
      <c r="AF503" s="6">
        <f ca="1">$M$503*$Z$503</f>
        <v>61623.329327147447</v>
      </c>
      <c r="AG503" s="6">
        <f>$O$503*$AA$503</f>
        <v>20133.1424625818</v>
      </c>
    </row>
    <row r="504" spans="1:33" ht="11.25" customHeight="1" x14ac:dyDescent="0.25">
      <c r="A504" s="4" t="s">
        <v>27</v>
      </c>
      <c r="B504" s="4" t="s">
        <v>33</v>
      </c>
      <c r="C504" s="4" t="s">
        <v>23</v>
      </c>
      <c r="D504" s="4" t="s">
        <v>34</v>
      </c>
      <c r="E504" s="4" t="s">
        <v>25</v>
      </c>
      <c r="F504" s="4" t="s">
        <v>25</v>
      </c>
      <c r="G504" s="4" t="s">
        <v>25</v>
      </c>
      <c r="H504" s="4" t="s">
        <v>25</v>
      </c>
      <c r="I504" s="5">
        <v>44621</v>
      </c>
      <c r="J504" s="6">
        <v>0</v>
      </c>
      <c r="K504" s="6">
        <v>0</v>
      </c>
      <c r="L504" s="6">
        <v>-3.4359999999999999</v>
      </c>
      <c r="M504" s="6">
        <v>-3.4359999999999999</v>
      </c>
      <c r="N504" s="6">
        <v>-3.4359999999999999</v>
      </c>
      <c r="O504" s="6">
        <v>-3.4359999999999999</v>
      </c>
      <c r="P504" s="6">
        <v>0</v>
      </c>
      <c r="Q504" s="4" t="s">
        <v>26</v>
      </c>
      <c r="R504" s="4">
        <v>0</v>
      </c>
      <c r="S504" s="6">
        <v>0</v>
      </c>
      <c r="T504" s="6">
        <v>72</v>
      </c>
      <c r="U504" s="6">
        <v>83</v>
      </c>
      <c r="V504" s="6">
        <f>IF(ISERROR(VLOOKUP($S$504,'TAR FIN'!$A$1:$O$85,15,0)),0,VLOOKUP($S$504,'TAR FIN'!$A$1:$O$85,15,0))</f>
        <v>0</v>
      </c>
      <c r="W504" s="6">
        <f>IF(ISERROR(VLOOKUP($T$504,'TAR FIN'!$A$1:$O$85,15,0)),0,VLOOKUP($T$504,'TAR FIN'!$A$1:$O$85,15,0))</f>
        <v>377.01</v>
      </c>
      <c r="X504" s="6">
        <f>IF(ISERROR(VLOOKUP($U$504,'TAR FIN'!$A$1:$O$85,15,0)),0,VLOOKUP($U$504,'TAR FIN'!$A$1:$O$85,15,0))</f>
        <v>141.32</v>
      </c>
      <c r="Y504" s="6"/>
      <c r="Z504" s="6">
        <f ca="1">('TUSD BE'!$AM$48+'TUSD BF'!$AM$48+'TUSD CVA'!$AM$48)*1</f>
        <v>415.67450254064073</v>
      </c>
      <c r="AA504" s="6">
        <f>('TE BE'!$AB$38+'TE BF'!$AB$38+'TE CVA'!$AB$38)*1</f>
        <v>135.80626150990429</v>
      </c>
      <c r="AB504" s="6">
        <f>$K$504*$V$504</f>
        <v>0</v>
      </c>
      <c r="AC504" s="6">
        <f>$M$504*$W$504</f>
        <v>-1295.4063599999999</v>
      </c>
      <c r="AD504" s="6">
        <f>$O$504*$X$504</f>
        <v>-485.57551999999998</v>
      </c>
      <c r="AE504" s="6">
        <f>$K$504*$Y$504</f>
        <v>0</v>
      </c>
      <c r="AF504" s="6">
        <f ca="1">$M$504*$Z$504</f>
        <v>-1428.2575907296416</v>
      </c>
      <c r="AG504" s="6">
        <f>$O$504*$AA$504</f>
        <v>-466.63031454803115</v>
      </c>
    </row>
    <row r="505" spans="1:33" ht="11.25" customHeight="1" x14ac:dyDescent="0.25">
      <c r="A505" s="4" t="s">
        <v>28</v>
      </c>
      <c r="B505" s="4" t="s">
        <v>33</v>
      </c>
      <c r="C505" s="4" t="s">
        <v>23</v>
      </c>
      <c r="D505" s="4" t="s">
        <v>34</v>
      </c>
      <c r="E505" s="4" t="s">
        <v>25</v>
      </c>
      <c r="F505" s="4" t="s">
        <v>25</v>
      </c>
      <c r="G505" s="4" t="s">
        <v>25</v>
      </c>
      <c r="H505" s="4" t="s">
        <v>25</v>
      </c>
      <c r="I505" s="5">
        <v>44621</v>
      </c>
      <c r="J505" s="6">
        <v>0</v>
      </c>
      <c r="K505" s="6">
        <v>0</v>
      </c>
      <c r="L505" s="6">
        <v>6.4610000000000003</v>
      </c>
      <c r="M505" s="6">
        <v>6.4610000000000003</v>
      </c>
      <c r="N505" s="6">
        <v>6.4610000000000003</v>
      </c>
      <c r="O505" s="6">
        <v>6.4610000000000003</v>
      </c>
      <c r="P505" s="6">
        <v>10</v>
      </c>
      <c r="Q505" s="4" t="s">
        <v>26</v>
      </c>
      <c r="R505" s="4">
        <v>0</v>
      </c>
      <c r="S505" s="6">
        <v>0</v>
      </c>
      <c r="T505" s="6">
        <v>72</v>
      </c>
      <c r="U505" s="6">
        <v>83</v>
      </c>
      <c r="V505" s="6">
        <f>IF(ISERROR(VLOOKUP($S$505,'TAR FIN'!$A$1:$O$85,15,0)),0,VLOOKUP($S$505,'TAR FIN'!$A$1:$O$85,15,0))</f>
        <v>0</v>
      </c>
      <c r="W505" s="6">
        <f>IF(ISERROR(VLOOKUP($T$505,'TAR FIN'!$A$1:$O$85,15,0)),0,VLOOKUP($T$505,'TAR FIN'!$A$1:$O$85,15,0))</f>
        <v>377.01</v>
      </c>
      <c r="X505" s="6">
        <f>IF(ISERROR(VLOOKUP($U$505,'TAR FIN'!$A$1:$O$85,15,0)),0,VLOOKUP($U$505,'TAR FIN'!$A$1:$O$85,15,0))</f>
        <v>141.32</v>
      </c>
      <c r="Y505" s="6"/>
      <c r="Z505" s="6">
        <f ca="1">('TUSD BE'!$AM$48+'TUSD BF'!$AM$48+'TUSD CVA'!$AM$48)*1</f>
        <v>415.67450254064073</v>
      </c>
      <c r="AA505" s="6">
        <f>('TE BE'!$AB$38+'TE BF'!$AB$38+'TE CVA'!$AB$38)*1</f>
        <v>135.80626150990429</v>
      </c>
      <c r="AB505" s="6">
        <f>$K$505*$V$505</f>
        <v>0</v>
      </c>
      <c r="AC505" s="6">
        <f>$M$505*$W$505</f>
        <v>2435.8616099999999</v>
      </c>
      <c r="AD505" s="6">
        <f>$O$505*$X$505</f>
        <v>913.06852000000003</v>
      </c>
      <c r="AE505" s="6">
        <f>$K$505*$Y$505</f>
        <v>0</v>
      </c>
      <c r="AF505" s="6">
        <f ca="1">$M$505*$Z$505</f>
        <v>2685.6729609150798</v>
      </c>
      <c r="AG505" s="6">
        <f>$O$505*$AA$505</f>
        <v>877.44425561549167</v>
      </c>
    </row>
    <row r="506" spans="1:33" ht="11.25" customHeight="1" x14ac:dyDescent="0.25">
      <c r="A506" s="4" t="s">
        <v>21</v>
      </c>
      <c r="B506" s="4" t="s">
        <v>33</v>
      </c>
      <c r="C506" s="4" t="s">
        <v>23</v>
      </c>
      <c r="D506" s="4" t="s">
        <v>34</v>
      </c>
      <c r="E506" s="4" t="s">
        <v>25</v>
      </c>
      <c r="F506" s="4" t="s">
        <v>25</v>
      </c>
      <c r="G506" s="4" t="s">
        <v>25</v>
      </c>
      <c r="H506" s="4" t="s">
        <v>25</v>
      </c>
      <c r="I506" s="5">
        <v>44652</v>
      </c>
      <c r="J506" s="6">
        <v>0</v>
      </c>
      <c r="K506" s="6">
        <v>0</v>
      </c>
      <c r="L506" s="6">
        <v>148.232</v>
      </c>
      <c r="M506" s="6">
        <v>148.232</v>
      </c>
      <c r="N506" s="6">
        <v>148.232</v>
      </c>
      <c r="O506" s="6">
        <v>148.232</v>
      </c>
      <c r="P506" s="6">
        <v>141</v>
      </c>
      <c r="Q506" s="4" t="s">
        <v>26</v>
      </c>
      <c r="R506" s="4">
        <v>0</v>
      </c>
      <c r="S506" s="6">
        <v>0</v>
      </c>
      <c r="T506" s="6">
        <v>72</v>
      </c>
      <c r="U506" s="6">
        <v>83</v>
      </c>
      <c r="V506" s="6">
        <f>IF(ISERROR(VLOOKUP($S$506,'TAR FIN'!$A$1:$O$85,15,0)),0,VLOOKUP($S$506,'TAR FIN'!$A$1:$O$85,15,0))</f>
        <v>0</v>
      </c>
      <c r="W506" s="6">
        <f>IF(ISERROR(VLOOKUP($T$506,'TAR FIN'!$A$1:$O$85,15,0)),0,VLOOKUP($T$506,'TAR FIN'!$A$1:$O$85,15,0))</f>
        <v>377.01</v>
      </c>
      <c r="X506" s="6">
        <f>IF(ISERROR(VLOOKUP($U$506,'TAR FIN'!$A$1:$O$85,15,0)),0,VLOOKUP($U$506,'TAR FIN'!$A$1:$O$85,15,0))</f>
        <v>141.32</v>
      </c>
      <c r="Y506" s="6"/>
      <c r="Z506" s="6">
        <f ca="1">('TUSD BE'!$AM$48+'TUSD BF'!$AM$48+'TUSD CVA'!$AM$48)*1</f>
        <v>415.67450254064073</v>
      </c>
      <c r="AA506" s="6">
        <f>('TE BE'!$AB$38+'TE BF'!$AB$38+'TE CVA'!$AB$38)*1</f>
        <v>135.80626150990429</v>
      </c>
      <c r="AB506" s="6">
        <f>$K$506*$V$506</f>
        <v>0</v>
      </c>
      <c r="AC506" s="6">
        <f>$M$506*$W$506</f>
        <v>55884.946319999995</v>
      </c>
      <c r="AD506" s="6">
        <f>$O$506*$X$506</f>
        <v>20948.146239999998</v>
      </c>
      <c r="AE506" s="6">
        <f>$K$506*$Y$506</f>
        <v>0</v>
      </c>
      <c r="AF506" s="6">
        <f ca="1">$M$506*$Z$506</f>
        <v>61616.262860604256</v>
      </c>
      <c r="AG506" s="6">
        <f>$O$506*$AA$506</f>
        <v>20130.833756136133</v>
      </c>
    </row>
    <row r="507" spans="1:33" ht="11.25" customHeight="1" x14ac:dyDescent="0.25">
      <c r="A507" s="4" t="s">
        <v>28</v>
      </c>
      <c r="B507" s="4" t="s">
        <v>33</v>
      </c>
      <c r="C507" s="4" t="s">
        <v>23</v>
      </c>
      <c r="D507" s="4" t="s">
        <v>34</v>
      </c>
      <c r="E507" s="4" t="s">
        <v>25</v>
      </c>
      <c r="F507" s="4" t="s">
        <v>25</v>
      </c>
      <c r="G507" s="4" t="s">
        <v>25</v>
      </c>
      <c r="H507" s="4" t="s">
        <v>25</v>
      </c>
      <c r="I507" s="5">
        <v>44652</v>
      </c>
      <c r="J507" s="6">
        <v>0</v>
      </c>
      <c r="K507" s="6">
        <v>0</v>
      </c>
      <c r="L507" s="6">
        <v>5.3739999999999997</v>
      </c>
      <c r="M507" s="6">
        <v>5.3739999999999997</v>
      </c>
      <c r="N507" s="6">
        <v>5.3739999999999997</v>
      </c>
      <c r="O507" s="6">
        <v>5.3739999999999997</v>
      </c>
      <c r="P507" s="6">
        <v>10</v>
      </c>
      <c r="Q507" s="4" t="s">
        <v>26</v>
      </c>
      <c r="R507" s="4">
        <v>0</v>
      </c>
      <c r="S507" s="6">
        <v>0</v>
      </c>
      <c r="T507" s="6">
        <v>72</v>
      </c>
      <c r="U507" s="6">
        <v>83</v>
      </c>
      <c r="V507" s="6">
        <f>IF(ISERROR(VLOOKUP($S$507,'TAR FIN'!$A$1:$O$85,15,0)),0,VLOOKUP($S$507,'TAR FIN'!$A$1:$O$85,15,0))</f>
        <v>0</v>
      </c>
      <c r="W507" s="6">
        <f>IF(ISERROR(VLOOKUP($T$507,'TAR FIN'!$A$1:$O$85,15,0)),0,VLOOKUP($T$507,'TAR FIN'!$A$1:$O$85,15,0))</f>
        <v>377.01</v>
      </c>
      <c r="X507" s="6">
        <f>IF(ISERROR(VLOOKUP($U$507,'TAR FIN'!$A$1:$O$85,15,0)),0,VLOOKUP($U$507,'TAR FIN'!$A$1:$O$85,15,0))</f>
        <v>141.32</v>
      </c>
      <c r="Y507" s="6"/>
      <c r="Z507" s="6">
        <f ca="1">('TUSD BE'!$AM$48+'TUSD BF'!$AM$48+'TUSD CVA'!$AM$48)*1</f>
        <v>415.67450254064073</v>
      </c>
      <c r="AA507" s="6">
        <f>('TE BE'!$AB$38+'TE BF'!$AB$38+'TE CVA'!$AB$38)*1</f>
        <v>135.80626150990429</v>
      </c>
      <c r="AB507" s="6">
        <f>$K$507*$V$507</f>
        <v>0</v>
      </c>
      <c r="AC507" s="6">
        <f>$M$507*$W$507</f>
        <v>2026.0517399999999</v>
      </c>
      <c r="AD507" s="6">
        <f>$O$507*$X$507</f>
        <v>759.45367999999996</v>
      </c>
      <c r="AE507" s="6">
        <f>$K$507*$Y$507</f>
        <v>0</v>
      </c>
      <c r="AF507" s="6">
        <f ca="1">$M$507*$Z$507</f>
        <v>2233.834776653403</v>
      </c>
      <c r="AG507" s="6">
        <f>$O$507*$AA$507</f>
        <v>729.82284935422558</v>
      </c>
    </row>
    <row r="508" spans="1:33" ht="11.25" customHeight="1" x14ac:dyDescent="0.25">
      <c r="A508" s="4" t="s">
        <v>21</v>
      </c>
      <c r="B508" s="4" t="s">
        <v>33</v>
      </c>
      <c r="C508" s="4" t="s">
        <v>23</v>
      </c>
      <c r="D508" s="4" t="s">
        <v>34</v>
      </c>
      <c r="E508" s="4" t="s">
        <v>25</v>
      </c>
      <c r="F508" s="4" t="s">
        <v>25</v>
      </c>
      <c r="G508" s="4" t="s">
        <v>25</v>
      </c>
      <c r="H508" s="4" t="s">
        <v>25</v>
      </c>
      <c r="I508" s="5">
        <v>44682</v>
      </c>
      <c r="J508" s="6">
        <v>0</v>
      </c>
      <c r="K508" s="6">
        <v>0</v>
      </c>
      <c r="L508" s="6">
        <v>156.66399999999999</v>
      </c>
      <c r="M508" s="6">
        <v>156.66399999999999</v>
      </c>
      <c r="N508" s="6">
        <v>156.66399999999999</v>
      </c>
      <c r="O508" s="6">
        <v>156.66399999999999</v>
      </c>
      <c r="P508" s="6">
        <v>140</v>
      </c>
      <c r="Q508" s="4" t="s">
        <v>26</v>
      </c>
      <c r="R508" s="4">
        <v>0</v>
      </c>
      <c r="S508" s="6">
        <v>0</v>
      </c>
      <c r="T508" s="6">
        <v>72</v>
      </c>
      <c r="U508" s="6">
        <v>83</v>
      </c>
      <c r="V508" s="6">
        <f>IF(ISERROR(VLOOKUP($S$508,'TAR FIN'!$A$1:$O$85,15,0)),0,VLOOKUP($S$508,'TAR FIN'!$A$1:$O$85,15,0))</f>
        <v>0</v>
      </c>
      <c r="W508" s="6">
        <f>IF(ISERROR(VLOOKUP($T$508,'TAR FIN'!$A$1:$O$85,15,0)),0,VLOOKUP($T$508,'TAR FIN'!$A$1:$O$85,15,0))</f>
        <v>377.01</v>
      </c>
      <c r="X508" s="6">
        <f>IF(ISERROR(VLOOKUP($U$508,'TAR FIN'!$A$1:$O$85,15,0)),0,VLOOKUP($U$508,'TAR FIN'!$A$1:$O$85,15,0))</f>
        <v>141.32</v>
      </c>
      <c r="Y508" s="6"/>
      <c r="Z508" s="6">
        <f ca="1">('TUSD BE'!$AM$48+'TUSD BF'!$AM$48+'TUSD CVA'!$AM$48)*1</f>
        <v>415.67450254064073</v>
      </c>
      <c r="AA508" s="6">
        <f>('TE BE'!$AB$38+'TE BF'!$AB$38+'TE CVA'!$AB$38)*1</f>
        <v>135.80626150990429</v>
      </c>
      <c r="AB508" s="6">
        <f>$K$508*$V$508</f>
        <v>0</v>
      </c>
      <c r="AC508" s="6">
        <f>$M$508*$W$508</f>
        <v>59063.894639999991</v>
      </c>
      <c r="AD508" s="6">
        <f>$O$508*$X$508</f>
        <v>22139.756479999996</v>
      </c>
      <c r="AE508" s="6">
        <f>$K$508*$Y$508</f>
        <v>0</v>
      </c>
      <c r="AF508" s="6">
        <f ca="1">$M$508*$Z$508</f>
        <v>65121.230266026934</v>
      </c>
      <c r="AG508" s="6">
        <f>$O$508*$AA$508</f>
        <v>21275.952153187645</v>
      </c>
    </row>
    <row r="509" spans="1:33" ht="11.25" customHeight="1" x14ac:dyDescent="0.25">
      <c r="A509" s="4" t="s">
        <v>28</v>
      </c>
      <c r="B509" s="4" t="s">
        <v>33</v>
      </c>
      <c r="C509" s="4" t="s">
        <v>23</v>
      </c>
      <c r="D509" s="4" t="s">
        <v>34</v>
      </c>
      <c r="E509" s="4" t="s">
        <v>25</v>
      </c>
      <c r="F509" s="4" t="s">
        <v>25</v>
      </c>
      <c r="G509" s="4" t="s">
        <v>25</v>
      </c>
      <c r="H509" s="4" t="s">
        <v>25</v>
      </c>
      <c r="I509" s="5">
        <v>44682</v>
      </c>
      <c r="J509" s="6">
        <v>0</v>
      </c>
      <c r="K509" s="6">
        <v>0</v>
      </c>
      <c r="L509" s="6">
        <v>7.5190000000000001</v>
      </c>
      <c r="M509" s="6">
        <v>7.5190000000000001</v>
      </c>
      <c r="N509" s="6">
        <v>7.5190000000000001</v>
      </c>
      <c r="O509" s="6">
        <v>7.5190000000000001</v>
      </c>
      <c r="P509" s="6">
        <v>11</v>
      </c>
      <c r="Q509" s="4" t="s">
        <v>26</v>
      </c>
      <c r="R509" s="4">
        <v>0</v>
      </c>
      <c r="S509" s="6">
        <v>0</v>
      </c>
      <c r="T509" s="6">
        <v>72</v>
      </c>
      <c r="U509" s="6">
        <v>83</v>
      </c>
      <c r="V509" s="6">
        <f>IF(ISERROR(VLOOKUP($S$509,'TAR FIN'!$A$1:$O$85,15,0)),0,VLOOKUP($S$509,'TAR FIN'!$A$1:$O$85,15,0))</f>
        <v>0</v>
      </c>
      <c r="W509" s="6">
        <f>IF(ISERROR(VLOOKUP($T$509,'TAR FIN'!$A$1:$O$85,15,0)),0,VLOOKUP($T$509,'TAR FIN'!$A$1:$O$85,15,0))</f>
        <v>377.01</v>
      </c>
      <c r="X509" s="6">
        <f>IF(ISERROR(VLOOKUP($U$509,'TAR FIN'!$A$1:$O$85,15,0)),0,VLOOKUP($U$509,'TAR FIN'!$A$1:$O$85,15,0))</f>
        <v>141.32</v>
      </c>
      <c r="Y509" s="6"/>
      <c r="Z509" s="6">
        <f ca="1">('TUSD BE'!$AM$48+'TUSD BF'!$AM$48+'TUSD CVA'!$AM$48)*1</f>
        <v>415.67450254064073</v>
      </c>
      <c r="AA509" s="6">
        <f>('TE BE'!$AB$38+'TE BF'!$AB$38+'TE CVA'!$AB$38)*1</f>
        <v>135.80626150990429</v>
      </c>
      <c r="AB509" s="6">
        <f>$K$509*$V$509</f>
        <v>0</v>
      </c>
      <c r="AC509" s="6">
        <f>$M$509*$W$509</f>
        <v>2834.73819</v>
      </c>
      <c r="AD509" s="6">
        <f>$O$509*$X$509</f>
        <v>1062.5850800000001</v>
      </c>
      <c r="AE509" s="6">
        <f>$K$509*$Y$509</f>
        <v>0</v>
      </c>
      <c r="AF509" s="6">
        <f ca="1">$M$509*$Z$509</f>
        <v>3125.4565846030778</v>
      </c>
      <c r="AG509" s="6">
        <f>$O$509*$AA$509</f>
        <v>1021.1272802929703</v>
      </c>
    </row>
    <row r="510" spans="1:33" ht="11.25" customHeight="1" x14ac:dyDescent="0.25">
      <c r="A510" s="4" t="s">
        <v>21</v>
      </c>
      <c r="B510" s="4" t="s">
        <v>33</v>
      </c>
      <c r="C510" s="4" t="s">
        <v>23</v>
      </c>
      <c r="D510" s="4" t="s">
        <v>34</v>
      </c>
      <c r="E510" s="4" t="s">
        <v>25</v>
      </c>
      <c r="F510" s="4" t="s">
        <v>25</v>
      </c>
      <c r="G510" s="4" t="s">
        <v>25</v>
      </c>
      <c r="H510" s="4" t="s">
        <v>25</v>
      </c>
      <c r="I510" s="5">
        <v>44713</v>
      </c>
      <c r="J510" s="6">
        <v>0</v>
      </c>
      <c r="K510" s="6">
        <v>0</v>
      </c>
      <c r="L510" s="6">
        <v>154.83799999999999</v>
      </c>
      <c r="M510" s="6">
        <v>154.83799999999999</v>
      </c>
      <c r="N510" s="6">
        <v>154.83799999999999</v>
      </c>
      <c r="O510" s="6">
        <v>154.83799999999999</v>
      </c>
      <c r="P510" s="6">
        <v>138</v>
      </c>
      <c r="Q510" s="4" t="s">
        <v>26</v>
      </c>
      <c r="R510" s="4">
        <v>0</v>
      </c>
      <c r="S510" s="6">
        <v>0</v>
      </c>
      <c r="T510" s="6">
        <v>72</v>
      </c>
      <c r="U510" s="6">
        <v>83</v>
      </c>
      <c r="V510" s="6">
        <f>IF(ISERROR(VLOOKUP($S$510,'TAR FIN'!$A$1:$O$85,15,0)),0,VLOOKUP($S$510,'TAR FIN'!$A$1:$O$85,15,0))</f>
        <v>0</v>
      </c>
      <c r="W510" s="6">
        <f>IF(ISERROR(VLOOKUP($T$510,'TAR FIN'!$A$1:$O$85,15,0)),0,VLOOKUP($T$510,'TAR FIN'!$A$1:$O$85,15,0))</f>
        <v>377.01</v>
      </c>
      <c r="X510" s="6">
        <f>IF(ISERROR(VLOOKUP($U$510,'TAR FIN'!$A$1:$O$85,15,0)),0,VLOOKUP($U$510,'TAR FIN'!$A$1:$O$85,15,0))</f>
        <v>141.32</v>
      </c>
      <c r="Y510" s="6"/>
      <c r="Z510" s="6">
        <f ca="1">('TUSD BE'!$AM$48+'TUSD BF'!$AM$48+'TUSD CVA'!$AM$48)*1</f>
        <v>415.67450254064073</v>
      </c>
      <c r="AA510" s="6">
        <f>('TE BE'!$AB$38+'TE BF'!$AB$38+'TE CVA'!$AB$38)*1</f>
        <v>135.80626150990429</v>
      </c>
      <c r="AB510" s="6">
        <f>$K$510*$V$510</f>
        <v>0</v>
      </c>
      <c r="AC510" s="6">
        <f>$M$510*$W$510</f>
        <v>58375.47438</v>
      </c>
      <c r="AD510" s="6">
        <f>$O$510*$X$510</f>
        <v>21881.706159999998</v>
      </c>
      <c r="AE510" s="6">
        <f>$K$510*$Y$510</f>
        <v>0</v>
      </c>
      <c r="AF510" s="6">
        <f ca="1">$M$510*$Z$510</f>
        <v>64362.208624387727</v>
      </c>
      <c r="AG510" s="6">
        <f>$O$510*$AA$510</f>
        <v>21027.969919670559</v>
      </c>
    </row>
    <row r="511" spans="1:33" ht="11.25" customHeight="1" x14ac:dyDescent="0.25">
      <c r="A511" s="4" t="s">
        <v>28</v>
      </c>
      <c r="B511" s="4" t="s">
        <v>33</v>
      </c>
      <c r="C511" s="4" t="s">
        <v>23</v>
      </c>
      <c r="D511" s="4" t="s">
        <v>34</v>
      </c>
      <c r="E511" s="4" t="s">
        <v>25</v>
      </c>
      <c r="F511" s="4" t="s">
        <v>25</v>
      </c>
      <c r="G511" s="4" t="s">
        <v>25</v>
      </c>
      <c r="H511" s="4" t="s">
        <v>25</v>
      </c>
      <c r="I511" s="5">
        <v>44713</v>
      </c>
      <c r="J511" s="6">
        <v>0</v>
      </c>
      <c r="K511" s="6">
        <v>0</v>
      </c>
      <c r="L511" s="6">
        <v>15.335000000000001</v>
      </c>
      <c r="M511" s="6">
        <v>15.335000000000001</v>
      </c>
      <c r="N511" s="6">
        <v>15.335000000000001</v>
      </c>
      <c r="O511" s="6">
        <v>15.335000000000001</v>
      </c>
      <c r="P511" s="6">
        <v>12</v>
      </c>
      <c r="Q511" s="4" t="s">
        <v>26</v>
      </c>
      <c r="R511" s="4">
        <v>0</v>
      </c>
      <c r="S511" s="6">
        <v>0</v>
      </c>
      <c r="T511" s="6">
        <v>72</v>
      </c>
      <c r="U511" s="6">
        <v>83</v>
      </c>
      <c r="V511" s="6">
        <f>IF(ISERROR(VLOOKUP($S$511,'TAR FIN'!$A$1:$O$85,15,0)),0,VLOOKUP($S$511,'TAR FIN'!$A$1:$O$85,15,0))</f>
        <v>0</v>
      </c>
      <c r="W511" s="6">
        <f>IF(ISERROR(VLOOKUP($T$511,'TAR FIN'!$A$1:$O$85,15,0)),0,VLOOKUP($T$511,'TAR FIN'!$A$1:$O$85,15,0))</f>
        <v>377.01</v>
      </c>
      <c r="X511" s="6">
        <f>IF(ISERROR(VLOOKUP($U$511,'TAR FIN'!$A$1:$O$85,15,0)),0,VLOOKUP($U$511,'TAR FIN'!$A$1:$O$85,15,0))</f>
        <v>141.32</v>
      </c>
      <c r="Y511" s="6"/>
      <c r="Z511" s="6">
        <f ca="1">('TUSD BE'!$AM$48+'TUSD BF'!$AM$48+'TUSD CVA'!$AM$48)*1</f>
        <v>415.67450254064073</v>
      </c>
      <c r="AA511" s="6">
        <f>('TE BE'!$AB$38+'TE BF'!$AB$38+'TE CVA'!$AB$38)*1</f>
        <v>135.80626150990429</v>
      </c>
      <c r="AB511" s="6">
        <f>$K$511*$V$511</f>
        <v>0</v>
      </c>
      <c r="AC511" s="6">
        <f>$M$511*$W$511</f>
        <v>5781.4483500000006</v>
      </c>
      <c r="AD511" s="6">
        <f>$O$511*$X$511</f>
        <v>2167.1422000000002</v>
      </c>
      <c r="AE511" s="6">
        <f>$K$511*$Y$511</f>
        <v>0</v>
      </c>
      <c r="AF511" s="6">
        <f ca="1">$M$511*$Z$511</f>
        <v>6374.3684964607255</v>
      </c>
      <c r="AG511" s="6">
        <f>$O$511*$AA$511</f>
        <v>2082.5890202543824</v>
      </c>
    </row>
    <row r="512" spans="1:33" ht="11.25" customHeight="1" x14ac:dyDescent="0.25">
      <c r="A512" s="4" t="s">
        <v>21</v>
      </c>
      <c r="B512" s="4" t="s">
        <v>33</v>
      </c>
      <c r="C512" s="4" t="s">
        <v>23</v>
      </c>
      <c r="D512" s="4" t="s">
        <v>34</v>
      </c>
      <c r="E512" s="4" t="s">
        <v>25</v>
      </c>
      <c r="F512" s="4" t="s">
        <v>25</v>
      </c>
      <c r="G512" s="4" t="s">
        <v>25</v>
      </c>
      <c r="H512" s="4" t="s">
        <v>25</v>
      </c>
      <c r="I512" s="5">
        <v>44743</v>
      </c>
      <c r="J512" s="6">
        <v>0</v>
      </c>
      <c r="K512" s="6">
        <v>0</v>
      </c>
      <c r="L512" s="6">
        <v>143.267</v>
      </c>
      <c r="M512" s="6">
        <v>143.267</v>
      </c>
      <c r="N512" s="6">
        <v>143.267</v>
      </c>
      <c r="O512" s="6">
        <v>143.267</v>
      </c>
      <c r="P512" s="6">
        <v>138</v>
      </c>
      <c r="Q512" s="4" t="s">
        <v>26</v>
      </c>
      <c r="R512" s="4">
        <v>0</v>
      </c>
      <c r="S512" s="6">
        <v>0</v>
      </c>
      <c r="T512" s="6">
        <v>72</v>
      </c>
      <c r="U512" s="6">
        <v>83</v>
      </c>
      <c r="V512" s="6">
        <f>IF(ISERROR(VLOOKUP($S$512,'TAR FIN'!$A$1:$O$85,15,0)),0,VLOOKUP($S$512,'TAR FIN'!$A$1:$O$85,15,0))</f>
        <v>0</v>
      </c>
      <c r="W512" s="6">
        <f>IF(ISERROR(VLOOKUP($T$512,'TAR FIN'!$A$1:$O$85,15,0)),0,VLOOKUP($T$512,'TAR FIN'!$A$1:$O$85,15,0))</f>
        <v>377.01</v>
      </c>
      <c r="X512" s="6">
        <f>IF(ISERROR(VLOOKUP($U$512,'TAR FIN'!$A$1:$O$85,15,0)),0,VLOOKUP($U$512,'TAR FIN'!$A$1:$O$85,15,0))</f>
        <v>141.32</v>
      </c>
      <c r="Y512" s="6"/>
      <c r="Z512" s="6">
        <f ca="1">('TUSD BE'!$AM$48+'TUSD BF'!$AM$48+'TUSD CVA'!$AM$48)*1</f>
        <v>415.67450254064073</v>
      </c>
      <c r="AA512" s="6">
        <f>('TE BE'!$AB$38+'TE BF'!$AB$38+'TE CVA'!$AB$38)*1</f>
        <v>135.80626150990429</v>
      </c>
      <c r="AB512" s="6">
        <f>$K$512*$V$512</f>
        <v>0</v>
      </c>
      <c r="AC512" s="6">
        <f>$M$512*$W$512</f>
        <v>54013.091669999994</v>
      </c>
      <c r="AD512" s="6">
        <f>$O$512*$X$512</f>
        <v>20246.492439999998</v>
      </c>
      <c r="AE512" s="6">
        <f>$K$512*$Y$512</f>
        <v>0</v>
      </c>
      <c r="AF512" s="6">
        <f ca="1">$M$512*$Z$512</f>
        <v>59552.438955489975</v>
      </c>
      <c r="AG512" s="6">
        <f>$O$512*$AA$512</f>
        <v>19456.555667739456</v>
      </c>
    </row>
    <row r="513" spans="1:33" ht="11.25" customHeight="1" x14ac:dyDescent="0.25">
      <c r="A513" s="4" t="s">
        <v>28</v>
      </c>
      <c r="B513" s="4" t="s">
        <v>33</v>
      </c>
      <c r="C513" s="4" t="s">
        <v>23</v>
      </c>
      <c r="D513" s="4" t="s">
        <v>34</v>
      </c>
      <c r="E513" s="4" t="s">
        <v>25</v>
      </c>
      <c r="F513" s="4" t="s">
        <v>25</v>
      </c>
      <c r="G513" s="4" t="s">
        <v>25</v>
      </c>
      <c r="H513" s="4" t="s">
        <v>25</v>
      </c>
      <c r="I513" s="5">
        <v>44743</v>
      </c>
      <c r="J513" s="6">
        <v>0</v>
      </c>
      <c r="K513" s="6">
        <v>0</v>
      </c>
      <c r="L513" s="6">
        <v>17.295000000000002</v>
      </c>
      <c r="M513" s="6">
        <v>17.295000000000002</v>
      </c>
      <c r="N513" s="6">
        <v>17.295000000000002</v>
      </c>
      <c r="O513" s="6">
        <v>17.295000000000002</v>
      </c>
      <c r="P513" s="6">
        <v>13</v>
      </c>
      <c r="Q513" s="4" t="s">
        <v>26</v>
      </c>
      <c r="R513" s="4">
        <v>0</v>
      </c>
      <c r="S513" s="6">
        <v>0</v>
      </c>
      <c r="T513" s="6">
        <v>72</v>
      </c>
      <c r="U513" s="6">
        <v>83</v>
      </c>
      <c r="V513" s="6">
        <f>IF(ISERROR(VLOOKUP($S$513,'TAR FIN'!$A$1:$O$85,15,0)),0,VLOOKUP($S$513,'TAR FIN'!$A$1:$O$85,15,0))</f>
        <v>0</v>
      </c>
      <c r="W513" s="6">
        <f>IF(ISERROR(VLOOKUP($T$513,'TAR FIN'!$A$1:$O$85,15,0)),0,VLOOKUP($T$513,'TAR FIN'!$A$1:$O$85,15,0))</f>
        <v>377.01</v>
      </c>
      <c r="X513" s="6">
        <f>IF(ISERROR(VLOOKUP($U$513,'TAR FIN'!$A$1:$O$85,15,0)),0,VLOOKUP($U$513,'TAR FIN'!$A$1:$O$85,15,0))</f>
        <v>141.32</v>
      </c>
      <c r="Y513" s="6"/>
      <c r="Z513" s="6">
        <f ca="1">('TUSD BE'!$AM$48+'TUSD BF'!$AM$48+'TUSD CVA'!$AM$48)*1</f>
        <v>415.67450254064073</v>
      </c>
      <c r="AA513" s="6">
        <f>('TE BE'!$AB$38+'TE BF'!$AB$38+'TE CVA'!$AB$38)*1</f>
        <v>135.80626150990429</v>
      </c>
      <c r="AB513" s="6">
        <f>$K$513*$V$513</f>
        <v>0</v>
      </c>
      <c r="AC513" s="6">
        <f>$M$513*$W$513</f>
        <v>6520.3879500000003</v>
      </c>
      <c r="AD513" s="6">
        <f>$O$513*$X$513</f>
        <v>2444.1294000000003</v>
      </c>
      <c r="AE513" s="6">
        <f>$K$513*$Y$513</f>
        <v>0</v>
      </c>
      <c r="AF513" s="6">
        <f ca="1">$M$513*$Z$513</f>
        <v>7189.090521440382</v>
      </c>
      <c r="AG513" s="6">
        <f>$O$513*$AA$513</f>
        <v>2348.7692928137949</v>
      </c>
    </row>
    <row r="514" spans="1:33" ht="11.25" customHeight="1" x14ac:dyDescent="0.25">
      <c r="A514" s="4" t="s">
        <v>21</v>
      </c>
      <c r="B514" s="4" t="s">
        <v>33</v>
      </c>
      <c r="C514" s="4" t="s">
        <v>23</v>
      </c>
      <c r="D514" s="4" t="s">
        <v>34</v>
      </c>
      <c r="E514" s="4" t="s">
        <v>25</v>
      </c>
      <c r="F514" s="4" t="s">
        <v>25</v>
      </c>
      <c r="G514" s="4" t="s">
        <v>25</v>
      </c>
      <c r="H514" s="4" t="s">
        <v>25</v>
      </c>
      <c r="I514" s="5">
        <v>44774</v>
      </c>
      <c r="J514" s="6">
        <v>0</v>
      </c>
      <c r="K514" s="6">
        <v>0</v>
      </c>
      <c r="L514" s="6">
        <v>160.126</v>
      </c>
      <c r="M514" s="6">
        <v>160.126</v>
      </c>
      <c r="N514" s="6">
        <v>160.126</v>
      </c>
      <c r="O514" s="6">
        <v>160.126</v>
      </c>
      <c r="P514" s="6">
        <v>137</v>
      </c>
      <c r="Q514" s="4" t="s">
        <v>26</v>
      </c>
      <c r="R514" s="4">
        <v>0</v>
      </c>
      <c r="S514" s="6">
        <v>0</v>
      </c>
      <c r="T514" s="6">
        <v>72</v>
      </c>
      <c r="U514" s="6">
        <v>83</v>
      </c>
      <c r="V514" s="6">
        <f>IF(ISERROR(VLOOKUP($S$514,'TAR FIN'!$A$1:$O$85,15,0)),0,VLOOKUP($S$514,'TAR FIN'!$A$1:$O$85,15,0))</f>
        <v>0</v>
      </c>
      <c r="W514" s="6">
        <f>IF(ISERROR(VLOOKUP($T$514,'TAR FIN'!$A$1:$O$85,15,0)),0,VLOOKUP($T$514,'TAR FIN'!$A$1:$O$85,15,0))</f>
        <v>377.01</v>
      </c>
      <c r="X514" s="6">
        <f>IF(ISERROR(VLOOKUP($U$514,'TAR FIN'!$A$1:$O$85,15,0)),0,VLOOKUP($U$514,'TAR FIN'!$A$1:$O$85,15,0))</f>
        <v>141.32</v>
      </c>
      <c r="Y514" s="6"/>
      <c r="Z514" s="6">
        <f ca="1">('TUSD BE'!$AM$48+'TUSD BF'!$AM$48+'TUSD CVA'!$AM$48)*1</f>
        <v>415.67450254064073</v>
      </c>
      <c r="AA514" s="6">
        <f>('TE BE'!$AB$38+'TE BF'!$AB$38+'TE CVA'!$AB$38)*1</f>
        <v>135.80626150990429</v>
      </c>
      <c r="AB514" s="6">
        <f>$K$514*$V$514</f>
        <v>0</v>
      </c>
      <c r="AC514" s="6">
        <f>$M$514*$W$514</f>
        <v>60369.103260000004</v>
      </c>
      <c r="AD514" s="6">
        <f>$O$514*$X$514</f>
        <v>22629.00632</v>
      </c>
      <c r="AE514" s="6">
        <f>$K$514*$Y$514</f>
        <v>0</v>
      </c>
      <c r="AF514" s="6">
        <f ca="1">$M$514*$Z$514</f>
        <v>66560.295393822642</v>
      </c>
      <c r="AG514" s="6">
        <f>$O$514*$AA$514</f>
        <v>21746.113430534933</v>
      </c>
    </row>
    <row r="515" spans="1:33" ht="11.25" customHeight="1" x14ac:dyDescent="0.25">
      <c r="A515" s="4" t="s">
        <v>28</v>
      </c>
      <c r="B515" s="4" t="s">
        <v>33</v>
      </c>
      <c r="C515" s="4" t="s">
        <v>23</v>
      </c>
      <c r="D515" s="4" t="s">
        <v>34</v>
      </c>
      <c r="E515" s="4" t="s">
        <v>25</v>
      </c>
      <c r="F515" s="4" t="s">
        <v>25</v>
      </c>
      <c r="G515" s="4" t="s">
        <v>25</v>
      </c>
      <c r="H515" s="4" t="s">
        <v>25</v>
      </c>
      <c r="I515" s="5">
        <v>44774</v>
      </c>
      <c r="J515" s="6">
        <v>0</v>
      </c>
      <c r="K515" s="6">
        <v>0</v>
      </c>
      <c r="L515" s="6">
        <v>12.842000000000001</v>
      </c>
      <c r="M515" s="6">
        <v>12.842000000000001</v>
      </c>
      <c r="N515" s="6">
        <v>12.842000000000001</v>
      </c>
      <c r="O515" s="6">
        <v>12.842000000000001</v>
      </c>
      <c r="P515" s="6">
        <v>14</v>
      </c>
      <c r="Q515" s="4" t="s">
        <v>26</v>
      </c>
      <c r="R515" s="4">
        <v>0</v>
      </c>
      <c r="S515" s="6">
        <v>0</v>
      </c>
      <c r="T515" s="6">
        <v>72</v>
      </c>
      <c r="U515" s="6">
        <v>83</v>
      </c>
      <c r="V515" s="6">
        <f>IF(ISERROR(VLOOKUP($S$515,'TAR FIN'!$A$1:$O$85,15,0)),0,VLOOKUP($S$515,'TAR FIN'!$A$1:$O$85,15,0))</f>
        <v>0</v>
      </c>
      <c r="W515" s="6">
        <f>IF(ISERROR(VLOOKUP($T$515,'TAR FIN'!$A$1:$O$85,15,0)),0,VLOOKUP($T$515,'TAR FIN'!$A$1:$O$85,15,0))</f>
        <v>377.01</v>
      </c>
      <c r="X515" s="6">
        <f>IF(ISERROR(VLOOKUP($U$515,'TAR FIN'!$A$1:$O$85,15,0)),0,VLOOKUP($U$515,'TAR FIN'!$A$1:$O$85,15,0))</f>
        <v>141.32</v>
      </c>
      <c r="Y515" s="6"/>
      <c r="Z515" s="6">
        <f ca="1">('TUSD BE'!$AM$48+'TUSD BF'!$AM$48+'TUSD CVA'!$AM$48)*1</f>
        <v>415.67450254064073</v>
      </c>
      <c r="AA515" s="6">
        <f>('TE BE'!$AB$38+'TE BF'!$AB$38+'TE CVA'!$AB$38)*1</f>
        <v>135.80626150990429</v>
      </c>
      <c r="AB515" s="6">
        <f>$K$515*$V$515</f>
        <v>0</v>
      </c>
      <c r="AC515" s="6">
        <f>$M$515*$W$515</f>
        <v>4841.5624200000002</v>
      </c>
      <c r="AD515" s="6">
        <f>$O$515*$X$515</f>
        <v>1814.8314399999999</v>
      </c>
      <c r="AE515" s="6">
        <f>$K$515*$Y$515</f>
        <v>0</v>
      </c>
      <c r="AF515" s="6">
        <f ca="1">$M$515*$Z$515</f>
        <v>5338.0919616269084</v>
      </c>
      <c r="AG515" s="6">
        <f>$O$515*$AA$515</f>
        <v>1744.024010310191</v>
      </c>
    </row>
    <row r="516" spans="1:33" ht="11.25" customHeight="1" x14ac:dyDescent="0.25">
      <c r="A516" s="4" t="s">
        <v>28</v>
      </c>
      <c r="B516" s="4" t="s">
        <v>33</v>
      </c>
      <c r="C516" s="4" t="s">
        <v>23</v>
      </c>
      <c r="D516" s="4" t="s">
        <v>34</v>
      </c>
      <c r="E516" s="4" t="s">
        <v>25</v>
      </c>
      <c r="F516" s="4" t="s">
        <v>25</v>
      </c>
      <c r="G516" s="4" t="s">
        <v>25</v>
      </c>
      <c r="H516" s="4" t="s">
        <v>25</v>
      </c>
      <c r="I516" s="5">
        <v>44774</v>
      </c>
      <c r="J516" s="6">
        <v>0</v>
      </c>
      <c r="K516" s="6">
        <v>0</v>
      </c>
      <c r="L516" s="6">
        <v>-1.802</v>
      </c>
      <c r="M516" s="6">
        <v>-1.802</v>
      </c>
      <c r="N516" s="6">
        <v>-1.802</v>
      </c>
      <c r="O516" s="6">
        <v>-1.802</v>
      </c>
      <c r="P516" s="6">
        <v>2</v>
      </c>
      <c r="Q516" s="4" t="s">
        <v>26</v>
      </c>
      <c r="R516" s="4">
        <v>0</v>
      </c>
      <c r="S516" s="6">
        <v>0</v>
      </c>
      <c r="T516" s="6">
        <v>72</v>
      </c>
      <c r="U516" s="6">
        <v>83</v>
      </c>
      <c r="V516" s="6">
        <f>IF(ISERROR(VLOOKUP($S$516,'TAR FIN'!$A$1:$O$85,15,0)),0,VLOOKUP($S$516,'TAR FIN'!$A$1:$O$85,15,0))</f>
        <v>0</v>
      </c>
      <c r="W516" s="6">
        <f>IF(ISERROR(VLOOKUP($T$516,'TAR FIN'!$A$1:$O$85,15,0)),0,VLOOKUP($T$516,'TAR FIN'!$A$1:$O$85,15,0))</f>
        <v>377.01</v>
      </c>
      <c r="X516" s="6">
        <f>IF(ISERROR(VLOOKUP($U$516,'TAR FIN'!$A$1:$O$85,15,0)),0,VLOOKUP($U$516,'TAR FIN'!$A$1:$O$85,15,0))</f>
        <v>141.32</v>
      </c>
      <c r="Y516" s="6"/>
      <c r="Z516" s="6">
        <f ca="1">('TUSD BE'!$AM$48+'TUSD BF'!$AM$48+'TUSD CVA'!$AM$48)*1</f>
        <v>415.67450254064073</v>
      </c>
      <c r="AA516" s="6">
        <f>('TE BE'!$AB$38+'TE BF'!$AB$38+'TE CVA'!$AB$38)*1</f>
        <v>135.80626150990429</v>
      </c>
      <c r="AB516" s="6">
        <f>$K$516*$V$516</f>
        <v>0</v>
      </c>
      <c r="AC516" s="6">
        <f>$M$516*$W$516</f>
        <v>-679.37202000000002</v>
      </c>
      <c r="AD516" s="6">
        <f>$O$516*$X$516</f>
        <v>-254.65863999999999</v>
      </c>
      <c r="AE516" s="6">
        <f>$K$516*$Y$516</f>
        <v>0</v>
      </c>
      <c r="AF516" s="6">
        <f ca="1">$M$516*$Z$516</f>
        <v>-749.04545357823463</v>
      </c>
      <c r="AG516" s="6">
        <f>$O$516*$AA$516</f>
        <v>-244.72288324084752</v>
      </c>
    </row>
    <row r="517" spans="1:33" ht="11.25" customHeight="1" x14ac:dyDescent="0.25">
      <c r="A517" s="4" t="s">
        <v>21</v>
      </c>
      <c r="B517" s="4" t="s">
        <v>33</v>
      </c>
      <c r="C517" s="4" t="s">
        <v>23</v>
      </c>
      <c r="D517" s="4" t="s">
        <v>42</v>
      </c>
      <c r="E517" s="4" t="s">
        <v>25</v>
      </c>
      <c r="F517" s="4" t="s">
        <v>25</v>
      </c>
      <c r="G517" s="4" t="s">
        <v>25</v>
      </c>
      <c r="H517" s="4" t="s">
        <v>25</v>
      </c>
      <c r="I517" s="5">
        <v>44440</v>
      </c>
      <c r="J517" s="6">
        <v>0</v>
      </c>
      <c r="K517" s="6">
        <v>0</v>
      </c>
      <c r="L517" s="6">
        <v>108.654</v>
      </c>
      <c r="M517" s="6">
        <v>108.654</v>
      </c>
      <c r="N517" s="6">
        <v>108.654</v>
      </c>
      <c r="O517" s="6">
        <v>108.654</v>
      </c>
      <c r="P517" s="6">
        <v>159</v>
      </c>
      <c r="Q517" s="4" t="s">
        <v>26</v>
      </c>
      <c r="R517" s="4">
        <v>0</v>
      </c>
      <c r="S517" s="6">
        <v>0</v>
      </c>
      <c r="T517" s="6">
        <v>72</v>
      </c>
      <c r="U517" s="6">
        <v>83</v>
      </c>
      <c r="V517" s="6">
        <f>IF(ISERROR(VLOOKUP($S$517,'TAR FIN'!$A$1:$O$85,15,0)),0,VLOOKUP($S$517,'TAR FIN'!$A$1:$O$85,15,0))</f>
        <v>0</v>
      </c>
      <c r="W517" s="6">
        <f>IF(ISERROR(VLOOKUP($T$517,'TAR FIN'!$A$1:$O$85,15,0)),0,VLOOKUP($T$517,'TAR FIN'!$A$1:$O$85,15,0))</f>
        <v>377.01</v>
      </c>
      <c r="X517" s="6">
        <f>IF(ISERROR(VLOOKUP($U$517,'TAR FIN'!$A$1:$O$85,15,0)),0,VLOOKUP($U$517,'TAR FIN'!$A$1:$O$85,15,0))</f>
        <v>141.32</v>
      </c>
      <c r="Y517" s="6"/>
      <c r="Z517" s="6">
        <f ca="1">('TUSD BE'!$AM$48+'TUSD BF'!$AM$48+'TUSD CVA'!$AM$48)*1</f>
        <v>415.67450254064073</v>
      </c>
      <c r="AA517" s="6">
        <f>('TE BE'!$AB$38+'TE BF'!$AB$38+'TE CVA'!$AB$38)*1</f>
        <v>135.80626150990429</v>
      </c>
      <c r="AB517" s="6">
        <f>$K$517*$V$517</f>
        <v>0</v>
      </c>
      <c r="AC517" s="6">
        <f>$M$517*$W$517</f>
        <v>40963.644540000001</v>
      </c>
      <c r="AD517" s="6">
        <f>$O$517*$X$517</f>
        <v>15354.983279999999</v>
      </c>
      <c r="AE517" s="6">
        <f>$K$517*$Y$517</f>
        <v>0</v>
      </c>
      <c r="AF517" s="6">
        <f ca="1">$M$517*$Z$517</f>
        <v>45164.697399050776</v>
      </c>
      <c r="AG517" s="6">
        <f>$O$517*$AA$517</f>
        <v>14755.89353809714</v>
      </c>
    </row>
    <row r="518" spans="1:33" ht="11.25" customHeight="1" x14ac:dyDescent="0.25">
      <c r="A518" s="4" t="s">
        <v>21</v>
      </c>
      <c r="B518" s="4" t="s">
        <v>33</v>
      </c>
      <c r="C518" s="4" t="s">
        <v>23</v>
      </c>
      <c r="D518" s="4" t="s">
        <v>42</v>
      </c>
      <c r="E518" s="4" t="s">
        <v>25</v>
      </c>
      <c r="F518" s="4" t="s">
        <v>25</v>
      </c>
      <c r="G518" s="4" t="s">
        <v>25</v>
      </c>
      <c r="H518" s="4" t="s">
        <v>25</v>
      </c>
      <c r="I518" s="5">
        <v>44470</v>
      </c>
      <c r="J518" s="6">
        <v>0</v>
      </c>
      <c r="K518" s="6">
        <v>0</v>
      </c>
      <c r="L518" s="6">
        <v>105.723</v>
      </c>
      <c r="M518" s="6">
        <v>105.723</v>
      </c>
      <c r="N518" s="6">
        <v>105.723</v>
      </c>
      <c r="O518" s="6">
        <v>105.723</v>
      </c>
      <c r="P518" s="6">
        <v>162</v>
      </c>
      <c r="Q518" s="4" t="s">
        <v>26</v>
      </c>
      <c r="R518" s="4">
        <v>0</v>
      </c>
      <c r="S518" s="6">
        <v>0</v>
      </c>
      <c r="T518" s="6">
        <v>72</v>
      </c>
      <c r="U518" s="6">
        <v>83</v>
      </c>
      <c r="V518" s="6">
        <f>IF(ISERROR(VLOOKUP($S$518,'TAR FIN'!$A$1:$O$85,15,0)),0,VLOOKUP($S$518,'TAR FIN'!$A$1:$O$85,15,0))</f>
        <v>0</v>
      </c>
      <c r="W518" s="6">
        <f>IF(ISERROR(VLOOKUP($T$518,'TAR FIN'!$A$1:$O$85,15,0)),0,VLOOKUP($T$518,'TAR FIN'!$A$1:$O$85,15,0))</f>
        <v>377.01</v>
      </c>
      <c r="X518" s="6">
        <f>IF(ISERROR(VLOOKUP($U$518,'TAR FIN'!$A$1:$O$85,15,0)),0,VLOOKUP($U$518,'TAR FIN'!$A$1:$O$85,15,0))</f>
        <v>141.32</v>
      </c>
      <c r="Y518" s="6"/>
      <c r="Z518" s="6">
        <f ca="1">('TUSD BE'!$AM$48+'TUSD BF'!$AM$48+'TUSD CVA'!$AM$48)*1</f>
        <v>415.67450254064073</v>
      </c>
      <c r="AA518" s="6">
        <f>('TE BE'!$AB$38+'TE BF'!$AB$38+'TE CVA'!$AB$38)*1</f>
        <v>135.80626150990429</v>
      </c>
      <c r="AB518" s="6">
        <f>$K$518*$V$518</f>
        <v>0</v>
      </c>
      <c r="AC518" s="6">
        <f>$M$518*$W$518</f>
        <v>39858.628230000002</v>
      </c>
      <c r="AD518" s="6">
        <f>$O$518*$X$518</f>
        <v>14940.774359999999</v>
      </c>
      <c r="AE518" s="6">
        <f>$K$518*$Y$518</f>
        <v>0</v>
      </c>
      <c r="AF518" s="6">
        <f ca="1">$M$518*$Z$518</f>
        <v>43946.355432104159</v>
      </c>
      <c r="AG518" s="6">
        <f>$O$518*$AA$518</f>
        <v>14357.84538561161</v>
      </c>
    </row>
    <row r="519" spans="1:33" ht="11.25" customHeight="1" x14ac:dyDescent="0.25">
      <c r="A519" s="4" t="s">
        <v>21</v>
      </c>
      <c r="B519" s="4" t="s">
        <v>33</v>
      </c>
      <c r="C519" s="4" t="s">
        <v>23</v>
      </c>
      <c r="D519" s="4" t="s">
        <v>42</v>
      </c>
      <c r="E519" s="4" t="s">
        <v>25</v>
      </c>
      <c r="F519" s="4" t="s">
        <v>25</v>
      </c>
      <c r="G519" s="4" t="s">
        <v>25</v>
      </c>
      <c r="H519" s="4" t="s">
        <v>25</v>
      </c>
      <c r="I519" s="5">
        <v>44501</v>
      </c>
      <c r="J519" s="6">
        <v>0</v>
      </c>
      <c r="K519" s="6">
        <v>0</v>
      </c>
      <c r="L519" s="6">
        <v>112.221</v>
      </c>
      <c r="M519" s="6">
        <v>112.221</v>
      </c>
      <c r="N519" s="6">
        <v>112.221</v>
      </c>
      <c r="O519" s="6">
        <v>112.221</v>
      </c>
      <c r="P519" s="6">
        <v>163</v>
      </c>
      <c r="Q519" s="4" t="s">
        <v>26</v>
      </c>
      <c r="R519" s="4">
        <v>0</v>
      </c>
      <c r="S519" s="6">
        <v>0</v>
      </c>
      <c r="T519" s="6">
        <v>72</v>
      </c>
      <c r="U519" s="6">
        <v>83</v>
      </c>
      <c r="V519" s="6">
        <f>IF(ISERROR(VLOOKUP($S$519,'TAR FIN'!$A$1:$O$85,15,0)),0,VLOOKUP($S$519,'TAR FIN'!$A$1:$O$85,15,0))</f>
        <v>0</v>
      </c>
      <c r="W519" s="6">
        <f>IF(ISERROR(VLOOKUP($T$519,'TAR FIN'!$A$1:$O$85,15,0)),0,VLOOKUP($T$519,'TAR FIN'!$A$1:$O$85,15,0))</f>
        <v>377.01</v>
      </c>
      <c r="X519" s="6">
        <f>IF(ISERROR(VLOOKUP($U$519,'TAR FIN'!$A$1:$O$85,15,0)),0,VLOOKUP($U$519,'TAR FIN'!$A$1:$O$85,15,0))</f>
        <v>141.32</v>
      </c>
      <c r="Y519" s="6"/>
      <c r="Z519" s="6">
        <f ca="1">('TUSD BE'!$AM$48+'TUSD BF'!$AM$48+'TUSD CVA'!$AM$48)*1</f>
        <v>415.67450254064073</v>
      </c>
      <c r="AA519" s="6">
        <f>('TE BE'!$AB$38+'TE BF'!$AB$38+'TE CVA'!$AB$38)*1</f>
        <v>135.80626150990429</v>
      </c>
      <c r="AB519" s="6">
        <f>$K$519*$V$519</f>
        <v>0</v>
      </c>
      <c r="AC519" s="6">
        <f>$M$519*$W$519</f>
        <v>42308.439209999997</v>
      </c>
      <c r="AD519" s="6">
        <f>$O$519*$X$519</f>
        <v>15859.07172</v>
      </c>
      <c r="AE519" s="6">
        <f>$K$519*$Y$519</f>
        <v>0</v>
      </c>
      <c r="AF519" s="6">
        <f ca="1">$M$519*$Z$519</f>
        <v>46647.408349613244</v>
      </c>
      <c r="AG519" s="6">
        <f>$O$519*$AA$519</f>
        <v>15240.31447290297</v>
      </c>
    </row>
    <row r="520" spans="1:33" ht="11.25" customHeight="1" x14ac:dyDescent="0.25">
      <c r="A520" s="4" t="s">
        <v>21</v>
      </c>
      <c r="B520" s="4" t="s">
        <v>33</v>
      </c>
      <c r="C520" s="4" t="s">
        <v>23</v>
      </c>
      <c r="D520" s="4" t="s">
        <v>42</v>
      </c>
      <c r="E520" s="4" t="s">
        <v>25</v>
      </c>
      <c r="F520" s="4" t="s">
        <v>25</v>
      </c>
      <c r="G520" s="4" t="s">
        <v>25</v>
      </c>
      <c r="H520" s="4" t="s">
        <v>25</v>
      </c>
      <c r="I520" s="5">
        <v>44531</v>
      </c>
      <c r="J520" s="6">
        <v>0</v>
      </c>
      <c r="K520" s="6">
        <v>0</v>
      </c>
      <c r="L520" s="6">
        <v>129.02600000000001</v>
      </c>
      <c r="M520" s="6">
        <v>129.02600000000001</v>
      </c>
      <c r="N520" s="6">
        <v>129.02600000000001</v>
      </c>
      <c r="O520" s="6">
        <v>129.02600000000001</v>
      </c>
      <c r="P520" s="6">
        <v>160</v>
      </c>
      <c r="Q520" s="4" t="s">
        <v>26</v>
      </c>
      <c r="R520" s="4">
        <v>0</v>
      </c>
      <c r="S520" s="6">
        <v>0</v>
      </c>
      <c r="T520" s="6">
        <v>72</v>
      </c>
      <c r="U520" s="6">
        <v>83</v>
      </c>
      <c r="V520" s="6">
        <f>IF(ISERROR(VLOOKUP($S$520,'TAR FIN'!$A$1:$O$85,15,0)),0,VLOOKUP($S$520,'TAR FIN'!$A$1:$O$85,15,0))</f>
        <v>0</v>
      </c>
      <c r="W520" s="6">
        <f>IF(ISERROR(VLOOKUP($T$520,'TAR FIN'!$A$1:$O$85,15,0)),0,VLOOKUP($T$520,'TAR FIN'!$A$1:$O$85,15,0))</f>
        <v>377.01</v>
      </c>
      <c r="X520" s="6">
        <f>IF(ISERROR(VLOOKUP($U$520,'TAR FIN'!$A$1:$O$85,15,0)),0,VLOOKUP($U$520,'TAR FIN'!$A$1:$O$85,15,0))</f>
        <v>141.32</v>
      </c>
      <c r="Y520" s="6"/>
      <c r="Z520" s="6">
        <f ca="1">('TUSD BE'!$AM$48+'TUSD BF'!$AM$48+'TUSD CVA'!$AM$48)*1</f>
        <v>415.67450254064073</v>
      </c>
      <c r="AA520" s="6">
        <f>('TE BE'!$AB$38+'TE BF'!$AB$38+'TE CVA'!$AB$38)*1</f>
        <v>135.80626150990429</v>
      </c>
      <c r="AB520" s="6">
        <f>$K$520*$V$520</f>
        <v>0</v>
      </c>
      <c r="AC520" s="6">
        <f>$M$520*$W$520</f>
        <v>48644.092260000005</v>
      </c>
      <c r="AD520" s="6">
        <f>$O$520*$X$520</f>
        <v>18233.954320000001</v>
      </c>
      <c r="AE520" s="6">
        <f>$K$520*$Y$520</f>
        <v>0</v>
      </c>
      <c r="AF520" s="6">
        <f ca="1">$M$520*$Z$520</f>
        <v>53632.818364808714</v>
      </c>
      <c r="AG520" s="6">
        <f>$O$520*$AA$520</f>
        <v>17522.538697576911</v>
      </c>
    </row>
    <row r="521" spans="1:33" ht="11.25" customHeight="1" x14ac:dyDescent="0.25">
      <c r="A521" s="4" t="s">
        <v>21</v>
      </c>
      <c r="B521" s="4" t="s">
        <v>33</v>
      </c>
      <c r="C521" s="4" t="s">
        <v>23</v>
      </c>
      <c r="D521" s="4" t="s">
        <v>42</v>
      </c>
      <c r="E521" s="4" t="s">
        <v>25</v>
      </c>
      <c r="F521" s="4" t="s">
        <v>25</v>
      </c>
      <c r="G521" s="4" t="s">
        <v>25</v>
      </c>
      <c r="H521" s="4" t="s">
        <v>25</v>
      </c>
      <c r="I521" s="5">
        <v>44562</v>
      </c>
      <c r="J521" s="6">
        <v>0</v>
      </c>
      <c r="K521" s="6">
        <v>0</v>
      </c>
      <c r="L521" s="6">
        <v>132.499</v>
      </c>
      <c r="M521" s="6">
        <v>132.499</v>
      </c>
      <c r="N521" s="6">
        <v>132.499</v>
      </c>
      <c r="O521" s="6">
        <v>132.499</v>
      </c>
      <c r="P521" s="6">
        <v>161</v>
      </c>
      <c r="Q521" s="4" t="s">
        <v>26</v>
      </c>
      <c r="R521" s="4">
        <v>0</v>
      </c>
      <c r="S521" s="6">
        <v>0</v>
      </c>
      <c r="T521" s="6">
        <v>72</v>
      </c>
      <c r="U521" s="6">
        <v>83</v>
      </c>
      <c r="V521" s="6">
        <f>IF(ISERROR(VLOOKUP($S$521,'TAR FIN'!$A$1:$O$85,15,0)),0,VLOOKUP($S$521,'TAR FIN'!$A$1:$O$85,15,0))</f>
        <v>0</v>
      </c>
      <c r="W521" s="6">
        <f>IF(ISERROR(VLOOKUP($T$521,'TAR FIN'!$A$1:$O$85,15,0)),0,VLOOKUP($T$521,'TAR FIN'!$A$1:$O$85,15,0))</f>
        <v>377.01</v>
      </c>
      <c r="X521" s="6">
        <f>IF(ISERROR(VLOOKUP($U$521,'TAR FIN'!$A$1:$O$85,15,0)),0,VLOOKUP($U$521,'TAR FIN'!$A$1:$O$85,15,0))</f>
        <v>141.32</v>
      </c>
      <c r="Y521" s="6"/>
      <c r="Z521" s="6">
        <f ca="1">('TUSD BE'!$AM$48+'TUSD BF'!$AM$48+'TUSD CVA'!$AM$48)*1</f>
        <v>415.67450254064073</v>
      </c>
      <c r="AA521" s="6">
        <f>('TE BE'!$AB$38+'TE BF'!$AB$38+'TE CVA'!$AB$38)*1</f>
        <v>135.80626150990429</v>
      </c>
      <c r="AB521" s="6">
        <f>$K$521*$V$521</f>
        <v>0</v>
      </c>
      <c r="AC521" s="6">
        <f>$M$521*$W$521</f>
        <v>49953.447990000001</v>
      </c>
      <c r="AD521" s="6">
        <f>$O$521*$X$521</f>
        <v>18724.758679999999</v>
      </c>
      <c r="AE521" s="6">
        <f>$K$521*$Y$521</f>
        <v>0</v>
      </c>
      <c r="AF521" s="6">
        <f ca="1">$M$521*$Z$521</f>
        <v>55076.455912132355</v>
      </c>
      <c r="AG521" s="6">
        <f>$O$521*$AA$521</f>
        <v>17994.193843800807</v>
      </c>
    </row>
    <row r="522" spans="1:33" ht="11.25" customHeight="1" x14ac:dyDescent="0.25">
      <c r="A522" s="4" t="s">
        <v>27</v>
      </c>
      <c r="B522" s="4" t="s">
        <v>33</v>
      </c>
      <c r="C522" s="4" t="s">
        <v>23</v>
      </c>
      <c r="D522" s="4" t="s">
        <v>42</v>
      </c>
      <c r="E522" s="4" t="s">
        <v>25</v>
      </c>
      <c r="F522" s="4" t="s">
        <v>25</v>
      </c>
      <c r="G522" s="4" t="s">
        <v>25</v>
      </c>
      <c r="H522" s="4" t="s">
        <v>25</v>
      </c>
      <c r="I522" s="5">
        <v>44562</v>
      </c>
      <c r="J522" s="6">
        <v>0</v>
      </c>
      <c r="K522" s="6">
        <v>0</v>
      </c>
      <c r="L522" s="6">
        <v>-2.6269999999999998</v>
      </c>
      <c r="M522" s="6">
        <v>-2.6269999999999998</v>
      </c>
      <c r="N522" s="6">
        <v>-2.6269999999999998</v>
      </c>
      <c r="O522" s="6">
        <v>-2.6269999999999998</v>
      </c>
      <c r="P522" s="6">
        <v>0</v>
      </c>
      <c r="Q522" s="4" t="s">
        <v>26</v>
      </c>
      <c r="R522" s="4">
        <v>0</v>
      </c>
      <c r="S522" s="6">
        <v>0</v>
      </c>
      <c r="T522" s="6">
        <v>72</v>
      </c>
      <c r="U522" s="6">
        <v>83</v>
      </c>
      <c r="V522" s="6">
        <f>IF(ISERROR(VLOOKUP($S$522,'TAR FIN'!$A$1:$O$85,15,0)),0,VLOOKUP($S$522,'TAR FIN'!$A$1:$O$85,15,0))</f>
        <v>0</v>
      </c>
      <c r="W522" s="6">
        <f>IF(ISERROR(VLOOKUP($T$522,'TAR FIN'!$A$1:$O$85,15,0)),0,VLOOKUP($T$522,'TAR FIN'!$A$1:$O$85,15,0))</f>
        <v>377.01</v>
      </c>
      <c r="X522" s="6">
        <f>IF(ISERROR(VLOOKUP($U$522,'TAR FIN'!$A$1:$O$85,15,0)),0,VLOOKUP($U$522,'TAR FIN'!$A$1:$O$85,15,0))</f>
        <v>141.32</v>
      </c>
      <c r="Y522" s="6"/>
      <c r="Z522" s="6">
        <f ca="1">('TUSD BE'!$AM$48+'TUSD BF'!$AM$48+'TUSD CVA'!$AM$48)*1</f>
        <v>415.67450254064073</v>
      </c>
      <c r="AA522" s="6">
        <f>('TE BE'!$AB$38+'TE BF'!$AB$38+'TE CVA'!$AB$38)*1</f>
        <v>135.80626150990429</v>
      </c>
      <c r="AB522" s="6">
        <f>$K$522*$V$522</f>
        <v>0</v>
      </c>
      <c r="AC522" s="6">
        <f>$M$522*$W$522</f>
        <v>-990.40526999999986</v>
      </c>
      <c r="AD522" s="6">
        <f>$O$522*$X$522</f>
        <v>-371.24763999999993</v>
      </c>
      <c r="AE522" s="6">
        <f>$K$522*$Y$522</f>
        <v>0</v>
      </c>
      <c r="AF522" s="6">
        <f ca="1">$M$522*$Z$522</f>
        <v>-1091.9769181742631</v>
      </c>
      <c r="AG522" s="6">
        <f>$O$522*$AA$522</f>
        <v>-356.76304898651853</v>
      </c>
    </row>
    <row r="523" spans="1:33" ht="11.25" customHeight="1" x14ac:dyDescent="0.25">
      <c r="A523" s="4" t="s">
        <v>21</v>
      </c>
      <c r="B523" s="4" t="s">
        <v>33</v>
      </c>
      <c r="C523" s="4" t="s">
        <v>23</v>
      </c>
      <c r="D523" s="4" t="s">
        <v>42</v>
      </c>
      <c r="E523" s="4" t="s">
        <v>25</v>
      </c>
      <c r="F523" s="4" t="s">
        <v>25</v>
      </c>
      <c r="G523" s="4" t="s">
        <v>25</v>
      </c>
      <c r="H523" s="4" t="s">
        <v>25</v>
      </c>
      <c r="I523" s="5">
        <v>44593</v>
      </c>
      <c r="J523" s="6">
        <v>0</v>
      </c>
      <c r="K523" s="6">
        <v>0</v>
      </c>
      <c r="L523" s="6">
        <v>155.26900000000001</v>
      </c>
      <c r="M523" s="6">
        <v>155.26900000000001</v>
      </c>
      <c r="N523" s="6">
        <v>155.26900000000001</v>
      </c>
      <c r="O523" s="6">
        <v>155.26900000000001</v>
      </c>
      <c r="P523" s="6">
        <v>158</v>
      </c>
      <c r="Q523" s="4" t="s">
        <v>26</v>
      </c>
      <c r="R523" s="4">
        <v>0</v>
      </c>
      <c r="S523" s="6">
        <v>0</v>
      </c>
      <c r="T523" s="6">
        <v>72</v>
      </c>
      <c r="U523" s="6">
        <v>83</v>
      </c>
      <c r="V523" s="6">
        <f>IF(ISERROR(VLOOKUP($S$523,'TAR FIN'!$A$1:$O$85,15,0)),0,VLOOKUP($S$523,'TAR FIN'!$A$1:$O$85,15,0))</f>
        <v>0</v>
      </c>
      <c r="W523" s="6">
        <f>IF(ISERROR(VLOOKUP($T$523,'TAR FIN'!$A$1:$O$85,15,0)),0,VLOOKUP($T$523,'TAR FIN'!$A$1:$O$85,15,0))</f>
        <v>377.01</v>
      </c>
      <c r="X523" s="6">
        <f>IF(ISERROR(VLOOKUP($U$523,'TAR FIN'!$A$1:$O$85,15,0)),0,VLOOKUP($U$523,'TAR FIN'!$A$1:$O$85,15,0))</f>
        <v>141.32</v>
      </c>
      <c r="Y523" s="6"/>
      <c r="Z523" s="6">
        <f ca="1">('TUSD BE'!$AM$48+'TUSD BF'!$AM$48+'TUSD CVA'!$AM$48)*1</f>
        <v>415.67450254064073</v>
      </c>
      <c r="AA523" s="6">
        <f>('TE BE'!$AB$38+'TE BF'!$AB$38+'TE CVA'!$AB$38)*1</f>
        <v>135.80626150990429</v>
      </c>
      <c r="AB523" s="6">
        <f>$K$523*$V$523</f>
        <v>0</v>
      </c>
      <c r="AC523" s="6">
        <f>$M$523*$W$523</f>
        <v>58537.965689999997</v>
      </c>
      <c r="AD523" s="6">
        <f>$O$523*$X$523</f>
        <v>21942.61508</v>
      </c>
      <c r="AE523" s="6">
        <f>$K$523*$Y$523</f>
        <v>0</v>
      </c>
      <c r="AF523" s="6">
        <f ca="1">$M$523*$Z$523</f>
        <v>64541.364334982747</v>
      </c>
      <c r="AG523" s="6">
        <f>$O$523*$AA$523</f>
        <v>21086.502418381329</v>
      </c>
    </row>
    <row r="524" spans="1:33" ht="11.25" customHeight="1" x14ac:dyDescent="0.25">
      <c r="A524" s="4" t="s">
        <v>21</v>
      </c>
      <c r="B524" s="4" t="s">
        <v>33</v>
      </c>
      <c r="C524" s="4" t="s">
        <v>23</v>
      </c>
      <c r="D524" s="4" t="s">
        <v>42</v>
      </c>
      <c r="E524" s="4" t="s">
        <v>25</v>
      </c>
      <c r="F524" s="4" t="s">
        <v>25</v>
      </c>
      <c r="G524" s="4" t="s">
        <v>25</v>
      </c>
      <c r="H524" s="4" t="s">
        <v>25</v>
      </c>
      <c r="I524" s="5">
        <v>44621</v>
      </c>
      <c r="J524" s="6">
        <v>0</v>
      </c>
      <c r="K524" s="6">
        <v>0</v>
      </c>
      <c r="L524" s="6">
        <v>148.22499999999999</v>
      </c>
      <c r="M524" s="6">
        <v>148.22499999999999</v>
      </c>
      <c r="N524" s="6">
        <v>148.22499999999999</v>
      </c>
      <c r="O524" s="6">
        <v>148.22499999999999</v>
      </c>
      <c r="P524" s="6">
        <v>158</v>
      </c>
      <c r="Q524" s="4" t="s">
        <v>26</v>
      </c>
      <c r="R524" s="4">
        <v>0</v>
      </c>
      <c r="S524" s="6">
        <v>0</v>
      </c>
      <c r="T524" s="6">
        <v>72</v>
      </c>
      <c r="U524" s="6">
        <v>83</v>
      </c>
      <c r="V524" s="6">
        <f>IF(ISERROR(VLOOKUP($S$524,'TAR FIN'!$A$1:$O$85,15,0)),0,VLOOKUP($S$524,'TAR FIN'!$A$1:$O$85,15,0))</f>
        <v>0</v>
      </c>
      <c r="W524" s="6">
        <f>IF(ISERROR(VLOOKUP($T$524,'TAR FIN'!$A$1:$O$85,15,0)),0,VLOOKUP($T$524,'TAR FIN'!$A$1:$O$85,15,0))</f>
        <v>377.01</v>
      </c>
      <c r="X524" s="6">
        <f>IF(ISERROR(VLOOKUP($U$524,'TAR FIN'!$A$1:$O$85,15,0)),0,VLOOKUP($U$524,'TAR FIN'!$A$1:$O$85,15,0))</f>
        <v>141.32</v>
      </c>
      <c r="Y524" s="6"/>
      <c r="Z524" s="6">
        <f ca="1">('TUSD BE'!$AM$48+'TUSD BF'!$AM$48+'TUSD CVA'!$AM$48)*1</f>
        <v>415.67450254064073</v>
      </c>
      <c r="AA524" s="6">
        <f>('TE BE'!$AB$38+'TE BF'!$AB$38+'TE CVA'!$AB$38)*1</f>
        <v>135.80626150990429</v>
      </c>
      <c r="AB524" s="6">
        <f>$K$524*$V$524</f>
        <v>0</v>
      </c>
      <c r="AC524" s="6">
        <f>$M$524*$W$524</f>
        <v>55882.307249999998</v>
      </c>
      <c r="AD524" s="6">
        <f>$O$524*$X$524</f>
        <v>20947.156999999999</v>
      </c>
      <c r="AE524" s="6">
        <f>$K$524*$Y$524</f>
        <v>0</v>
      </c>
      <c r="AF524" s="6">
        <f ca="1">$M$524*$Z$524</f>
        <v>61613.353139086466</v>
      </c>
      <c r="AG524" s="6">
        <f>$O$524*$AA$524</f>
        <v>20129.883112305561</v>
      </c>
    </row>
    <row r="525" spans="1:33" ht="11.25" customHeight="1" x14ac:dyDescent="0.25">
      <c r="A525" s="4" t="s">
        <v>21</v>
      </c>
      <c r="B525" s="4" t="s">
        <v>33</v>
      </c>
      <c r="C525" s="4" t="s">
        <v>23</v>
      </c>
      <c r="D525" s="4" t="s">
        <v>42</v>
      </c>
      <c r="E525" s="4" t="s">
        <v>25</v>
      </c>
      <c r="F525" s="4" t="s">
        <v>25</v>
      </c>
      <c r="G525" s="4" t="s">
        <v>25</v>
      </c>
      <c r="H525" s="4" t="s">
        <v>25</v>
      </c>
      <c r="I525" s="5">
        <v>44652</v>
      </c>
      <c r="J525" s="6">
        <v>0</v>
      </c>
      <c r="K525" s="6">
        <v>0</v>
      </c>
      <c r="L525" s="6">
        <v>119.629</v>
      </c>
      <c r="M525" s="6">
        <v>119.629</v>
      </c>
      <c r="N525" s="6">
        <v>119.629</v>
      </c>
      <c r="O525" s="6">
        <v>119.629</v>
      </c>
      <c r="P525" s="6">
        <v>157</v>
      </c>
      <c r="Q525" s="4" t="s">
        <v>26</v>
      </c>
      <c r="R525" s="4">
        <v>0</v>
      </c>
      <c r="S525" s="6">
        <v>0</v>
      </c>
      <c r="T525" s="6">
        <v>72</v>
      </c>
      <c r="U525" s="6">
        <v>83</v>
      </c>
      <c r="V525" s="6">
        <f>IF(ISERROR(VLOOKUP($S$525,'TAR FIN'!$A$1:$O$85,15,0)),0,VLOOKUP($S$525,'TAR FIN'!$A$1:$O$85,15,0))</f>
        <v>0</v>
      </c>
      <c r="W525" s="6">
        <f>IF(ISERROR(VLOOKUP($T$525,'TAR FIN'!$A$1:$O$85,15,0)),0,VLOOKUP($T$525,'TAR FIN'!$A$1:$O$85,15,0))</f>
        <v>377.01</v>
      </c>
      <c r="X525" s="6">
        <f>IF(ISERROR(VLOOKUP($U$525,'TAR FIN'!$A$1:$O$85,15,0)),0,VLOOKUP($U$525,'TAR FIN'!$A$1:$O$85,15,0))</f>
        <v>141.32</v>
      </c>
      <c r="Y525" s="6"/>
      <c r="Z525" s="6">
        <f ca="1">('TUSD BE'!$AM$48+'TUSD BF'!$AM$48+'TUSD CVA'!$AM$48)*1</f>
        <v>415.67450254064073</v>
      </c>
      <c r="AA525" s="6">
        <f>('TE BE'!$AB$38+'TE BF'!$AB$38+'TE CVA'!$AB$38)*1</f>
        <v>135.80626150990429</v>
      </c>
      <c r="AB525" s="6">
        <f>$K$525*$V$525</f>
        <v>0</v>
      </c>
      <c r="AC525" s="6">
        <f>$M$525*$W$525</f>
        <v>45101.329290000001</v>
      </c>
      <c r="AD525" s="6">
        <f>$O$525*$X$525</f>
        <v>16905.970280000001</v>
      </c>
      <c r="AE525" s="6">
        <f>$K$525*$Y$525</f>
        <v>0</v>
      </c>
      <c r="AF525" s="6">
        <f ca="1">$M$525*$Z$525</f>
        <v>49726.725064434315</v>
      </c>
      <c r="AG525" s="6">
        <f>$O$525*$AA$525</f>
        <v>16246.36725816834</v>
      </c>
    </row>
    <row r="526" spans="1:33" ht="11.25" customHeight="1" x14ac:dyDescent="0.25">
      <c r="A526" s="4" t="s">
        <v>21</v>
      </c>
      <c r="B526" s="4" t="s">
        <v>33</v>
      </c>
      <c r="C526" s="4" t="s">
        <v>23</v>
      </c>
      <c r="D526" s="4" t="s">
        <v>42</v>
      </c>
      <c r="E526" s="4" t="s">
        <v>25</v>
      </c>
      <c r="F526" s="4" t="s">
        <v>25</v>
      </c>
      <c r="G526" s="4" t="s">
        <v>25</v>
      </c>
      <c r="H526" s="4" t="s">
        <v>25</v>
      </c>
      <c r="I526" s="5">
        <v>44682</v>
      </c>
      <c r="J526" s="6">
        <v>0</v>
      </c>
      <c r="K526" s="6">
        <v>0</v>
      </c>
      <c r="L526" s="6">
        <v>115.01900000000001</v>
      </c>
      <c r="M526" s="6">
        <v>115.01900000000001</v>
      </c>
      <c r="N526" s="6">
        <v>115.01900000000001</v>
      </c>
      <c r="O526" s="6">
        <v>115.01900000000001</v>
      </c>
      <c r="P526" s="6">
        <v>158</v>
      </c>
      <c r="Q526" s="4" t="s">
        <v>26</v>
      </c>
      <c r="R526" s="4">
        <v>0</v>
      </c>
      <c r="S526" s="6">
        <v>0</v>
      </c>
      <c r="T526" s="6">
        <v>72</v>
      </c>
      <c r="U526" s="6">
        <v>83</v>
      </c>
      <c r="V526" s="6">
        <f>IF(ISERROR(VLOOKUP($S$526,'TAR FIN'!$A$1:$O$85,15,0)),0,VLOOKUP($S$526,'TAR FIN'!$A$1:$O$85,15,0))</f>
        <v>0</v>
      </c>
      <c r="W526" s="6">
        <f>IF(ISERROR(VLOOKUP($T$526,'TAR FIN'!$A$1:$O$85,15,0)),0,VLOOKUP($T$526,'TAR FIN'!$A$1:$O$85,15,0))</f>
        <v>377.01</v>
      </c>
      <c r="X526" s="6">
        <f>IF(ISERROR(VLOOKUP($U$526,'TAR FIN'!$A$1:$O$85,15,0)),0,VLOOKUP($U$526,'TAR FIN'!$A$1:$O$85,15,0))</f>
        <v>141.32</v>
      </c>
      <c r="Y526" s="6"/>
      <c r="Z526" s="6">
        <f ca="1">('TUSD BE'!$AM$48+'TUSD BF'!$AM$48+'TUSD CVA'!$AM$48)*1</f>
        <v>415.67450254064073</v>
      </c>
      <c r="AA526" s="6">
        <f>('TE BE'!$AB$38+'TE BF'!$AB$38+'TE CVA'!$AB$38)*1</f>
        <v>135.80626150990429</v>
      </c>
      <c r="AB526" s="6">
        <f>$K$526*$V$526</f>
        <v>0</v>
      </c>
      <c r="AC526" s="6">
        <f>$M$526*$W$526</f>
        <v>43363.313190000001</v>
      </c>
      <c r="AD526" s="6">
        <f>$O$526*$X$526</f>
        <v>16254.48508</v>
      </c>
      <c r="AE526" s="6">
        <f>$K$526*$Y$526</f>
        <v>0</v>
      </c>
      <c r="AF526" s="6">
        <f ca="1">$M$526*$Z$526</f>
        <v>47810.465607721955</v>
      </c>
      <c r="AG526" s="6">
        <f>$O$526*$AA$526</f>
        <v>15620.300392607682</v>
      </c>
    </row>
    <row r="527" spans="1:33" ht="11.25" customHeight="1" x14ac:dyDescent="0.25">
      <c r="A527" s="4" t="s">
        <v>21</v>
      </c>
      <c r="B527" s="4" t="s">
        <v>33</v>
      </c>
      <c r="C527" s="4" t="s">
        <v>23</v>
      </c>
      <c r="D527" s="4" t="s">
        <v>42</v>
      </c>
      <c r="E527" s="4" t="s">
        <v>25</v>
      </c>
      <c r="F527" s="4" t="s">
        <v>25</v>
      </c>
      <c r="G527" s="4" t="s">
        <v>25</v>
      </c>
      <c r="H527" s="4" t="s">
        <v>25</v>
      </c>
      <c r="I527" s="5">
        <v>44713</v>
      </c>
      <c r="J527" s="6">
        <v>0</v>
      </c>
      <c r="K527" s="6">
        <v>0</v>
      </c>
      <c r="L527" s="6">
        <v>123.349</v>
      </c>
      <c r="M527" s="6">
        <v>123.349</v>
      </c>
      <c r="N527" s="6">
        <v>123.349</v>
      </c>
      <c r="O527" s="6">
        <v>123.349</v>
      </c>
      <c r="P527" s="6">
        <v>159</v>
      </c>
      <c r="Q527" s="4" t="s">
        <v>26</v>
      </c>
      <c r="R527" s="4">
        <v>0</v>
      </c>
      <c r="S527" s="6">
        <v>0</v>
      </c>
      <c r="T527" s="6">
        <v>72</v>
      </c>
      <c r="U527" s="6">
        <v>83</v>
      </c>
      <c r="V527" s="6">
        <f>IF(ISERROR(VLOOKUP($S$527,'TAR FIN'!$A$1:$O$85,15,0)),0,VLOOKUP($S$527,'TAR FIN'!$A$1:$O$85,15,0))</f>
        <v>0</v>
      </c>
      <c r="W527" s="6">
        <f>IF(ISERROR(VLOOKUP($T$527,'TAR FIN'!$A$1:$O$85,15,0)),0,VLOOKUP($T$527,'TAR FIN'!$A$1:$O$85,15,0))</f>
        <v>377.01</v>
      </c>
      <c r="X527" s="6">
        <f>IF(ISERROR(VLOOKUP($U$527,'TAR FIN'!$A$1:$O$85,15,0)),0,VLOOKUP($U$527,'TAR FIN'!$A$1:$O$85,15,0))</f>
        <v>141.32</v>
      </c>
      <c r="Y527" s="6"/>
      <c r="Z527" s="6">
        <f ca="1">('TUSD BE'!$AM$48+'TUSD BF'!$AM$48+'TUSD CVA'!$AM$48)*1</f>
        <v>415.67450254064073</v>
      </c>
      <c r="AA527" s="6">
        <f>('TE BE'!$AB$38+'TE BF'!$AB$38+'TE CVA'!$AB$38)*1</f>
        <v>135.80626150990429</v>
      </c>
      <c r="AB527" s="6">
        <f>$K$527*$V$527</f>
        <v>0</v>
      </c>
      <c r="AC527" s="6">
        <f>$M$527*$W$527</f>
        <v>46503.806490000003</v>
      </c>
      <c r="AD527" s="6">
        <f>$O$527*$X$527</f>
        <v>17431.680680000001</v>
      </c>
      <c r="AE527" s="6">
        <f>$K$527*$Y$527</f>
        <v>0</v>
      </c>
      <c r="AF527" s="6">
        <f ca="1">$M$527*$Z$527</f>
        <v>51273.034213885498</v>
      </c>
      <c r="AG527" s="6">
        <f>$O$527*$AA$527</f>
        <v>16751.566550985186</v>
      </c>
    </row>
    <row r="528" spans="1:33" ht="11.25" customHeight="1" x14ac:dyDescent="0.25">
      <c r="A528" s="4" t="s">
        <v>21</v>
      </c>
      <c r="B528" s="4" t="s">
        <v>33</v>
      </c>
      <c r="C528" s="4" t="s">
        <v>23</v>
      </c>
      <c r="D528" s="4" t="s">
        <v>42</v>
      </c>
      <c r="E528" s="4" t="s">
        <v>25</v>
      </c>
      <c r="F528" s="4" t="s">
        <v>25</v>
      </c>
      <c r="G528" s="4" t="s">
        <v>25</v>
      </c>
      <c r="H528" s="4" t="s">
        <v>25</v>
      </c>
      <c r="I528" s="5">
        <v>44743</v>
      </c>
      <c r="J528" s="6">
        <v>0</v>
      </c>
      <c r="K528" s="6">
        <v>0</v>
      </c>
      <c r="L528" s="6">
        <v>111.56</v>
      </c>
      <c r="M528" s="6">
        <v>111.56</v>
      </c>
      <c r="N528" s="6">
        <v>111.56</v>
      </c>
      <c r="O528" s="6">
        <v>111.56</v>
      </c>
      <c r="P528" s="6">
        <v>159</v>
      </c>
      <c r="Q528" s="4" t="s">
        <v>26</v>
      </c>
      <c r="R528" s="4">
        <v>0</v>
      </c>
      <c r="S528" s="6">
        <v>0</v>
      </c>
      <c r="T528" s="6">
        <v>72</v>
      </c>
      <c r="U528" s="6">
        <v>83</v>
      </c>
      <c r="V528" s="6">
        <f>IF(ISERROR(VLOOKUP($S$528,'TAR FIN'!$A$1:$O$85,15,0)),0,VLOOKUP($S$528,'TAR FIN'!$A$1:$O$85,15,0))</f>
        <v>0</v>
      </c>
      <c r="W528" s="6">
        <f>IF(ISERROR(VLOOKUP($T$528,'TAR FIN'!$A$1:$O$85,15,0)),0,VLOOKUP($T$528,'TAR FIN'!$A$1:$O$85,15,0))</f>
        <v>377.01</v>
      </c>
      <c r="X528" s="6">
        <f>IF(ISERROR(VLOOKUP($U$528,'TAR FIN'!$A$1:$O$85,15,0)),0,VLOOKUP($U$528,'TAR FIN'!$A$1:$O$85,15,0))</f>
        <v>141.32</v>
      </c>
      <c r="Y528" s="6"/>
      <c r="Z528" s="6">
        <f ca="1">('TUSD BE'!$AM$48+'TUSD BF'!$AM$48+'TUSD CVA'!$AM$48)*1</f>
        <v>415.67450254064073</v>
      </c>
      <c r="AA528" s="6">
        <f>('TE BE'!$AB$38+'TE BF'!$AB$38+'TE CVA'!$AB$38)*1</f>
        <v>135.80626150990429</v>
      </c>
      <c r="AB528" s="6">
        <f>$K$528*$V$528</f>
        <v>0</v>
      </c>
      <c r="AC528" s="6">
        <f>$M$528*$W$528</f>
        <v>42059.2356</v>
      </c>
      <c r="AD528" s="6">
        <f>$O$528*$X$528</f>
        <v>15765.6592</v>
      </c>
      <c r="AE528" s="6">
        <f>$K$528*$Y$528</f>
        <v>0</v>
      </c>
      <c r="AF528" s="6">
        <f ca="1">$M$528*$Z$528</f>
        <v>46372.64750343388</v>
      </c>
      <c r="AG528" s="6">
        <f>$O$528*$AA$528</f>
        <v>15150.546534044923</v>
      </c>
    </row>
    <row r="529" spans="1:33" ht="11.25" customHeight="1" x14ac:dyDescent="0.25">
      <c r="A529" s="4" t="s">
        <v>21</v>
      </c>
      <c r="B529" s="4" t="s">
        <v>33</v>
      </c>
      <c r="C529" s="4" t="s">
        <v>23</v>
      </c>
      <c r="D529" s="4" t="s">
        <v>42</v>
      </c>
      <c r="E529" s="4" t="s">
        <v>25</v>
      </c>
      <c r="F529" s="4" t="s">
        <v>25</v>
      </c>
      <c r="G529" s="4" t="s">
        <v>25</v>
      </c>
      <c r="H529" s="4" t="s">
        <v>25</v>
      </c>
      <c r="I529" s="5">
        <v>44774</v>
      </c>
      <c r="J529" s="6">
        <v>0</v>
      </c>
      <c r="K529" s="6">
        <v>0</v>
      </c>
      <c r="L529" s="6">
        <v>103.979</v>
      </c>
      <c r="M529" s="6">
        <v>103.979</v>
      </c>
      <c r="N529" s="6">
        <v>103.979</v>
      </c>
      <c r="O529" s="6">
        <v>103.979</v>
      </c>
      <c r="P529" s="6">
        <v>159</v>
      </c>
      <c r="Q529" s="4" t="s">
        <v>26</v>
      </c>
      <c r="R529" s="4">
        <v>0</v>
      </c>
      <c r="S529" s="6">
        <v>0</v>
      </c>
      <c r="T529" s="6">
        <v>72</v>
      </c>
      <c r="U529" s="6">
        <v>83</v>
      </c>
      <c r="V529" s="6">
        <f>IF(ISERROR(VLOOKUP($S$529,'TAR FIN'!$A$1:$O$85,15,0)),0,VLOOKUP($S$529,'TAR FIN'!$A$1:$O$85,15,0))</f>
        <v>0</v>
      </c>
      <c r="W529" s="6">
        <f>IF(ISERROR(VLOOKUP($T$529,'TAR FIN'!$A$1:$O$85,15,0)),0,VLOOKUP($T$529,'TAR FIN'!$A$1:$O$85,15,0))</f>
        <v>377.01</v>
      </c>
      <c r="X529" s="6">
        <f>IF(ISERROR(VLOOKUP($U$529,'TAR FIN'!$A$1:$O$85,15,0)),0,VLOOKUP($U$529,'TAR FIN'!$A$1:$O$85,15,0))</f>
        <v>141.32</v>
      </c>
      <c r="Y529" s="6"/>
      <c r="Z529" s="6">
        <f ca="1">('TUSD BE'!$AM$48+'TUSD BF'!$AM$48+'TUSD CVA'!$AM$48)*1</f>
        <v>415.67450254064073</v>
      </c>
      <c r="AA529" s="6">
        <f>('TE BE'!$AB$38+'TE BF'!$AB$38+'TE CVA'!$AB$38)*1</f>
        <v>135.80626150990429</v>
      </c>
      <c r="AB529" s="6">
        <f>$K$529*$V$529</f>
        <v>0</v>
      </c>
      <c r="AC529" s="6">
        <f>$M$529*$W$529</f>
        <v>39201.122790000001</v>
      </c>
      <c r="AD529" s="6">
        <f>$O$529*$X$529</f>
        <v>14694.312279999998</v>
      </c>
      <c r="AE529" s="6">
        <f>$K$529*$Y$529</f>
        <v>0</v>
      </c>
      <c r="AF529" s="6">
        <f ca="1">$M$529*$Z$529</f>
        <v>43221.41909967328</v>
      </c>
      <c r="AG529" s="6">
        <f>$O$529*$AA$529</f>
        <v>14120.999265538338</v>
      </c>
    </row>
    <row r="530" spans="1:33" ht="11.25" customHeight="1" x14ac:dyDescent="0.25">
      <c r="A530" s="4" t="s">
        <v>21</v>
      </c>
      <c r="B530" s="4" t="s">
        <v>33</v>
      </c>
      <c r="C530" s="4" t="s">
        <v>23</v>
      </c>
      <c r="D530" s="4" t="s">
        <v>46</v>
      </c>
      <c r="E530" s="4" t="s">
        <v>47</v>
      </c>
      <c r="F530" s="4" t="s">
        <v>25</v>
      </c>
      <c r="G530" s="4" t="s">
        <v>25</v>
      </c>
      <c r="H530" s="4" t="s">
        <v>25</v>
      </c>
      <c r="I530" s="5">
        <v>44440</v>
      </c>
      <c r="J530" s="6">
        <v>0</v>
      </c>
      <c r="K530" s="61">
        <v>0</v>
      </c>
      <c r="L530" s="6">
        <v>47.116</v>
      </c>
      <c r="M530" s="61">
        <v>47.116</v>
      </c>
      <c r="N530" s="6">
        <v>47.116</v>
      </c>
      <c r="O530" s="61">
        <v>47.116</v>
      </c>
      <c r="P530" s="6">
        <v>19</v>
      </c>
      <c r="Q530" s="4" t="s">
        <v>26</v>
      </c>
      <c r="R530" s="4">
        <v>0</v>
      </c>
      <c r="S530" s="6">
        <v>0</v>
      </c>
      <c r="T530" s="6">
        <v>72</v>
      </c>
      <c r="U530" s="6">
        <v>83</v>
      </c>
      <c r="V530" s="61">
        <f>IF(ISERROR(VLOOKUP($S$530,'TAR FIN'!$A$1:$O$85,15,0)),0,VLOOKUP($S$530,'TAR FIN'!$A$1:$O$85,15,0))</f>
        <v>0</v>
      </c>
      <c r="W530" s="61">
        <f>IF(ISERROR(VLOOKUP($T$530,'TAR FIN'!$A$1:$O$85,15,0)),0,VLOOKUP($T$530,'TAR FIN'!$A$1:$O$85,15,0))*(1-0.06)</f>
        <v>354.38939999999997</v>
      </c>
      <c r="X530" s="61">
        <f>IF(ISERROR(VLOOKUP($U$530,'TAR FIN'!$A$1:$O$85,15,0)),0,VLOOKUP($U$530,'TAR FIN'!$A$1:$O$85,15,0))*(1-0.06)</f>
        <v>132.84079999999997</v>
      </c>
      <c r="Y530" s="61"/>
      <c r="Z530" s="61">
        <f ca="1">('TUSD BE'!$AM$48+'TUSD BF'!$AM$48+'TUSD CVA'!$AM$48)*1*(1-0.03)</f>
        <v>403.20426746442149</v>
      </c>
      <c r="AA530" s="61">
        <f>('TE BE'!$AB$38+'TE BF'!$AB$38+'TE CVA'!$AB$38)*1*(1-0.03)</f>
        <v>131.73207366460716</v>
      </c>
      <c r="AB530" s="6">
        <f>$K$530*$V$530</f>
        <v>0</v>
      </c>
      <c r="AC530" s="6">
        <f>$M$530*$W$530</f>
        <v>16697.410970399997</v>
      </c>
      <c r="AD530" s="6">
        <f>$O$530*$X$530</f>
        <v>6258.9271327999986</v>
      </c>
      <c r="AE530" s="6">
        <f>$K$530*$Y$530</f>
        <v>0</v>
      </c>
      <c r="AF530" s="6">
        <f ca="1">$M$530*$Z$530</f>
        <v>18997.372265853683</v>
      </c>
      <c r="AG530" s="6">
        <f>$O$530*$AA$530</f>
        <v>6206.6883827816309</v>
      </c>
    </row>
    <row r="531" spans="1:33" ht="11.25" customHeight="1" x14ac:dyDescent="0.25">
      <c r="A531" s="4" t="s">
        <v>21</v>
      </c>
      <c r="B531" s="4" t="s">
        <v>33</v>
      </c>
      <c r="C531" s="4" t="s">
        <v>23</v>
      </c>
      <c r="D531" s="4" t="s">
        <v>46</v>
      </c>
      <c r="E531" s="4" t="s">
        <v>47</v>
      </c>
      <c r="F531" s="4" t="s">
        <v>25</v>
      </c>
      <c r="G531" s="4" t="s">
        <v>25</v>
      </c>
      <c r="H531" s="4" t="s">
        <v>25</v>
      </c>
      <c r="I531" s="5">
        <v>44470</v>
      </c>
      <c r="J531" s="6">
        <v>0</v>
      </c>
      <c r="K531" s="61">
        <v>0</v>
      </c>
      <c r="L531" s="6">
        <v>44.110999999999997</v>
      </c>
      <c r="M531" s="61">
        <v>44.110999999999997</v>
      </c>
      <c r="N531" s="6">
        <v>44.110999999999997</v>
      </c>
      <c r="O531" s="61">
        <v>44.110999999999997</v>
      </c>
      <c r="P531" s="6">
        <v>19</v>
      </c>
      <c r="Q531" s="4" t="s">
        <v>26</v>
      </c>
      <c r="R531" s="4">
        <v>0</v>
      </c>
      <c r="S531" s="6">
        <v>0</v>
      </c>
      <c r="T531" s="6">
        <v>72</v>
      </c>
      <c r="U531" s="6">
        <v>83</v>
      </c>
      <c r="V531" s="61">
        <f>IF(ISERROR(VLOOKUP($S$531,'TAR FIN'!$A$1:$O$85,15,0)),0,VLOOKUP($S$531,'TAR FIN'!$A$1:$O$85,15,0))</f>
        <v>0</v>
      </c>
      <c r="W531" s="61">
        <f>IF(ISERROR(VLOOKUP($T$531,'TAR FIN'!$A$1:$O$85,15,0)),0,VLOOKUP($T$531,'TAR FIN'!$A$1:$O$85,15,0))*(1-0.06)</f>
        <v>354.38939999999997</v>
      </c>
      <c r="X531" s="61">
        <f>IF(ISERROR(VLOOKUP($U$531,'TAR FIN'!$A$1:$O$85,15,0)),0,VLOOKUP($U$531,'TAR FIN'!$A$1:$O$85,15,0))*(1-0.06)</f>
        <v>132.84079999999997</v>
      </c>
      <c r="Y531" s="61"/>
      <c r="Z531" s="61">
        <f ca="1">('TUSD BE'!$AM$48+'TUSD BF'!$AM$48+'TUSD CVA'!$AM$48)*1*(1-0.03)</f>
        <v>403.20426746442149</v>
      </c>
      <c r="AA531" s="61">
        <f>('TE BE'!$AB$38+'TE BF'!$AB$38+'TE CVA'!$AB$38)*1*(1-0.03)</f>
        <v>131.73207366460716</v>
      </c>
      <c r="AB531" s="6">
        <f>$K$531*$V$531</f>
        <v>0</v>
      </c>
      <c r="AC531" s="6">
        <f>$M$531*$W$531</f>
        <v>15632.470823399997</v>
      </c>
      <c r="AD531" s="6">
        <f>$O$531*$X$531</f>
        <v>5859.7405287999982</v>
      </c>
      <c r="AE531" s="6">
        <f>$K$531*$Y$531</f>
        <v>0</v>
      </c>
      <c r="AF531" s="6">
        <f ca="1">$M$531*$Z$531</f>
        <v>17785.743442123094</v>
      </c>
      <c r="AG531" s="6">
        <f>$O$531*$AA$531</f>
        <v>5810.8335014194863</v>
      </c>
    </row>
    <row r="532" spans="1:33" ht="11.25" customHeight="1" x14ac:dyDescent="0.25">
      <c r="A532" s="4" t="s">
        <v>21</v>
      </c>
      <c r="B532" s="4" t="s">
        <v>33</v>
      </c>
      <c r="C532" s="4" t="s">
        <v>23</v>
      </c>
      <c r="D532" s="4" t="s">
        <v>46</v>
      </c>
      <c r="E532" s="4" t="s">
        <v>47</v>
      </c>
      <c r="F532" s="4" t="s">
        <v>25</v>
      </c>
      <c r="G532" s="4" t="s">
        <v>25</v>
      </c>
      <c r="H532" s="4" t="s">
        <v>25</v>
      </c>
      <c r="I532" s="5">
        <v>44501</v>
      </c>
      <c r="J532" s="6">
        <v>0</v>
      </c>
      <c r="K532" s="61">
        <v>0</v>
      </c>
      <c r="L532" s="6">
        <v>43.723999999999997</v>
      </c>
      <c r="M532" s="61">
        <v>43.723999999999997</v>
      </c>
      <c r="N532" s="6">
        <v>43.723999999999997</v>
      </c>
      <c r="O532" s="61">
        <v>43.723999999999997</v>
      </c>
      <c r="P532" s="6">
        <v>19</v>
      </c>
      <c r="Q532" s="4" t="s">
        <v>26</v>
      </c>
      <c r="R532" s="4">
        <v>0</v>
      </c>
      <c r="S532" s="6">
        <v>0</v>
      </c>
      <c r="T532" s="6">
        <v>72</v>
      </c>
      <c r="U532" s="6">
        <v>83</v>
      </c>
      <c r="V532" s="61">
        <f>IF(ISERROR(VLOOKUP($S$532,'TAR FIN'!$A$1:$O$85,15,0)),0,VLOOKUP($S$532,'TAR FIN'!$A$1:$O$85,15,0))</f>
        <v>0</v>
      </c>
      <c r="W532" s="61">
        <f>IF(ISERROR(VLOOKUP($T$532,'TAR FIN'!$A$1:$O$85,15,0)),0,VLOOKUP($T$532,'TAR FIN'!$A$1:$O$85,15,0))*(1-0.06)</f>
        <v>354.38939999999997</v>
      </c>
      <c r="X532" s="61">
        <f>IF(ISERROR(VLOOKUP($U$532,'TAR FIN'!$A$1:$O$85,15,0)),0,VLOOKUP($U$532,'TAR FIN'!$A$1:$O$85,15,0))*(1-0.06)</f>
        <v>132.84079999999997</v>
      </c>
      <c r="Y532" s="61"/>
      <c r="Z532" s="61">
        <f ca="1">('TUSD BE'!$AM$48+'TUSD BF'!$AM$48+'TUSD CVA'!$AM$48)*1*(1-0.03)</f>
        <v>403.20426746442149</v>
      </c>
      <c r="AA532" s="61">
        <f>('TE BE'!$AB$38+'TE BF'!$AB$38+'TE CVA'!$AB$38)*1*(1-0.03)</f>
        <v>131.73207366460716</v>
      </c>
      <c r="AB532" s="6">
        <f>$K$532*$V$532</f>
        <v>0</v>
      </c>
      <c r="AC532" s="6">
        <f>$M$532*$W$532</f>
        <v>15495.322125599998</v>
      </c>
      <c r="AD532" s="6">
        <f>$O$532*$X$532</f>
        <v>5808.3311391999987</v>
      </c>
      <c r="AE532" s="6">
        <f>$K$532*$Y$532</f>
        <v>0</v>
      </c>
      <c r="AF532" s="6">
        <f ca="1">$M$532*$Z$532</f>
        <v>17629.703390614362</v>
      </c>
      <c r="AG532" s="6">
        <f>$O$532*$AA$532</f>
        <v>5759.8531889112828</v>
      </c>
    </row>
    <row r="533" spans="1:33" ht="11.25" customHeight="1" x14ac:dyDescent="0.25">
      <c r="A533" s="4" t="s">
        <v>21</v>
      </c>
      <c r="B533" s="4" t="s">
        <v>33</v>
      </c>
      <c r="C533" s="4" t="s">
        <v>23</v>
      </c>
      <c r="D533" s="4" t="s">
        <v>46</v>
      </c>
      <c r="E533" s="4" t="s">
        <v>47</v>
      </c>
      <c r="F533" s="4" t="s">
        <v>25</v>
      </c>
      <c r="G533" s="4" t="s">
        <v>25</v>
      </c>
      <c r="H533" s="4" t="s">
        <v>25</v>
      </c>
      <c r="I533" s="5">
        <v>44531</v>
      </c>
      <c r="J533" s="6">
        <v>0</v>
      </c>
      <c r="K533" s="61">
        <v>0</v>
      </c>
      <c r="L533" s="6">
        <v>46.649000000000001</v>
      </c>
      <c r="M533" s="61">
        <v>46.649000000000001</v>
      </c>
      <c r="N533" s="6">
        <v>46.649000000000001</v>
      </c>
      <c r="O533" s="61">
        <v>46.649000000000001</v>
      </c>
      <c r="P533" s="6">
        <v>19</v>
      </c>
      <c r="Q533" s="4" t="s">
        <v>26</v>
      </c>
      <c r="R533" s="4">
        <v>0</v>
      </c>
      <c r="S533" s="6">
        <v>0</v>
      </c>
      <c r="T533" s="6">
        <v>72</v>
      </c>
      <c r="U533" s="6">
        <v>83</v>
      </c>
      <c r="V533" s="61">
        <f>IF(ISERROR(VLOOKUP($S$533,'TAR FIN'!$A$1:$O$85,15,0)),0,VLOOKUP($S$533,'TAR FIN'!$A$1:$O$85,15,0))</f>
        <v>0</v>
      </c>
      <c r="W533" s="61">
        <f>IF(ISERROR(VLOOKUP($T$533,'TAR FIN'!$A$1:$O$85,15,0)),0,VLOOKUP($T$533,'TAR FIN'!$A$1:$O$85,15,0))*(1-0.06)</f>
        <v>354.38939999999997</v>
      </c>
      <c r="X533" s="61">
        <f>IF(ISERROR(VLOOKUP($U$533,'TAR FIN'!$A$1:$O$85,15,0)),0,VLOOKUP($U$533,'TAR FIN'!$A$1:$O$85,15,0))*(1-0.06)</f>
        <v>132.84079999999997</v>
      </c>
      <c r="Y533" s="61"/>
      <c r="Z533" s="61">
        <f ca="1">('TUSD BE'!$AM$48+'TUSD BF'!$AM$48+'TUSD CVA'!$AM$48)*1*(1-0.03)</f>
        <v>403.20426746442149</v>
      </c>
      <c r="AA533" s="61">
        <f>('TE BE'!$AB$38+'TE BF'!$AB$38+'TE CVA'!$AB$38)*1*(1-0.03)</f>
        <v>131.73207366460716</v>
      </c>
      <c r="AB533" s="6">
        <f>$K$533*$V$533</f>
        <v>0</v>
      </c>
      <c r="AC533" s="6">
        <f>$M$533*$W$533</f>
        <v>16531.911120599998</v>
      </c>
      <c r="AD533" s="6">
        <f>$O$533*$X$533</f>
        <v>6196.8904791999985</v>
      </c>
      <c r="AE533" s="6">
        <f>$K$533*$Y$533</f>
        <v>0</v>
      </c>
      <c r="AF533" s="6">
        <f ca="1">$M$533*$Z$533</f>
        <v>18809.0758729478</v>
      </c>
      <c r="AG533" s="6">
        <f>$O$533*$AA$533</f>
        <v>6145.1695043802592</v>
      </c>
    </row>
    <row r="534" spans="1:33" ht="11.25" customHeight="1" x14ac:dyDescent="0.25">
      <c r="A534" s="4" t="s">
        <v>21</v>
      </c>
      <c r="B534" s="4" t="s">
        <v>33</v>
      </c>
      <c r="C534" s="4" t="s">
        <v>23</v>
      </c>
      <c r="D534" s="4" t="s">
        <v>46</v>
      </c>
      <c r="E534" s="4" t="s">
        <v>47</v>
      </c>
      <c r="F534" s="4" t="s">
        <v>25</v>
      </c>
      <c r="G534" s="4" t="s">
        <v>25</v>
      </c>
      <c r="H534" s="4" t="s">
        <v>25</v>
      </c>
      <c r="I534" s="5">
        <v>44562</v>
      </c>
      <c r="J534" s="6">
        <v>0</v>
      </c>
      <c r="K534" s="61">
        <v>0</v>
      </c>
      <c r="L534" s="6">
        <v>46.154000000000003</v>
      </c>
      <c r="M534" s="61">
        <v>46.154000000000003</v>
      </c>
      <c r="N534" s="6">
        <v>46.154000000000003</v>
      </c>
      <c r="O534" s="61">
        <v>46.154000000000003</v>
      </c>
      <c r="P534" s="6">
        <v>19</v>
      </c>
      <c r="Q534" s="4" t="s">
        <v>26</v>
      </c>
      <c r="R534" s="4">
        <v>0</v>
      </c>
      <c r="S534" s="6">
        <v>0</v>
      </c>
      <c r="T534" s="6">
        <v>72</v>
      </c>
      <c r="U534" s="6">
        <v>83</v>
      </c>
      <c r="V534" s="61">
        <f>IF(ISERROR(VLOOKUP($S$534,'TAR FIN'!$A$1:$O$85,15,0)),0,VLOOKUP($S$534,'TAR FIN'!$A$1:$O$85,15,0))</f>
        <v>0</v>
      </c>
      <c r="W534" s="61">
        <f>IF(ISERROR(VLOOKUP($T$534,'TAR FIN'!$A$1:$O$85,15,0)),0,VLOOKUP($T$534,'TAR FIN'!$A$1:$O$85,15,0))*(1-0.06)</f>
        <v>354.38939999999997</v>
      </c>
      <c r="X534" s="61">
        <f>IF(ISERROR(VLOOKUP($U$534,'TAR FIN'!$A$1:$O$85,15,0)),0,VLOOKUP($U$534,'TAR FIN'!$A$1:$O$85,15,0))*(1-0.06)</f>
        <v>132.84079999999997</v>
      </c>
      <c r="Y534" s="61"/>
      <c r="Z534" s="61">
        <f ca="1">('TUSD BE'!$AM$48+'TUSD BF'!$AM$48+'TUSD CVA'!$AM$48)*1*(1-0.03)</f>
        <v>403.20426746442149</v>
      </c>
      <c r="AA534" s="61">
        <f>('TE BE'!$AB$38+'TE BF'!$AB$38+'TE CVA'!$AB$38)*1*(1-0.03)</f>
        <v>131.73207366460716</v>
      </c>
      <c r="AB534" s="6">
        <f>$K$534*$V$534</f>
        <v>0</v>
      </c>
      <c r="AC534" s="6">
        <f>$M$534*$W$534</f>
        <v>16356.488367599999</v>
      </c>
      <c r="AD534" s="6">
        <f>$O$534*$X$534</f>
        <v>6131.1342831999991</v>
      </c>
      <c r="AE534" s="6">
        <f>$K$534*$Y$534</f>
        <v>0</v>
      </c>
      <c r="AF534" s="6">
        <f ca="1">$M$534*$Z$534</f>
        <v>18609.489760552911</v>
      </c>
      <c r="AG534" s="6">
        <f>$O$534*$AA$534</f>
        <v>6079.9621279162793</v>
      </c>
    </row>
    <row r="535" spans="1:33" ht="11.25" customHeight="1" x14ac:dyDescent="0.25">
      <c r="A535" s="4" t="s">
        <v>21</v>
      </c>
      <c r="B535" s="4" t="s">
        <v>33</v>
      </c>
      <c r="C535" s="4" t="s">
        <v>23</v>
      </c>
      <c r="D535" s="4" t="s">
        <v>46</v>
      </c>
      <c r="E535" s="4" t="s">
        <v>47</v>
      </c>
      <c r="F535" s="4" t="s">
        <v>25</v>
      </c>
      <c r="G535" s="4" t="s">
        <v>25</v>
      </c>
      <c r="H535" s="4" t="s">
        <v>25</v>
      </c>
      <c r="I535" s="5">
        <v>44593</v>
      </c>
      <c r="J535" s="6">
        <v>0</v>
      </c>
      <c r="K535" s="61">
        <v>0</v>
      </c>
      <c r="L535" s="6">
        <v>39.616999999999997</v>
      </c>
      <c r="M535" s="61">
        <v>39.616999999999997</v>
      </c>
      <c r="N535" s="6">
        <v>39.616999999999997</v>
      </c>
      <c r="O535" s="61">
        <v>39.616999999999997</v>
      </c>
      <c r="P535" s="6">
        <v>19</v>
      </c>
      <c r="Q535" s="4" t="s">
        <v>26</v>
      </c>
      <c r="R535" s="4">
        <v>0</v>
      </c>
      <c r="S535" s="6">
        <v>0</v>
      </c>
      <c r="T535" s="6">
        <v>72</v>
      </c>
      <c r="U535" s="6">
        <v>83</v>
      </c>
      <c r="V535" s="61">
        <f>IF(ISERROR(VLOOKUP($S$535,'TAR FIN'!$A$1:$O$85,15,0)),0,VLOOKUP($S$535,'TAR FIN'!$A$1:$O$85,15,0))</f>
        <v>0</v>
      </c>
      <c r="W535" s="61">
        <f>IF(ISERROR(VLOOKUP($T$535,'TAR FIN'!$A$1:$O$85,15,0)),0,VLOOKUP($T$535,'TAR FIN'!$A$1:$O$85,15,0))*(1-0.06)</f>
        <v>354.38939999999997</v>
      </c>
      <c r="X535" s="61">
        <f>IF(ISERROR(VLOOKUP($U$535,'TAR FIN'!$A$1:$O$85,15,0)),0,VLOOKUP($U$535,'TAR FIN'!$A$1:$O$85,15,0))*(1-0.06)</f>
        <v>132.84079999999997</v>
      </c>
      <c r="Y535" s="61"/>
      <c r="Z535" s="61">
        <f ca="1">('TUSD BE'!$AM$48+'TUSD BF'!$AM$48+'TUSD CVA'!$AM$48)*1*(1-0.03)</f>
        <v>403.20426746442149</v>
      </c>
      <c r="AA535" s="61">
        <f>('TE BE'!$AB$38+'TE BF'!$AB$38+'TE CVA'!$AB$38)*1*(1-0.03)</f>
        <v>131.73207366460716</v>
      </c>
      <c r="AB535" s="6">
        <f>$K$535*$V$535</f>
        <v>0</v>
      </c>
      <c r="AC535" s="6">
        <f>$M$535*$W$535</f>
        <v>14039.844859799998</v>
      </c>
      <c r="AD535" s="6">
        <f>$O$535*$X$535</f>
        <v>5262.753973599999</v>
      </c>
      <c r="AE535" s="6">
        <f>$K$535*$Y$535</f>
        <v>0</v>
      </c>
      <c r="AF535" s="6">
        <f ca="1">$M$535*$Z$535</f>
        <v>15973.743464137986</v>
      </c>
      <c r="AG535" s="6">
        <f>$O$535*$AA$535</f>
        <v>5218.8295623707418</v>
      </c>
    </row>
    <row r="536" spans="1:33" ht="11.25" customHeight="1" x14ac:dyDescent="0.25">
      <c r="A536" s="4" t="s">
        <v>21</v>
      </c>
      <c r="B536" s="4" t="s">
        <v>33</v>
      </c>
      <c r="C536" s="4" t="s">
        <v>23</v>
      </c>
      <c r="D536" s="4" t="s">
        <v>46</v>
      </c>
      <c r="E536" s="4" t="s">
        <v>47</v>
      </c>
      <c r="F536" s="4" t="s">
        <v>25</v>
      </c>
      <c r="G536" s="4" t="s">
        <v>25</v>
      </c>
      <c r="H536" s="4" t="s">
        <v>25</v>
      </c>
      <c r="I536" s="5">
        <v>44621</v>
      </c>
      <c r="J536" s="6">
        <v>0</v>
      </c>
      <c r="K536" s="61">
        <v>0</v>
      </c>
      <c r="L536" s="6">
        <v>46.433999999999997</v>
      </c>
      <c r="M536" s="61">
        <v>46.433999999999997</v>
      </c>
      <c r="N536" s="6">
        <v>46.433999999999997</v>
      </c>
      <c r="O536" s="61">
        <v>46.433999999999997</v>
      </c>
      <c r="P536" s="6">
        <v>19</v>
      </c>
      <c r="Q536" s="4" t="s">
        <v>26</v>
      </c>
      <c r="R536" s="4">
        <v>0</v>
      </c>
      <c r="S536" s="6">
        <v>0</v>
      </c>
      <c r="T536" s="6">
        <v>72</v>
      </c>
      <c r="U536" s="6">
        <v>83</v>
      </c>
      <c r="V536" s="61">
        <f>IF(ISERROR(VLOOKUP($S$536,'TAR FIN'!$A$1:$O$85,15,0)),0,VLOOKUP($S$536,'TAR FIN'!$A$1:$O$85,15,0))</f>
        <v>0</v>
      </c>
      <c r="W536" s="61">
        <f>IF(ISERROR(VLOOKUP($T$536,'TAR FIN'!$A$1:$O$85,15,0)),0,VLOOKUP($T$536,'TAR FIN'!$A$1:$O$85,15,0))*(1-0.06)</f>
        <v>354.38939999999997</v>
      </c>
      <c r="X536" s="61">
        <f>IF(ISERROR(VLOOKUP($U$536,'TAR FIN'!$A$1:$O$85,15,0)),0,VLOOKUP($U$536,'TAR FIN'!$A$1:$O$85,15,0))*(1-0.06)</f>
        <v>132.84079999999997</v>
      </c>
      <c r="Y536" s="61"/>
      <c r="Z536" s="61">
        <f ca="1">('TUSD BE'!$AM$48+'TUSD BF'!$AM$48+'TUSD CVA'!$AM$48)*1*(1-0.03)</f>
        <v>403.20426746442149</v>
      </c>
      <c r="AA536" s="61">
        <f>('TE BE'!$AB$38+'TE BF'!$AB$38+'TE CVA'!$AB$38)*1*(1-0.03)</f>
        <v>131.73207366460716</v>
      </c>
      <c r="AB536" s="6">
        <f>$K$536*$V$536</f>
        <v>0</v>
      </c>
      <c r="AC536" s="6">
        <f>$M$536*$W$536</f>
        <v>16455.717399599998</v>
      </c>
      <c r="AD536" s="6">
        <f>$O$536*$X$536</f>
        <v>6168.3297071999987</v>
      </c>
      <c r="AE536" s="6">
        <f>$K$536*$Y$536</f>
        <v>0</v>
      </c>
      <c r="AF536" s="6">
        <f ca="1">$M$536*$Z$536</f>
        <v>18722.386955442948</v>
      </c>
      <c r="AG536" s="6">
        <f>$O$536*$AA$536</f>
        <v>6116.847108542368</v>
      </c>
    </row>
    <row r="537" spans="1:33" ht="11.25" customHeight="1" x14ac:dyDescent="0.25">
      <c r="A537" s="4" t="s">
        <v>21</v>
      </c>
      <c r="B537" s="4" t="s">
        <v>33</v>
      </c>
      <c r="C537" s="4" t="s">
        <v>23</v>
      </c>
      <c r="D537" s="4" t="s">
        <v>46</v>
      </c>
      <c r="E537" s="4" t="s">
        <v>47</v>
      </c>
      <c r="F537" s="4" t="s">
        <v>25</v>
      </c>
      <c r="G537" s="4" t="s">
        <v>25</v>
      </c>
      <c r="H537" s="4" t="s">
        <v>25</v>
      </c>
      <c r="I537" s="5">
        <v>44652</v>
      </c>
      <c r="J537" s="6">
        <v>0</v>
      </c>
      <c r="K537" s="61">
        <v>0</v>
      </c>
      <c r="L537" s="6">
        <v>55.442</v>
      </c>
      <c r="M537" s="61">
        <v>55.442</v>
      </c>
      <c r="N537" s="6">
        <v>55.442</v>
      </c>
      <c r="O537" s="61">
        <v>55.442</v>
      </c>
      <c r="P537" s="6">
        <v>20</v>
      </c>
      <c r="Q537" s="4" t="s">
        <v>26</v>
      </c>
      <c r="R537" s="4">
        <v>0</v>
      </c>
      <c r="S537" s="6">
        <v>0</v>
      </c>
      <c r="T537" s="6">
        <v>72</v>
      </c>
      <c r="U537" s="6">
        <v>83</v>
      </c>
      <c r="V537" s="61">
        <f>IF(ISERROR(VLOOKUP($S$537,'TAR FIN'!$A$1:$O$85,15,0)),0,VLOOKUP($S$537,'TAR FIN'!$A$1:$O$85,15,0))</f>
        <v>0</v>
      </c>
      <c r="W537" s="61">
        <f>IF(ISERROR(VLOOKUP($T$537,'TAR FIN'!$A$1:$O$85,15,0)),0,VLOOKUP($T$537,'TAR FIN'!$A$1:$O$85,15,0))*(1-0.06)</f>
        <v>354.38939999999997</v>
      </c>
      <c r="X537" s="61">
        <f>IF(ISERROR(VLOOKUP($U$537,'TAR FIN'!$A$1:$O$85,15,0)),0,VLOOKUP($U$537,'TAR FIN'!$A$1:$O$85,15,0))*(1-0.06)</f>
        <v>132.84079999999997</v>
      </c>
      <c r="Y537" s="61"/>
      <c r="Z537" s="61">
        <f ca="1">('TUSD BE'!$AM$48+'TUSD BF'!$AM$48+'TUSD CVA'!$AM$48)*1*(1-0.03)</f>
        <v>403.20426746442149</v>
      </c>
      <c r="AA537" s="61">
        <f>('TE BE'!$AB$38+'TE BF'!$AB$38+'TE CVA'!$AB$38)*1*(1-0.03)</f>
        <v>131.73207366460716</v>
      </c>
      <c r="AB537" s="6">
        <f>$K$537*$V$537</f>
        <v>0</v>
      </c>
      <c r="AC537" s="6">
        <f>$M$537*$W$537</f>
        <v>19648.057114799998</v>
      </c>
      <c r="AD537" s="6">
        <f>$O$537*$X$537</f>
        <v>7364.9596335999986</v>
      </c>
      <c r="AE537" s="6">
        <f>$K$537*$Y$537</f>
        <v>0</v>
      </c>
      <c r="AF537" s="6">
        <f ca="1">$M$537*$Z$537</f>
        <v>22354.450996762458</v>
      </c>
      <c r="AG537" s="6">
        <f>$O$537*$AA$537</f>
        <v>7303.4896281131496</v>
      </c>
    </row>
    <row r="538" spans="1:33" ht="11.25" customHeight="1" x14ac:dyDescent="0.25">
      <c r="A538" s="4" t="s">
        <v>21</v>
      </c>
      <c r="B538" s="4" t="s">
        <v>33</v>
      </c>
      <c r="C538" s="4" t="s">
        <v>23</v>
      </c>
      <c r="D538" s="4" t="s">
        <v>46</v>
      </c>
      <c r="E538" s="4" t="s">
        <v>47</v>
      </c>
      <c r="F538" s="4" t="s">
        <v>25</v>
      </c>
      <c r="G538" s="4" t="s">
        <v>25</v>
      </c>
      <c r="H538" s="4" t="s">
        <v>25</v>
      </c>
      <c r="I538" s="5">
        <v>44682</v>
      </c>
      <c r="J538" s="6">
        <v>0</v>
      </c>
      <c r="K538" s="61">
        <v>0</v>
      </c>
      <c r="L538" s="6">
        <v>43.161999999999999</v>
      </c>
      <c r="M538" s="61">
        <v>43.161999999999999</v>
      </c>
      <c r="N538" s="6">
        <v>43.161999999999999</v>
      </c>
      <c r="O538" s="61">
        <v>43.161999999999999</v>
      </c>
      <c r="P538" s="6">
        <v>20</v>
      </c>
      <c r="Q538" s="4" t="s">
        <v>26</v>
      </c>
      <c r="R538" s="4">
        <v>0</v>
      </c>
      <c r="S538" s="6">
        <v>0</v>
      </c>
      <c r="T538" s="6">
        <v>72</v>
      </c>
      <c r="U538" s="6">
        <v>83</v>
      </c>
      <c r="V538" s="61">
        <f>IF(ISERROR(VLOOKUP($S$538,'TAR FIN'!$A$1:$O$85,15,0)),0,VLOOKUP($S$538,'TAR FIN'!$A$1:$O$85,15,0))</f>
        <v>0</v>
      </c>
      <c r="W538" s="61">
        <f>IF(ISERROR(VLOOKUP($T$538,'TAR FIN'!$A$1:$O$85,15,0)),0,VLOOKUP($T$538,'TAR FIN'!$A$1:$O$85,15,0))*(1-0.06)</f>
        <v>354.38939999999997</v>
      </c>
      <c r="X538" s="61">
        <f>IF(ISERROR(VLOOKUP($U$538,'TAR FIN'!$A$1:$O$85,15,0)),0,VLOOKUP($U$538,'TAR FIN'!$A$1:$O$85,15,0))*(1-0.06)</f>
        <v>132.84079999999997</v>
      </c>
      <c r="Y538" s="61"/>
      <c r="Z538" s="61">
        <f ca="1">('TUSD BE'!$AM$48+'TUSD BF'!$AM$48+'TUSD CVA'!$AM$48)*1*(1-0.03)</f>
        <v>403.20426746442149</v>
      </c>
      <c r="AA538" s="61">
        <f>('TE BE'!$AB$38+'TE BF'!$AB$38+'TE CVA'!$AB$38)*1*(1-0.03)</f>
        <v>131.73207366460716</v>
      </c>
      <c r="AB538" s="6">
        <f>$K$538*$V$538</f>
        <v>0</v>
      </c>
      <c r="AC538" s="6">
        <f>$M$538*$W$538</f>
        <v>15296.155282799999</v>
      </c>
      <c r="AD538" s="6">
        <f>$O$538*$X$538</f>
        <v>5733.6746095999988</v>
      </c>
      <c r="AE538" s="6">
        <f>$K$538*$Y$538</f>
        <v>0</v>
      </c>
      <c r="AF538" s="6">
        <f ca="1">$M$538*$Z$538</f>
        <v>17403.102592299361</v>
      </c>
      <c r="AG538" s="6">
        <f>$O$538*$AA$538</f>
        <v>5685.819763511774</v>
      </c>
    </row>
    <row r="539" spans="1:33" ht="11.25" customHeight="1" x14ac:dyDescent="0.25">
      <c r="A539" s="4" t="s">
        <v>21</v>
      </c>
      <c r="B539" s="4" t="s">
        <v>33</v>
      </c>
      <c r="C539" s="4" t="s">
        <v>23</v>
      </c>
      <c r="D539" s="4" t="s">
        <v>46</v>
      </c>
      <c r="E539" s="4" t="s">
        <v>47</v>
      </c>
      <c r="F539" s="4" t="s">
        <v>25</v>
      </c>
      <c r="G539" s="4" t="s">
        <v>25</v>
      </c>
      <c r="H539" s="4" t="s">
        <v>25</v>
      </c>
      <c r="I539" s="5">
        <v>44713</v>
      </c>
      <c r="J539" s="6">
        <v>0</v>
      </c>
      <c r="K539" s="61">
        <v>0</v>
      </c>
      <c r="L539" s="6">
        <v>44.027000000000001</v>
      </c>
      <c r="M539" s="61">
        <v>44.027000000000001</v>
      </c>
      <c r="N539" s="6">
        <v>44.027000000000001</v>
      </c>
      <c r="O539" s="61">
        <v>44.027000000000001</v>
      </c>
      <c r="P539" s="6">
        <v>20</v>
      </c>
      <c r="Q539" s="4" t="s">
        <v>26</v>
      </c>
      <c r="R539" s="4">
        <v>0</v>
      </c>
      <c r="S539" s="6">
        <v>0</v>
      </c>
      <c r="T539" s="6">
        <v>72</v>
      </c>
      <c r="U539" s="6">
        <v>83</v>
      </c>
      <c r="V539" s="61">
        <f>IF(ISERROR(VLOOKUP($S$539,'TAR FIN'!$A$1:$O$85,15,0)),0,VLOOKUP($S$539,'TAR FIN'!$A$1:$O$85,15,0))</f>
        <v>0</v>
      </c>
      <c r="W539" s="61">
        <f>IF(ISERROR(VLOOKUP($T$539,'TAR FIN'!$A$1:$O$85,15,0)),0,VLOOKUP($T$539,'TAR FIN'!$A$1:$O$85,15,0))*(1-0.06)</f>
        <v>354.38939999999997</v>
      </c>
      <c r="X539" s="61">
        <f>IF(ISERROR(VLOOKUP($U$539,'TAR FIN'!$A$1:$O$85,15,0)),0,VLOOKUP($U$539,'TAR FIN'!$A$1:$O$85,15,0))*(1-0.06)</f>
        <v>132.84079999999997</v>
      </c>
      <c r="Y539" s="61"/>
      <c r="Z539" s="61">
        <f ca="1">('TUSD BE'!$AM$48+'TUSD BF'!$AM$48+'TUSD CVA'!$AM$48)*1*(1-0.03)</f>
        <v>403.20426746442149</v>
      </c>
      <c r="AA539" s="61">
        <f>('TE BE'!$AB$38+'TE BF'!$AB$38+'TE CVA'!$AB$38)*1*(1-0.03)</f>
        <v>131.73207366460716</v>
      </c>
      <c r="AB539" s="6">
        <f>$K$539*$V$539</f>
        <v>0</v>
      </c>
      <c r="AC539" s="6">
        <f>$M$539*$W$539</f>
        <v>15602.702113799998</v>
      </c>
      <c r="AD539" s="6">
        <f>$O$539*$X$539</f>
        <v>5848.5819015999987</v>
      </c>
      <c r="AE539" s="6">
        <f>$K$539*$Y$539</f>
        <v>0</v>
      </c>
      <c r="AF539" s="6">
        <f ca="1">$M$539*$Z$539</f>
        <v>17751.874283656085</v>
      </c>
      <c r="AG539" s="6">
        <f>$O$539*$AA$539</f>
        <v>5799.7680072316598</v>
      </c>
    </row>
    <row r="540" spans="1:33" ht="11.25" customHeight="1" x14ac:dyDescent="0.25">
      <c r="A540" s="4" t="s">
        <v>21</v>
      </c>
      <c r="B540" s="4" t="s">
        <v>33</v>
      </c>
      <c r="C540" s="4" t="s">
        <v>23</v>
      </c>
      <c r="D540" s="4" t="s">
        <v>46</v>
      </c>
      <c r="E540" s="4" t="s">
        <v>47</v>
      </c>
      <c r="F540" s="4" t="s">
        <v>25</v>
      </c>
      <c r="G540" s="4" t="s">
        <v>25</v>
      </c>
      <c r="H540" s="4" t="s">
        <v>25</v>
      </c>
      <c r="I540" s="5">
        <v>44743</v>
      </c>
      <c r="J540" s="6">
        <v>0</v>
      </c>
      <c r="K540" s="61">
        <v>0</v>
      </c>
      <c r="L540" s="6">
        <v>49.674999999999997</v>
      </c>
      <c r="M540" s="61">
        <v>49.674999999999997</v>
      </c>
      <c r="N540" s="6">
        <v>49.674999999999997</v>
      </c>
      <c r="O540" s="61">
        <v>49.674999999999997</v>
      </c>
      <c r="P540" s="6">
        <v>20</v>
      </c>
      <c r="Q540" s="4" t="s">
        <v>26</v>
      </c>
      <c r="R540" s="4">
        <v>0</v>
      </c>
      <c r="S540" s="6">
        <v>0</v>
      </c>
      <c r="T540" s="6">
        <v>72</v>
      </c>
      <c r="U540" s="6">
        <v>83</v>
      </c>
      <c r="V540" s="61">
        <f>IF(ISERROR(VLOOKUP($S$540,'TAR FIN'!$A$1:$O$85,15,0)),0,VLOOKUP($S$540,'TAR FIN'!$A$1:$O$85,15,0))</f>
        <v>0</v>
      </c>
      <c r="W540" s="61">
        <f>IF(ISERROR(VLOOKUP($T$540,'TAR FIN'!$A$1:$O$85,15,0)),0,VLOOKUP($T$540,'TAR FIN'!$A$1:$O$85,15,0))*(1-0.06)</f>
        <v>354.38939999999997</v>
      </c>
      <c r="X540" s="61">
        <f>IF(ISERROR(VLOOKUP($U$540,'TAR FIN'!$A$1:$O$85,15,0)),0,VLOOKUP($U$540,'TAR FIN'!$A$1:$O$85,15,0))*(1-0.06)</f>
        <v>132.84079999999997</v>
      </c>
      <c r="Y540" s="61"/>
      <c r="Z540" s="61">
        <f ca="1">('TUSD BE'!$AM$48+'TUSD BF'!$AM$48+'TUSD CVA'!$AM$48)*1*(1-0.03)</f>
        <v>403.20426746442149</v>
      </c>
      <c r="AA540" s="61">
        <f>('TE BE'!$AB$38+'TE BF'!$AB$38+'TE CVA'!$AB$38)*1*(1-0.03)</f>
        <v>131.73207366460716</v>
      </c>
      <c r="AB540" s="6">
        <f>$K$540*$V$540</f>
        <v>0</v>
      </c>
      <c r="AC540" s="6">
        <f>$M$540*$W$540</f>
        <v>17604.293444999996</v>
      </c>
      <c r="AD540" s="6">
        <f>$O$540*$X$540</f>
        <v>6598.8667399999986</v>
      </c>
      <c r="AE540" s="6">
        <f>$K$540*$Y$540</f>
        <v>0</v>
      </c>
      <c r="AF540" s="6">
        <f ca="1">$M$540*$Z$540</f>
        <v>20029.171986295136</v>
      </c>
      <c r="AG540" s="6">
        <f>$O$540*$AA$540</f>
        <v>6543.7907592893598</v>
      </c>
    </row>
    <row r="541" spans="1:33" ht="11.25" customHeight="1" x14ac:dyDescent="0.25">
      <c r="A541" s="4" t="s">
        <v>21</v>
      </c>
      <c r="B541" s="4" t="s">
        <v>33</v>
      </c>
      <c r="C541" s="4" t="s">
        <v>23</v>
      </c>
      <c r="D541" s="4" t="s">
        <v>46</v>
      </c>
      <c r="E541" s="4" t="s">
        <v>47</v>
      </c>
      <c r="F541" s="4" t="s">
        <v>25</v>
      </c>
      <c r="G541" s="4" t="s">
        <v>25</v>
      </c>
      <c r="H541" s="4" t="s">
        <v>25</v>
      </c>
      <c r="I541" s="5">
        <v>44774</v>
      </c>
      <c r="J541" s="6">
        <v>0</v>
      </c>
      <c r="K541" s="61">
        <v>0</v>
      </c>
      <c r="L541" s="6">
        <v>48.137999999999998</v>
      </c>
      <c r="M541" s="61">
        <v>48.137999999999998</v>
      </c>
      <c r="N541" s="6">
        <v>48.137999999999998</v>
      </c>
      <c r="O541" s="61">
        <v>48.137999999999998</v>
      </c>
      <c r="P541" s="6">
        <v>20</v>
      </c>
      <c r="Q541" s="4" t="s">
        <v>26</v>
      </c>
      <c r="R541" s="4">
        <v>0</v>
      </c>
      <c r="S541" s="6">
        <v>0</v>
      </c>
      <c r="T541" s="6">
        <v>72</v>
      </c>
      <c r="U541" s="6">
        <v>83</v>
      </c>
      <c r="V541" s="61">
        <f>IF(ISERROR(VLOOKUP($S$541,'TAR FIN'!$A$1:$O$85,15,0)),0,VLOOKUP($S$541,'TAR FIN'!$A$1:$O$85,15,0))</f>
        <v>0</v>
      </c>
      <c r="W541" s="61">
        <f>IF(ISERROR(VLOOKUP($T$541,'TAR FIN'!$A$1:$O$85,15,0)),0,VLOOKUP($T$541,'TAR FIN'!$A$1:$O$85,15,0))*(1-0.06)</f>
        <v>354.38939999999997</v>
      </c>
      <c r="X541" s="61">
        <f>IF(ISERROR(VLOOKUP($U$541,'TAR FIN'!$A$1:$O$85,15,0)),0,VLOOKUP($U$541,'TAR FIN'!$A$1:$O$85,15,0))*(1-0.06)</f>
        <v>132.84079999999997</v>
      </c>
      <c r="Y541" s="61"/>
      <c r="Z541" s="61">
        <f ca="1">('TUSD BE'!$AM$48+'TUSD BF'!$AM$48+'TUSD CVA'!$AM$48)*1*(1-0.03)</f>
        <v>403.20426746442149</v>
      </c>
      <c r="AA541" s="61">
        <f>('TE BE'!$AB$38+'TE BF'!$AB$38+'TE CVA'!$AB$38)*1*(1-0.03)</f>
        <v>131.73207366460716</v>
      </c>
      <c r="AB541" s="6">
        <f>$K$541*$V$541</f>
        <v>0</v>
      </c>
      <c r="AC541" s="6">
        <f>$M$541*$W$541</f>
        <v>17059.596937199996</v>
      </c>
      <c r="AD541" s="6">
        <f>$O$541*$X$541</f>
        <v>6394.6904303999981</v>
      </c>
      <c r="AE541" s="6">
        <f>$K$541*$Y$541</f>
        <v>0</v>
      </c>
      <c r="AF541" s="6">
        <f ca="1">$M$541*$Z$541</f>
        <v>19409.447027202321</v>
      </c>
      <c r="AG541" s="6">
        <f>$O$541*$AA$541</f>
        <v>6341.3185620668592</v>
      </c>
    </row>
    <row r="542" spans="1:33" ht="11.25" customHeight="1" x14ac:dyDescent="0.25">
      <c r="A542" s="4" t="s">
        <v>21</v>
      </c>
      <c r="B542" s="4" t="s">
        <v>43</v>
      </c>
      <c r="C542" s="4" t="s">
        <v>23</v>
      </c>
      <c r="D542" s="4" t="s">
        <v>44</v>
      </c>
      <c r="E542" s="4" t="s">
        <v>45</v>
      </c>
      <c r="F542" s="4" t="s">
        <v>25</v>
      </c>
      <c r="G542" s="4" t="s">
        <v>25</v>
      </c>
      <c r="H542" s="4" t="s">
        <v>25</v>
      </c>
      <c r="I542" s="5">
        <v>44440</v>
      </c>
      <c r="J542" s="6">
        <v>0</v>
      </c>
      <c r="K542" s="6">
        <v>0</v>
      </c>
      <c r="L542" s="6">
        <v>76.06</v>
      </c>
      <c r="M542" s="6">
        <v>76.06</v>
      </c>
      <c r="N542" s="6">
        <v>76.06</v>
      </c>
      <c r="O542" s="6">
        <v>76.06</v>
      </c>
      <c r="P542" s="6">
        <v>7</v>
      </c>
      <c r="Q542" s="4" t="s">
        <v>26</v>
      </c>
      <c r="R542" s="4">
        <v>0</v>
      </c>
      <c r="S542" s="6">
        <v>0</v>
      </c>
      <c r="T542" s="6">
        <v>38</v>
      </c>
      <c r="U542" s="6">
        <v>77</v>
      </c>
      <c r="V542" s="6">
        <f>IF(ISERROR(VLOOKUP($S$542,'TAR FIN'!$A$1:$O$85,15,0)),0,VLOOKUP($S$542,'TAR FIN'!$A$1:$O$85,15,0))</f>
        <v>0</v>
      </c>
      <c r="W542" s="6">
        <f>IF(ISERROR(VLOOKUP($T$542,'TAR FIN'!$A$1:$O$85,15,0)),0,VLOOKUP($T$542,'TAR FIN'!$A$1:$O$85,15,0))</f>
        <v>207.36</v>
      </c>
      <c r="X542" s="6">
        <f>IF(ISERROR(VLOOKUP($U$542,'TAR FIN'!$A$1:$O$85,15,0)),0,VLOOKUP($U$542,'TAR FIN'!$A$1:$O$85,15,0))</f>
        <v>77.73</v>
      </c>
      <c r="Y542" s="6"/>
      <c r="Z542" s="6">
        <f ca="1">('TUSD BE'!$AM$50+'TUSD BF'!$AM$50+'TUSD CVA'!$AM$50)*1</f>
        <v>228.62097639735242</v>
      </c>
      <c r="AA542" s="6">
        <f>('TE BE'!$AB$40+'TE BF'!$AB$40+'TE CVA'!$AB$40)*1</f>
        <v>74.693443830447364</v>
      </c>
      <c r="AB542" s="6">
        <f>$K$542*$V$542</f>
        <v>0</v>
      </c>
      <c r="AC542" s="6">
        <f>$M$542*$W$542</f>
        <v>15771.801600000001</v>
      </c>
      <c r="AD542" s="6">
        <f>$O$542*$X$542</f>
        <v>5912.1438000000007</v>
      </c>
      <c r="AE542" s="6">
        <f>$K$542*$Y$542</f>
        <v>0</v>
      </c>
      <c r="AF542" s="6">
        <f ca="1">$M$542*$Z$542</f>
        <v>17388.911464782625</v>
      </c>
      <c r="AG542" s="6">
        <f>$O$542*$AA$542</f>
        <v>5681.183337743827</v>
      </c>
    </row>
    <row r="543" spans="1:33" ht="11.25" customHeight="1" x14ac:dyDescent="0.25">
      <c r="A543" s="4" t="s">
        <v>21</v>
      </c>
      <c r="B543" s="4" t="s">
        <v>43</v>
      </c>
      <c r="C543" s="4" t="s">
        <v>23</v>
      </c>
      <c r="D543" s="4" t="s">
        <v>44</v>
      </c>
      <c r="E543" s="4" t="s">
        <v>45</v>
      </c>
      <c r="F543" s="4" t="s">
        <v>25</v>
      </c>
      <c r="G543" s="4" t="s">
        <v>25</v>
      </c>
      <c r="H543" s="4" t="s">
        <v>25</v>
      </c>
      <c r="I543" s="5">
        <v>44470</v>
      </c>
      <c r="J543" s="6">
        <v>0</v>
      </c>
      <c r="K543" s="6">
        <v>0</v>
      </c>
      <c r="L543" s="6">
        <v>78.504999999999995</v>
      </c>
      <c r="M543" s="6">
        <v>78.504999999999995</v>
      </c>
      <c r="N543" s="6">
        <v>78.504999999999995</v>
      </c>
      <c r="O543" s="6">
        <v>78.504999999999995</v>
      </c>
      <c r="P543" s="6">
        <v>7</v>
      </c>
      <c r="Q543" s="4" t="s">
        <v>26</v>
      </c>
      <c r="R543" s="4">
        <v>0</v>
      </c>
      <c r="S543" s="6">
        <v>0</v>
      </c>
      <c r="T543" s="6">
        <v>38</v>
      </c>
      <c r="U543" s="6">
        <v>77</v>
      </c>
      <c r="V543" s="6">
        <f>IF(ISERROR(VLOOKUP($S$543,'TAR FIN'!$A$1:$O$85,15,0)),0,VLOOKUP($S$543,'TAR FIN'!$A$1:$O$85,15,0))</f>
        <v>0</v>
      </c>
      <c r="W543" s="6">
        <f>IF(ISERROR(VLOOKUP($T$543,'TAR FIN'!$A$1:$O$85,15,0)),0,VLOOKUP($T$543,'TAR FIN'!$A$1:$O$85,15,0))</f>
        <v>207.36</v>
      </c>
      <c r="X543" s="6">
        <f>IF(ISERROR(VLOOKUP($U$543,'TAR FIN'!$A$1:$O$85,15,0)),0,VLOOKUP($U$543,'TAR FIN'!$A$1:$O$85,15,0))</f>
        <v>77.73</v>
      </c>
      <c r="Y543" s="6"/>
      <c r="Z543" s="6">
        <f ca="1">('TUSD BE'!$AM$50+'TUSD BF'!$AM$50+'TUSD CVA'!$AM$50)*1</f>
        <v>228.62097639735242</v>
      </c>
      <c r="AA543" s="6">
        <f>('TE BE'!$AB$40+'TE BF'!$AB$40+'TE CVA'!$AB$40)*1</f>
        <v>74.693443830447364</v>
      </c>
      <c r="AB543" s="6">
        <f>$K$543*$V$543</f>
        <v>0</v>
      </c>
      <c r="AC543" s="6">
        <f>$M$543*$W$543</f>
        <v>16278.7968</v>
      </c>
      <c r="AD543" s="6">
        <f>$O$543*$X$543</f>
        <v>6102.1936500000002</v>
      </c>
      <c r="AE543" s="6">
        <f>$K$543*$Y$543</f>
        <v>0</v>
      </c>
      <c r="AF543" s="6">
        <f ca="1">$M$543*$Z$543</f>
        <v>17947.889752074152</v>
      </c>
      <c r="AG543" s="6">
        <f>$O$543*$AA$543</f>
        <v>5863.8088079092704</v>
      </c>
    </row>
    <row r="544" spans="1:33" ht="11.25" customHeight="1" x14ac:dyDescent="0.25">
      <c r="A544" s="4" t="s">
        <v>21</v>
      </c>
      <c r="B544" s="4" t="s">
        <v>43</v>
      </c>
      <c r="C544" s="4" t="s">
        <v>23</v>
      </c>
      <c r="D544" s="4" t="s">
        <v>44</v>
      </c>
      <c r="E544" s="4" t="s">
        <v>45</v>
      </c>
      <c r="F544" s="4" t="s">
        <v>25</v>
      </c>
      <c r="G544" s="4" t="s">
        <v>25</v>
      </c>
      <c r="H544" s="4" t="s">
        <v>25</v>
      </c>
      <c r="I544" s="5">
        <v>44501</v>
      </c>
      <c r="J544" s="6">
        <v>0</v>
      </c>
      <c r="K544" s="6">
        <v>0</v>
      </c>
      <c r="L544" s="6">
        <v>76.010999999999996</v>
      </c>
      <c r="M544" s="6">
        <v>76.010999999999996</v>
      </c>
      <c r="N544" s="6">
        <v>76.010999999999996</v>
      </c>
      <c r="O544" s="6">
        <v>76.010999999999996</v>
      </c>
      <c r="P544" s="6">
        <v>7</v>
      </c>
      <c r="Q544" s="4" t="s">
        <v>26</v>
      </c>
      <c r="R544" s="4">
        <v>0</v>
      </c>
      <c r="S544" s="6">
        <v>0</v>
      </c>
      <c r="T544" s="6">
        <v>38</v>
      </c>
      <c r="U544" s="6">
        <v>77</v>
      </c>
      <c r="V544" s="6">
        <f>IF(ISERROR(VLOOKUP($S$544,'TAR FIN'!$A$1:$O$85,15,0)),0,VLOOKUP($S$544,'TAR FIN'!$A$1:$O$85,15,0))</f>
        <v>0</v>
      </c>
      <c r="W544" s="6">
        <f>IF(ISERROR(VLOOKUP($T$544,'TAR FIN'!$A$1:$O$85,15,0)),0,VLOOKUP($T$544,'TAR FIN'!$A$1:$O$85,15,0))</f>
        <v>207.36</v>
      </c>
      <c r="X544" s="6">
        <f>IF(ISERROR(VLOOKUP($U$544,'TAR FIN'!$A$1:$O$85,15,0)),0,VLOOKUP($U$544,'TAR FIN'!$A$1:$O$85,15,0))</f>
        <v>77.73</v>
      </c>
      <c r="Y544" s="6"/>
      <c r="Z544" s="6">
        <f ca="1">('TUSD BE'!$AM$50+'TUSD BF'!$AM$50+'TUSD CVA'!$AM$50)*1</f>
        <v>228.62097639735242</v>
      </c>
      <c r="AA544" s="6">
        <f>('TE BE'!$AB$40+'TE BF'!$AB$40+'TE CVA'!$AB$40)*1</f>
        <v>74.693443830447364</v>
      </c>
      <c r="AB544" s="6">
        <f>$K$544*$V$544</f>
        <v>0</v>
      </c>
      <c r="AC544" s="6">
        <f>$M$544*$W$544</f>
        <v>15761.640960000001</v>
      </c>
      <c r="AD544" s="6">
        <f>$O$544*$X$544</f>
        <v>5908.3350300000002</v>
      </c>
      <c r="AE544" s="6">
        <f>$K$544*$Y$544</f>
        <v>0</v>
      </c>
      <c r="AF544" s="6">
        <f ca="1">$M$544*$Z$544</f>
        <v>17377.709036939155</v>
      </c>
      <c r="AG544" s="6">
        <f>$O$544*$AA$544</f>
        <v>5677.5233589961344</v>
      </c>
    </row>
    <row r="545" spans="1:33" ht="11.25" customHeight="1" x14ac:dyDescent="0.25">
      <c r="A545" s="4" t="s">
        <v>21</v>
      </c>
      <c r="B545" s="4" t="s">
        <v>43</v>
      </c>
      <c r="C545" s="4" t="s">
        <v>23</v>
      </c>
      <c r="D545" s="4" t="s">
        <v>44</v>
      </c>
      <c r="E545" s="4" t="s">
        <v>45</v>
      </c>
      <c r="F545" s="4" t="s">
        <v>25</v>
      </c>
      <c r="G545" s="4" t="s">
        <v>25</v>
      </c>
      <c r="H545" s="4" t="s">
        <v>25</v>
      </c>
      <c r="I545" s="5">
        <v>44531</v>
      </c>
      <c r="J545" s="6">
        <v>0</v>
      </c>
      <c r="K545" s="6">
        <v>0</v>
      </c>
      <c r="L545" s="6">
        <v>78.085999999999999</v>
      </c>
      <c r="M545" s="6">
        <v>78.085999999999999</v>
      </c>
      <c r="N545" s="6">
        <v>78.085999999999999</v>
      </c>
      <c r="O545" s="6">
        <v>78.085999999999999</v>
      </c>
      <c r="P545" s="6">
        <v>7</v>
      </c>
      <c r="Q545" s="4" t="s">
        <v>26</v>
      </c>
      <c r="R545" s="4">
        <v>0</v>
      </c>
      <c r="S545" s="6">
        <v>0</v>
      </c>
      <c r="T545" s="6">
        <v>38</v>
      </c>
      <c r="U545" s="6">
        <v>77</v>
      </c>
      <c r="V545" s="6">
        <f>IF(ISERROR(VLOOKUP($S$545,'TAR FIN'!$A$1:$O$85,15,0)),0,VLOOKUP($S$545,'TAR FIN'!$A$1:$O$85,15,0))</f>
        <v>0</v>
      </c>
      <c r="W545" s="6">
        <f>IF(ISERROR(VLOOKUP($T$545,'TAR FIN'!$A$1:$O$85,15,0)),0,VLOOKUP($T$545,'TAR FIN'!$A$1:$O$85,15,0))</f>
        <v>207.36</v>
      </c>
      <c r="X545" s="6">
        <f>IF(ISERROR(VLOOKUP($U$545,'TAR FIN'!$A$1:$O$85,15,0)),0,VLOOKUP($U$545,'TAR FIN'!$A$1:$O$85,15,0))</f>
        <v>77.73</v>
      </c>
      <c r="Y545" s="6"/>
      <c r="Z545" s="6">
        <f ca="1">('TUSD BE'!$AM$50+'TUSD BF'!$AM$50+'TUSD CVA'!$AM$50)*1</f>
        <v>228.62097639735242</v>
      </c>
      <c r="AA545" s="6">
        <f>('TE BE'!$AB$40+'TE BF'!$AB$40+'TE CVA'!$AB$40)*1</f>
        <v>74.693443830447364</v>
      </c>
      <c r="AB545" s="6">
        <f>$K$545*$V$545</f>
        <v>0</v>
      </c>
      <c r="AC545" s="6">
        <f>$M$545*$W$545</f>
        <v>16191.912960000001</v>
      </c>
      <c r="AD545" s="6">
        <f>$O$545*$X$545</f>
        <v>6069.6247800000001</v>
      </c>
      <c r="AE545" s="6">
        <f>$K$545*$Y$545</f>
        <v>0</v>
      </c>
      <c r="AF545" s="6">
        <f ca="1">$M$545*$Z$545</f>
        <v>17852.09756296366</v>
      </c>
      <c r="AG545" s="6">
        <f>$O$545*$AA$545</f>
        <v>5832.5122549443131</v>
      </c>
    </row>
    <row r="546" spans="1:33" ht="11.25" customHeight="1" x14ac:dyDescent="0.25">
      <c r="A546" s="4" t="s">
        <v>21</v>
      </c>
      <c r="B546" s="4" t="s">
        <v>43</v>
      </c>
      <c r="C546" s="4" t="s">
        <v>23</v>
      </c>
      <c r="D546" s="4" t="s">
        <v>44</v>
      </c>
      <c r="E546" s="4" t="s">
        <v>45</v>
      </c>
      <c r="F546" s="4" t="s">
        <v>25</v>
      </c>
      <c r="G546" s="4" t="s">
        <v>25</v>
      </c>
      <c r="H546" s="4" t="s">
        <v>25</v>
      </c>
      <c r="I546" s="5">
        <v>44562</v>
      </c>
      <c r="J546" s="6">
        <v>0</v>
      </c>
      <c r="K546" s="6">
        <v>0</v>
      </c>
      <c r="L546" s="6">
        <v>77.98</v>
      </c>
      <c r="M546" s="6">
        <v>77.98</v>
      </c>
      <c r="N546" s="6">
        <v>77.98</v>
      </c>
      <c r="O546" s="6">
        <v>77.98</v>
      </c>
      <c r="P546" s="6">
        <v>7</v>
      </c>
      <c r="Q546" s="4" t="s">
        <v>26</v>
      </c>
      <c r="R546" s="4">
        <v>0</v>
      </c>
      <c r="S546" s="6">
        <v>0</v>
      </c>
      <c r="T546" s="6">
        <v>38</v>
      </c>
      <c r="U546" s="6">
        <v>77</v>
      </c>
      <c r="V546" s="6">
        <f>IF(ISERROR(VLOOKUP($S$546,'TAR FIN'!$A$1:$O$85,15,0)),0,VLOOKUP($S$546,'TAR FIN'!$A$1:$O$85,15,0))</f>
        <v>0</v>
      </c>
      <c r="W546" s="6">
        <f>IF(ISERROR(VLOOKUP($T$546,'TAR FIN'!$A$1:$O$85,15,0)),0,VLOOKUP($T$546,'TAR FIN'!$A$1:$O$85,15,0))</f>
        <v>207.36</v>
      </c>
      <c r="X546" s="6">
        <f>IF(ISERROR(VLOOKUP($U$546,'TAR FIN'!$A$1:$O$85,15,0)),0,VLOOKUP($U$546,'TAR FIN'!$A$1:$O$85,15,0))</f>
        <v>77.73</v>
      </c>
      <c r="Y546" s="6"/>
      <c r="Z546" s="6">
        <f ca="1">('TUSD BE'!$AM$50+'TUSD BF'!$AM$50+'TUSD CVA'!$AM$50)*1</f>
        <v>228.62097639735242</v>
      </c>
      <c r="AA546" s="6">
        <f>('TE BE'!$AB$40+'TE BF'!$AB$40+'TE CVA'!$AB$40)*1</f>
        <v>74.693443830447364</v>
      </c>
      <c r="AB546" s="6">
        <f>$K$546*$V$546</f>
        <v>0</v>
      </c>
      <c r="AC546" s="6">
        <f>$M$546*$W$546</f>
        <v>16169.932800000002</v>
      </c>
      <c r="AD546" s="6">
        <f>$O$546*$X$546</f>
        <v>6061.385400000001</v>
      </c>
      <c r="AE546" s="6">
        <f>$K$546*$Y$546</f>
        <v>0</v>
      </c>
      <c r="AF546" s="6">
        <f ca="1">$M$546*$Z$546</f>
        <v>17827.863739465542</v>
      </c>
      <c r="AG546" s="6">
        <f>$O$546*$AA$546</f>
        <v>5824.594749898286</v>
      </c>
    </row>
    <row r="547" spans="1:33" ht="11.25" customHeight="1" x14ac:dyDescent="0.25">
      <c r="A547" s="4" t="s">
        <v>21</v>
      </c>
      <c r="B547" s="4" t="s">
        <v>43</v>
      </c>
      <c r="C547" s="4" t="s">
        <v>23</v>
      </c>
      <c r="D547" s="4" t="s">
        <v>44</v>
      </c>
      <c r="E547" s="4" t="s">
        <v>45</v>
      </c>
      <c r="F547" s="4" t="s">
        <v>25</v>
      </c>
      <c r="G547" s="4" t="s">
        <v>25</v>
      </c>
      <c r="H547" s="4" t="s">
        <v>25</v>
      </c>
      <c r="I547" s="5">
        <v>44593</v>
      </c>
      <c r="J547" s="6">
        <v>0</v>
      </c>
      <c r="K547" s="6">
        <v>0</v>
      </c>
      <c r="L547" s="6">
        <v>71.025000000000006</v>
      </c>
      <c r="M547" s="6">
        <v>71.025000000000006</v>
      </c>
      <c r="N547" s="6">
        <v>71.025000000000006</v>
      </c>
      <c r="O547" s="6">
        <v>71.025000000000006</v>
      </c>
      <c r="P547" s="6">
        <v>7</v>
      </c>
      <c r="Q547" s="4" t="s">
        <v>26</v>
      </c>
      <c r="R547" s="4">
        <v>0</v>
      </c>
      <c r="S547" s="6">
        <v>0</v>
      </c>
      <c r="T547" s="6">
        <v>38</v>
      </c>
      <c r="U547" s="6">
        <v>77</v>
      </c>
      <c r="V547" s="6">
        <f>IF(ISERROR(VLOOKUP($S$547,'TAR FIN'!$A$1:$O$85,15,0)),0,VLOOKUP($S$547,'TAR FIN'!$A$1:$O$85,15,0))</f>
        <v>0</v>
      </c>
      <c r="W547" s="6">
        <f>IF(ISERROR(VLOOKUP($T$547,'TAR FIN'!$A$1:$O$85,15,0)),0,VLOOKUP($T$547,'TAR FIN'!$A$1:$O$85,15,0))</f>
        <v>207.36</v>
      </c>
      <c r="X547" s="6">
        <f>IF(ISERROR(VLOOKUP($U$547,'TAR FIN'!$A$1:$O$85,15,0)),0,VLOOKUP($U$547,'TAR FIN'!$A$1:$O$85,15,0))</f>
        <v>77.73</v>
      </c>
      <c r="Y547" s="6"/>
      <c r="Z547" s="6">
        <f ca="1">('TUSD BE'!$AM$50+'TUSD BF'!$AM$50+'TUSD CVA'!$AM$50)*1</f>
        <v>228.62097639735242</v>
      </c>
      <c r="AA547" s="6">
        <f>('TE BE'!$AB$40+'TE BF'!$AB$40+'TE CVA'!$AB$40)*1</f>
        <v>74.693443830447364</v>
      </c>
      <c r="AB547" s="6">
        <f>$K$547*$V$547</f>
        <v>0</v>
      </c>
      <c r="AC547" s="6">
        <f>$M$547*$W$547</f>
        <v>14727.744000000002</v>
      </c>
      <c r="AD547" s="6">
        <f>$O$547*$X$547</f>
        <v>5520.7732500000011</v>
      </c>
      <c r="AE547" s="6">
        <f>$K$547*$Y$547</f>
        <v>0</v>
      </c>
      <c r="AF547" s="6">
        <f ca="1">$M$547*$Z$547</f>
        <v>16237.804848621958</v>
      </c>
      <c r="AG547" s="6">
        <f>$O$547*$AA$547</f>
        <v>5305.1018480575249</v>
      </c>
    </row>
    <row r="548" spans="1:33" ht="11.25" customHeight="1" x14ac:dyDescent="0.25">
      <c r="A548" s="4" t="s">
        <v>21</v>
      </c>
      <c r="B548" s="4" t="s">
        <v>43</v>
      </c>
      <c r="C548" s="4" t="s">
        <v>23</v>
      </c>
      <c r="D548" s="4" t="s">
        <v>44</v>
      </c>
      <c r="E548" s="4" t="s">
        <v>45</v>
      </c>
      <c r="F548" s="4" t="s">
        <v>25</v>
      </c>
      <c r="G548" s="4" t="s">
        <v>25</v>
      </c>
      <c r="H548" s="4" t="s">
        <v>25</v>
      </c>
      <c r="I548" s="5">
        <v>44621</v>
      </c>
      <c r="J548" s="6">
        <v>0</v>
      </c>
      <c r="K548" s="6">
        <v>0</v>
      </c>
      <c r="L548" s="6">
        <v>78.382000000000005</v>
      </c>
      <c r="M548" s="6">
        <v>78.382000000000005</v>
      </c>
      <c r="N548" s="6">
        <v>78.382000000000005</v>
      </c>
      <c r="O548" s="6">
        <v>78.382000000000005</v>
      </c>
      <c r="P548" s="6">
        <v>7</v>
      </c>
      <c r="Q548" s="4" t="s">
        <v>26</v>
      </c>
      <c r="R548" s="4">
        <v>0</v>
      </c>
      <c r="S548" s="6">
        <v>0</v>
      </c>
      <c r="T548" s="6">
        <v>38</v>
      </c>
      <c r="U548" s="6">
        <v>77</v>
      </c>
      <c r="V548" s="6">
        <f>IF(ISERROR(VLOOKUP($S$548,'TAR FIN'!$A$1:$O$85,15,0)),0,VLOOKUP($S$548,'TAR FIN'!$A$1:$O$85,15,0))</f>
        <v>0</v>
      </c>
      <c r="W548" s="6">
        <f>IF(ISERROR(VLOOKUP($T$548,'TAR FIN'!$A$1:$O$85,15,0)),0,VLOOKUP($T$548,'TAR FIN'!$A$1:$O$85,15,0))</f>
        <v>207.36</v>
      </c>
      <c r="X548" s="6">
        <f>IF(ISERROR(VLOOKUP($U$548,'TAR FIN'!$A$1:$O$85,15,0)),0,VLOOKUP($U$548,'TAR FIN'!$A$1:$O$85,15,0))</f>
        <v>77.73</v>
      </c>
      <c r="Y548" s="6"/>
      <c r="Z548" s="6">
        <f ca="1">('TUSD BE'!$AM$50+'TUSD BF'!$AM$50+'TUSD CVA'!$AM$50)*1</f>
        <v>228.62097639735242</v>
      </c>
      <c r="AA548" s="6">
        <f>('TE BE'!$AB$40+'TE BF'!$AB$40+'TE CVA'!$AB$40)*1</f>
        <v>74.693443830447364</v>
      </c>
      <c r="AB548" s="6">
        <f>$K$548*$V$548</f>
        <v>0</v>
      </c>
      <c r="AC548" s="6">
        <f>$M$548*$W$548</f>
        <v>16253.291520000002</v>
      </c>
      <c r="AD548" s="6">
        <f>$O$548*$X$548</f>
        <v>6092.6328600000006</v>
      </c>
      <c r="AE548" s="6">
        <f>$K$548*$Y$548</f>
        <v>0</v>
      </c>
      <c r="AF548" s="6">
        <f ca="1">$M$548*$Z$548</f>
        <v>17919.76937197728</v>
      </c>
      <c r="AG548" s="6">
        <f>$O$548*$AA$548</f>
        <v>5854.6215143181253</v>
      </c>
    </row>
    <row r="549" spans="1:33" ht="11.25" customHeight="1" x14ac:dyDescent="0.25">
      <c r="A549" s="4" t="s">
        <v>21</v>
      </c>
      <c r="B549" s="4" t="s">
        <v>43</v>
      </c>
      <c r="C549" s="4" t="s">
        <v>23</v>
      </c>
      <c r="D549" s="4" t="s">
        <v>44</v>
      </c>
      <c r="E549" s="4" t="s">
        <v>45</v>
      </c>
      <c r="F549" s="4" t="s">
        <v>25</v>
      </c>
      <c r="G549" s="4" t="s">
        <v>25</v>
      </c>
      <c r="H549" s="4" t="s">
        <v>25</v>
      </c>
      <c r="I549" s="5">
        <v>44652</v>
      </c>
      <c r="J549" s="6">
        <v>0</v>
      </c>
      <c r="K549" s="6">
        <v>0</v>
      </c>
      <c r="L549" s="6">
        <v>75.691000000000003</v>
      </c>
      <c r="M549" s="6">
        <v>75.691000000000003</v>
      </c>
      <c r="N549" s="6">
        <v>75.691000000000003</v>
      </c>
      <c r="O549" s="6">
        <v>75.691000000000003</v>
      </c>
      <c r="P549" s="6">
        <v>7</v>
      </c>
      <c r="Q549" s="4" t="s">
        <v>26</v>
      </c>
      <c r="R549" s="4">
        <v>0</v>
      </c>
      <c r="S549" s="6">
        <v>0</v>
      </c>
      <c r="T549" s="6">
        <v>38</v>
      </c>
      <c r="U549" s="6">
        <v>77</v>
      </c>
      <c r="V549" s="6">
        <f>IF(ISERROR(VLOOKUP($S$549,'TAR FIN'!$A$1:$O$85,15,0)),0,VLOOKUP($S$549,'TAR FIN'!$A$1:$O$85,15,0))</f>
        <v>0</v>
      </c>
      <c r="W549" s="6">
        <f>IF(ISERROR(VLOOKUP($T$549,'TAR FIN'!$A$1:$O$85,15,0)),0,VLOOKUP($T$549,'TAR FIN'!$A$1:$O$85,15,0))</f>
        <v>207.36</v>
      </c>
      <c r="X549" s="6">
        <f>IF(ISERROR(VLOOKUP($U$549,'TAR FIN'!$A$1:$O$85,15,0)),0,VLOOKUP($U$549,'TAR FIN'!$A$1:$O$85,15,0))</f>
        <v>77.73</v>
      </c>
      <c r="Y549" s="6"/>
      <c r="Z549" s="6">
        <f ca="1">('TUSD BE'!$AM$50+'TUSD BF'!$AM$50+'TUSD CVA'!$AM$50)*1</f>
        <v>228.62097639735242</v>
      </c>
      <c r="AA549" s="6">
        <f>('TE BE'!$AB$40+'TE BF'!$AB$40+'TE CVA'!$AB$40)*1</f>
        <v>74.693443830447364</v>
      </c>
      <c r="AB549" s="6">
        <f>$K$549*$V$549</f>
        <v>0</v>
      </c>
      <c r="AC549" s="6">
        <f>$M$549*$W$549</f>
        <v>15695.285760000001</v>
      </c>
      <c r="AD549" s="6">
        <f>$O$549*$X$549</f>
        <v>5883.4614300000003</v>
      </c>
      <c r="AE549" s="6">
        <f>$K$549*$Y$549</f>
        <v>0</v>
      </c>
      <c r="AF549" s="6">
        <f ca="1">$M$549*$Z$549</f>
        <v>17304.550324492004</v>
      </c>
      <c r="AG549" s="6">
        <f>$O$549*$AA$549</f>
        <v>5653.6214569703916</v>
      </c>
    </row>
    <row r="550" spans="1:33" ht="11.25" customHeight="1" x14ac:dyDescent="0.25">
      <c r="A550" s="4" t="s">
        <v>21</v>
      </c>
      <c r="B550" s="4" t="s">
        <v>43</v>
      </c>
      <c r="C550" s="4" t="s">
        <v>23</v>
      </c>
      <c r="D550" s="4" t="s">
        <v>44</v>
      </c>
      <c r="E550" s="4" t="s">
        <v>45</v>
      </c>
      <c r="F550" s="4" t="s">
        <v>25</v>
      </c>
      <c r="G550" s="4" t="s">
        <v>25</v>
      </c>
      <c r="H550" s="4" t="s">
        <v>25</v>
      </c>
      <c r="I550" s="5">
        <v>44682</v>
      </c>
      <c r="J550" s="6">
        <v>0</v>
      </c>
      <c r="K550" s="6">
        <v>0</v>
      </c>
      <c r="L550" s="6">
        <v>78.97</v>
      </c>
      <c r="M550" s="6">
        <v>78.97</v>
      </c>
      <c r="N550" s="6">
        <v>78.97</v>
      </c>
      <c r="O550" s="6">
        <v>78.97</v>
      </c>
      <c r="P550" s="6">
        <v>7</v>
      </c>
      <c r="Q550" s="4" t="s">
        <v>26</v>
      </c>
      <c r="R550" s="4">
        <v>0</v>
      </c>
      <c r="S550" s="6">
        <v>0</v>
      </c>
      <c r="T550" s="6">
        <v>38</v>
      </c>
      <c r="U550" s="6">
        <v>77</v>
      </c>
      <c r="V550" s="6">
        <f>IF(ISERROR(VLOOKUP($S$550,'TAR FIN'!$A$1:$O$85,15,0)),0,VLOOKUP($S$550,'TAR FIN'!$A$1:$O$85,15,0))</f>
        <v>0</v>
      </c>
      <c r="W550" s="6">
        <f>IF(ISERROR(VLOOKUP($T$550,'TAR FIN'!$A$1:$O$85,15,0)),0,VLOOKUP($T$550,'TAR FIN'!$A$1:$O$85,15,0))</f>
        <v>207.36</v>
      </c>
      <c r="X550" s="6">
        <f>IF(ISERROR(VLOOKUP($U$550,'TAR FIN'!$A$1:$O$85,15,0)),0,VLOOKUP($U$550,'TAR FIN'!$A$1:$O$85,15,0))</f>
        <v>77.73</v>
      </c>
      <c r="Y550" s="6"/>
      <c r="Z550" s="6">
        <f ca="1">('TUSD BE'!$AM$50+'TUSD BF'!$AM$50+'TUSD CVA'!$AM$50)*1</f>
        <v>228.62097639735242</v>
      </c>
      <c r="AA550" s="6">
        <f>('TE BE'!$AB$40+'TE BF'!$AB$40+'TE CVA'!$AB$40)*1</f>
        <v>74.693443830447364</v>
      </c>
      <c r="AB550" s="6">
        <f>$K$550*$V$550</f>
        <v>0</v>
      </c>
      <c r="AC550" s="6">
        <f>$M$550*$W$550</f>
        <v>16375.219200000001</v>
      </c>
      <c r="AD550" s="6">
        <f>$O$550*$X$550</f>
        <v>6138.3380999999999</v>
      </c>
      <c r="AE550" s="6">
        <f>$K$550*$Y$550</f>
        <v>0</v>
      </c>
      <c r="AF550" s="6">
        <f ca="1">$M$550*$Z$550</f>
        <v>18054.198506098921</v>
      </c>
      <c r="AG550" s="6">
        <f>$O$550*$AA$550</f>
        <v>5898.5412592904286</v>
      </c>
    </row>
    <row r="551" spans="1:33" ht="11.25" customHeight="1" x14ac:dyDescent="0.25">
      <c r="A551" s="4" t="s">
        <v>21</v>
      </c>
      <c r="B551" s="4" t="s">
        <v>43</v>
      </c>
      <c r="C551" s="4" t="s">
        <v>23</v>
      </c>
      <c r="D551" s="4" t="s">
        <v>44</v>
      </c>
      <c r="E551" s="4" t="s">
        <v>45</v>
      </c>
      <c r="F551" s="4" t="s">
        <v>25</v>
      </c>
      <c r="G551" s="4" t="s">
        <v>25</v>
      </c>
      <c r="H551" s="4" t="s">
        <v>25</v>
      </c>
      <c r="I551" s="5">
        <v>44713</v>
      </c>
      <c r="J551" s="6">
        <v>0</v>
      </c>
      <c r="K551" s="6">
        <v>0</v>
      </c>
      <c r="L551" s="6">
        <v>78.191999999999993</v>
      </c>
      <c r="M551" s="6">
        <v>78.191999999999993</v>
      </c>
      <c r="N551" s="6">
        <v>78.191999999999993</v>
      </c>
      <c r="O551" s="6">
        <v>78.191999999999993</v>
      </c>
      <c r="P551" s="6">
        <v>7</v>
      </c>
      <c r="Q551" s="4" t="s">
        <v>26</v>
      </c>
      <c r="R551" s="4">
        <v>0</v>
      </c>
      <c r="S551" s="6">
        <v>0</v>
      </c>
      <c r="T551" s="6">
        <v>38</v>
      </c>
      <c r="U551" s="6">
        <v>77</v>
      </c>
      <c r="V551" s="6">
        <f>IF(ISERROR(VLOOKUP($S$551,'TAR FIN'!$A$1:$O$85,15,0)),0,VLOOKUP($S$551,'TAR FIN'!$A$1:$O$85,15,0))</f>
        <v>0</v>
      </c>
      <c r="W551" s="6">
        <f>IF(ISERROR(VLOOKUP($T$551,'TAR FIN'!$A$1:$O$85,15,0)),0,VLOOKUP($T$551,'TAR FIN'!$A$1:$O$85,15,0))</f>
        <v>207.36</v>
      </c>
      <c r="X551" s="6">
        <f>IF(ISERROR(VLOOKUP($U$551,'TAR FIN'!$A$1:$O$85,15,0)),0,VLOOKUP($U$551,'TAR FIN'!$A$1:$O$85,15,0))</f>
        <v>77.73</v>
      </c>
      <c r="Y551" s="6"/>
      <c r="Z551" s="6">
        <f ca="1">('TUSD BE'!$AM$50+'TUSD BF'!$AM$50+'TUSD CVA'!$AM$50)*1</f>
        <v>228.62097639735242</v>
      </c>
      <c r="AA551" s="6">
        <f>('TE BE'!$AB$40+'TE BF'!$AB$40+'TE CVA'!$AB$40)*1</f>
        <v>74.693443830447364</v>
      </c>
      <c r="AB551" s="6">
        <f>$K$551*$V$551</f>
        <v>0</v>
      </c>
      <c r="AC551" s="6">
        <f>$M$551*$W$551</f>
        <v>16213.893119999999</v>
      </c>
      <c r="AD551" s="6">
        <f>$O$551*$X$551</f>
        <v>6077.8641600000001</v>
      </c>
      <c r="AE551" s="6">
        <f>$K$551*$Y$551</f>
        <v>0</v>
      </c>
      <c r="AF551" s="6">
        <f ca="1">$M$551*$Z$551</f>
        <v>17876.331386461778</v>
      </c>
      <c r="AG551" s="6">
        <f>$O$551*$AA$551</f>
        <v>5840.4297599903402</v>
      </c>
    </row>
    <row r="552" spans="1:33" ht="11.25" customHeight="1" x14ac:dyDescent="0.25">
      <c r="A552" s="4" t="s">
        <v>21</v>
      </c>
      <c r="B552" s="4" t="s">
        <v>43</v>
      </c>
      <c r="C552" s="4" t="s">
        <v>23</v>
      </c>
      <c r="D552" s="4" t="s">
        <v>44</v>
      </c>
      <c r="E552" s="4" t="s">
        <v>45</v>
      </c>
      <c r="F552" s="4" t="s">
        <v>25</v>
      </c>
      <c r="G552" s="4" t="s">
        <v>25</v>
      </c>
      <c r="H552" s="4" t="s">
        <v>25</v>
      </c>
      <c r="I552" s="5">
        <v>44743</v>
      </c>
      <c r="J552" s="6">
        <v>0</v>
      </c>
      <c r="K552" s="6">
        <v>0</v>
      </c>
      <c r="L552" s="6">
        <v>80.864000000000004</v>
      </c>
      <c r="M552" s="6">
        <v>80.864000000000004</v>
      </c>
      <c r="N552" s="6">
        <v>80.864000000000004</v>
      </c>
      <c r="O552" s="6">
        <v>80.864000000000004</v>
      </c>
      <c r="P552" s="6">
        <v>7</v>
      </c>
      <c r="Q552" s="4" t="s">
        <v>26</v>
      </c>
      <c r="R552" s="4">
        <v>0</v>
      </c>
      <c r="S552" s="6">
        <v>0</v>
      </c>
      <c r="T552" s="6">
        <v>38</v>
      </c>
      <c r="U552" s="6">
        <v>77</v>
      </c>
      <c r="V552" s="6">
        <f>IF(ISERROR(VLOOKUP($S$552,'TAR FIN'!$A$1:$O$85,15,0)),0,VLOOKUP($S$552,'TAR FIN'!$A$1:$O$85,15,0))</f>
        <v>0</v>
      </c>
      <c r="W552" s="6">
        <f>IF(ISERROR(VLOOKUP($T$552,'TAR FIN'!$A$1:$O$85,15,0)),0,VLOOKUP($T$552,'TAR FIN'!$A$1:$O$85,15,0))</f>
        <v>207.36</v>
      </c>
      <c r="X552" s="6">
        <f>IF(ISERROR(VLOOKUP($U$552,'TAR FIN'!$A$1:$O$85,15,0)),0,VLOOKUP($U$552,'TAR FIN'!$A$1:$O$85,15,0))</f>
        <v>77.73</v>
      </c>
      <c r="Y552" s="6"/>
      <c r="Z552" s="6">
        <f ca="1">('TUSD BE'!$AM$50+'TUSD BF'!$AM$50+'TUSD CVA'!$AM$50)*1</f>
        <v>228.62097639735242</v>
      </c>
      <c r="AA552" s="6">
        <f>('TE BE'!$AB$40+'TE BF'!$AB$40+'TE CVA'!$AB$40)*1</f>
        <v>74.693443830447364</v>
      </c>
      <c r="AB552" s="6">
        <f>$K$552*$V$552</f>
        <v>0</v>
      </c>
      <c r="AC552" s="6">
        <f>$M$552*$W$552</f>
        <v>16767.959040000002</v>
      </c>
      <c r="AD552" s="6">
        <f>$O$552*$X$552</f>
        <v>6285.5587200000009</v>
      </c>
      <c r="AE552" s="6">
        <f>$K$552*$Y$552</f>
        <v>0</v>
      </c>
      <c r="AF552" s="6">
        <f ca="1">$M$552*$Z$552</f>
        <v>18487.206635395509</v>
      </c>
      <c r="AG552" s="6">
        <f>$O$552*$AA$552</f>
        <v>6040.0106419052963</v>
      </c>
    </row>
    <row r="553" spans="1:33" ht="11.25" customHeight="1" x14ac:dyDescent="0.25">
      <c r="A553" s="4" t="s">
        <v>21</v>
      </c>
      <c r="B553" s="4" t="s">
        <v>43</v>
      </c>
      <c r="C553" s="4" t="s">
        <v>23</v>
      </c>
      <c r="D553" s="4" t="s">
        <v>44</v>
      </c>
      <c r="E553" s="4" t="s">
        <v>45</v>
      </c>
      <c r="F553" s="4" t="s">
        <v>25</v>
      </c>
      <c r="G553" s="4" t="s">
        <v>25</v>
      </c>
      <c r="H553" s="4" t="s">
        <v>25</v>
      </c>
      <c r="I553" s="5">
        <v>44774</v>
      </c>
      <c r="J553" s="6">
        <v>0</v>
      </c>
      <c r="K553" s="6">
        <v>0</v>
      </c>
      <c r="L553" s="6">
        <v>80.777000000000001</v>
      </c>
      <c r="M553" s="6">
        <v>80.777000000000001</v>
      </c>
      <c r="N553" s="6">
        <v>80.777000000000001</v>
      </c>
      <c r="O553" s="6">
        <v>80.777000000000001</v>
      </c>
      <c r="P553" s="6">
        <v>7</v>
      </c>
      <c r="Q553" s="4" t="s">
        <v>26</v>
      </c>
      <c r="R553" s="4">
        <v>0</v>
      </c>
      <c r="S553" s="6">
        <v>0</v>
      </c>
      <c r="T553" s="6">
        <v>38</v>
      </c>
      <c r="U553" s="6">
        <v>77</v>
      </c>
      <c r="V553" s="6">
        <f>IF(ISERROR(VLOOKUP($S$553,'TAR FIN'!$A$1:$O$85,15,0)),0,VLOOKUP($S$553,'TAR FIN'!$A$1:$O$85,15,0))</f>
        <v>0</v>
      </c>
      <c r="W553" s="6">
        <f>IF(ISERROR(VLOOKUP($T$553,'TAR FIN'!$A$1:$O$85,15,0)),0,VLOOKUP($T$553,'TAR FIN'!$A$1:$O$85,15,0))</f>
        <v>207.36</v>
      </c>
      <c r="X553" s="6">
        <f>IF(ISERROR(VLOOKUP($U$553,'TAR FIN'!$A$1:$O$85,15,0)),0,VLOOKUP($U$553,'TAR FIN'!$A$1:$O$85,15,0))</f>
        <v>77.73</v>
      </c>
      <c r="Y553" s="6"/>
      <c r="Z553" s="6">
        <f ca="1">('TUSD BE'!$AM$50+'TUSD BF'!$AM$50+'TUSD CVA'!$AM$50)*1</f>
        <v>228.62097639735242</v>
      </c>
      <c r="AA553" s="6">
        <f>('TE BE'!$AB$40+'TE BF'!$AB$40+'TE CVA'!$AB$40)*1</f>
        <v>74.693443830447364</v>
      </c>
      <c r="AB553" s="6">
        <f>$K$553*$V$553</f>
        <v>0</v>
      </c>
      <c r="AC553" s="6">
        <f>$M$553*$W$553</f>
        <v>16749.918720000001</v>
      </c>
      <c r="AD553" s="6">
        <f>$O$553*$X$553</f>
        <v>6278.7962100000004</v>
      </c>
      <c r="AE553" s="6">
        <f>$K$553*$Y$553</f>
        <v>0</v>
      </c>
      <c r="AF553" s="6">
        <f ca="1">$M$553*$Z$553</f>
        <v>18467.316610448936</v>
      </c>
      <c r="AG553" s="6">
        <f>$O$553*$AA$553</f>
        <v>6033.5123122920468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C4285-64F1-4D8C-A5E4-0366035CC6D8}">
  <sheetPr codeName="Planilha17"/>
  <dimension ref="A1:AJ554"/>
  <sheetViews>
    <sheetView showGridLines="0" workbookViewId="0">
      <selection sqref="A1:AF337"/>
    </sheetView>
  </sheetViews>
  <sheetFormatPr defaultRowHeight="11.25" customHeight="1" x14ac:dyDescent="0.25"/>
  <cols>
    <col min="1" max="1" width="19.140625" style="4" bestFit="1" customWidth="1"/>
    <col min="2" max="2" width="13.28515625" style="4" bestFit="1" customWidth="1"/>
    <col min="3" max="3" width="14.5703125" style="4" bestFit="1" customWidth="1"/>
    <col min="4" max="4" width="11.5703125" style="4" bestFit="1" customWidth="1"/>
    <col min="5" max="5" width="25.140625" style="4" bestFit="1" customWidth="1"/>
    <col min="6" max="6" width="12.85546875" style="4" bestFit="1" customWidth="1"/>
    <col min="7" max="7" width="13.7109375" style="4" bestFit="1" customWidth="1"/>
    <col min="8" max="8" width="10.28515625" style="4" bestFit="1" customWidth="1"/>
    <col min="9" max="9" width="12.140625" style="5" bestFit="1" customWidth="1"/>
    <col min="10" max="10" width="6.5703125" style="6" bestFit="1" customWidth="1"/>
    <col min="11" max="11" width="7.85546875" style="6" bestFit="1" customWidth="1"/>
    <col min="12" max="12" width="11.28515625" style="6" bestFit="1" customWidth="1"/>
    <col min="13" max="13" width="12.5703125" style="6" bestFit="1" customWidth="1"/>
    <col min="14" max="14" width="9.140625" style="6" bestFit="1" customWidth="1"/>
    <col min="15" max="15" width="10.42578125" style="6" bestFit="1" customWidth="1"/>
    <col min="16" max="16" width="7.7109375" style="6" bestFit="1" customWidth="1"/>
    <col min="17" max="17" width="11.140625" style="4" bestFit="1" customWidth="1"/>
    <col min="18" max="18" width="13.140625" style="4" bestFit="1" customWidth="1"/>
    <col min="19" max="19" width="23" style="4" bestFit="1" customWidth="1"/>
    <col min="20" max="20" width="24.42578125" style="4" bestFit="1" customWidth="1"/>
    <col min="21" max="21" width="22.28515625" style="4" bestFit="1" customWidth="1"/>
    <col min="22" max="22" width="15.85546875" style="4" bestFit="1" customWidth="1"/>
    <col min="23" max="23" width="17.28515625" style="4" bestFit="1" customWidth="1"/>
    <col min="24" max="24" width="15.140625" style="4" bestFit="1" customWidth="1"/>
    <col min="25" max="25" width="20.85546875" style="4" bestFit="1" customWidth="1"/>
    <col min="26" max="26" width="22.42578125" style="4" bestFit="1" customWidth="1"/>
    <col min="27" max="27" width="20.140625" style="4" bestFit="1" customWidth="1"/>
    <col min="28" max="28" width="19.140625" style="4" bestFit="1" customWidth="1"/>
    <col min="29" max="29" width="20.5703125" style="4" bestFit="1" customWidth="1"/>
    <col min="30" max="30" width="19" style="4" bestFit="1" customWidth="1"/>
    <col min="31" max="31" width="20.42578125" style="4" bestFit="1" customWidth="1"/>
    <col min="32" max="32" width="32.140625" style="4" bestFit="1" customWidth="1"/>
    <col min="33" max="33" width="9.140625" style="4"/>
    <col min="34" max="34" width="32.140625" style="4" bestFit="1" customWidth="1"/>
    <col min="35" max="36" width="10" style="4" bestFit="1" customWidth="1"/>
    <col min="37" max="16384" width="9.140625" style="4"/>
  </cols>
  <sheetData>
    <row r="1" spans="1:36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536</v>
      </c>
      <c r="W1" s="1" t="s">
        <v>537</v>
      </c>
      <c r="X1" s="1" t="s">
        <v>538</v>
      </c>
      <c r="Y1" s="1" t="s">
        <v>539</v>
      </c>
      <c r="Z1" s="1" t="s">
        <v>540</v>
      </c>
      <c r="AA1" s="1" t="s">
        <v>541</v>
      </c>
      <c r="AB1" s="1" t="s">
        <v>583</v>
      </c>
      <c r="AC1" s="1" t="s">
        <v>584</v>
      </c>
      <c r="AD1" s="1" t="s">
        <v>585</v>
      </c>
      <c r="AE1" s="1" t="s">
        <v>586</v>
      </c>
      <c r="AF1" s="1" t="s">
        <v>587</v>
      </c>
      <c r="AH1" s="43" t="s">
        <v>587</v>
      </c>
      <c r="AI1" s="43" t="s">
        <v>593</v>
      </c>
      <c r="AJ1" s="43" t="s">
        <v>594</v>
      </c>
    </row>
    <row r="2" spans="1:36" ht="11.25" customHeight="1" x14ac:dyDescent="0.25">
      <c r="A2" s="4" t="s">
        <v>21</v>
      </c>
      <c r="B2" s="4" t="s">
        <v>35</v>
      </c>
      <c r="C2" s="4" t="s">
        <v>48</v>
      </c>
      <c r="D2" s="4" t="s">
        <v>46</v>
      </c>
      <c r="E2" s="4" t="s">
        <v>47</v>
      </c>
      <c r="F2" s="4" t="s">
        <v>25</v>
      </c>
      <c r="G2" s="4" t="s">
        <v>25</v>
      </c>
      <c r="H2" s="4" t="s">
        <v>38</v>
      </c>
      <c r="I2" s="5">
        <v>44440</v>
      </c>
      <c r="J2" s="6">
        <v>497</v>
      </c>
      <c r="K2" s="61">
        <v>497</v>
      </c>
      <c r="L2" s="6">
        <v>245.80799999999999</v>
      </c>
      <c r="M2" s="61">
        <v>245.80799999999999</v>
      </c>
      <c r="N2" s="6">
        <v>245.80799999999999</v>
      </c>
      <c r="O2" s="61">
        <v>245.80799999999999</v>
      </c>
      <c r="P2" s="6">
        <v>0</v>
      </c>
      <c r="Q2" s="4" t="s">
        <v>26</v>
      </c>
      <c r="R2" s="4">
        <v>0</v>
      </c>
      <c r="S2" s="4">
        <v>12</v>
      </c>
      <c r="T2" s="4">
        <v>1</v>
      </c>
      <c r="U2" s="4">
        <v>51</v>
      </c>
      <c r="V2" s="61">
        <f>IF(ISERROR(VLOOKUP($S$2,'TAR FIN'!$A$1:$O$85,15,0)),0,VLOOKUP($S$2,'TAR FIN'!$A$1:$O$85,15,0))*(1-0.06)</f>
        <v>24.1204</v>
      </c>
      <c r="W2" s="61">
        <f>IF(ISERROR(VLOOKUP($T$2,'TAR FIN'!$A$1:$O$85,15,0)),0,VLOOKUP($T$2,'TAR FIN'!$A$1:$O$85,15,0))*(1-0.06)</f>
        <v>62.246799999999993</v>
      </c>
      <c r="X2" s="61">
        <f>IF(ISERROR(VLOOKUP($U$2,'TAR FIN'!$A$1:$O$85,15,0)),0,VLOOKUP($U$2,'TAR FIN'!$A$1:$O$85,15,0))*(1-0.06)</f>
        <v>132.84079999999997</v>
      </c>
      <c r="Y2" s="61">
        <f ca="1">('TUSD BE'!$AM$6+'TUSD BF'!$AM$6+'TUSD CVA'!$AM$6)*1*(1-0.03)</f>
        <v>24.433920211791385</v>
      </c>
      <c r="Z2" s="61">
        <f ca="1">('TUSD BE'!$AM$7+'TUSD BF'!$AM$7+'TUSD CVA'!$AM$7)*1*(1-0.03)</f>
        <v>96.85231722220351</v>
      </c>
      <c r="AA2" s="61">
        <f>('TE BE'!$AB$6+'TE BF'!$AB$6+'TE CVA'!$AB$6)*1*(1-0.03)</f>
        <v>131.73207366460716</v>
      </c>
      <c r="AB2" s="61">
        <f>(SUBSIDIO!$J$2*SUBSIDIO!$V$2)*(0.06)/(1-0.06)</f>
        <v>765.18119999999999</v>
      </c>
      <c r="AC2" s="61">
        <f>((SUBSIDIO!$L$2*SUBSIDIO!$W$2)+(SUBSIDIO!$N$2*SUBSIDIO!$X$2))*(0.06)/(1-0.06)</f>
        <v>3060.8995391999993</v>
      </c>
      <c r="AD2" s="61">
        <f ca="1">(SUBSIDIO!$J$2*SUBSIDIO!$Y$2)*(0.03)/(1-0.03)</f>
        <v>375.57706222454595</v>
      </c>
      <c r="AE2" s="61">
        <f ca="1">((SUBSIDIO!$L$2*SUBSIDIO!$Z$2)+(SUBSIDIO!$N$2*SUBSIDIO!$AA$2))*(0.03)/(1-0.03)</f>
        <v>1737.7692357249016</v>
      </c>
      <c r="AF2" s="4" t="s">
        <v>588</v>
      </c>
      <c r="AH2" s="44" t="s">
        <v>595</v>
      </c>
      <c r="AI2" s="45">
        <f t="shared" ref="AI2:AI9" si="0">SUMIF($AF$2:$AF$554,AH2,$AB$2:$AB$554)+SUMIF($AF$2:$AF$554,AH2,$AC$2:$AC$554)</f>
        <v>0</v>
      </c>
      <c r="AJ2" s="45">
        <f t="shared" ref="AJ2:AJ9" si="1">SUMIF($AF$2:$AF$554,AH2,$AD$2:$AD$554)+SUMIF($AF$2:$AF$554,AH2,$AE$2:$AE$554)</f>
        <v>0</v>
      </c>
    </row>
    <row r="3" spans="1:36" ht="11.25" customHeight="1" x14ac:dyDescent="0.25">
      <c r="A3" s="4" t="s">
        <v>21</v>
      </c>
      <c r="B3" s="4" t="s">
        <v>35</v>
      </c>
      <c r="C3" s="4" t="s">
        <v>48</v>
      </c>
      <c r="D3" s="4" t="s">
        <v>46</v>
      </c>
      <c r="E3" s="4" t="s">
        <v>47</v>
      </c>
      <c r="F3" s="4" t="s">
        <v>25</v>
      </c>
      <c r="G3" s="4" t="s">
        <v>25</v>
      </c>
      <c r="H3" s="4" t="s">
        <v>38</v>
      </c>
      <c r="I3" s="5">
        <v>44470</v>
      </c>
      <c r="J3" s="6">
        <v>503</v>
      </c>
      <c r="K3" s="62">
        <v>503</v>
      </c>
      <c r="L3" s="6">
        <v>232.422</v>
      </c>
      <c r="M3" s="61">
        <v>232.422</v>
      </c>
      <c r="N3" s="6">
        <v>232.422</v>
      </c>
      <c r="O3" s="61">
        <v>232.422</v>
      </c>
      <c r="P3" s="6">
        <v>0</v>
      </c>
      <c r="Q3" s="4" t="s">
        <v>26</v>
      </c>
      <c r="R3" s="4">
        <v>0</v>
      </c>
      <c r="S3" s="4">
        <v>12</v>
      </c>
      <c r="T3" s="4">
        <v>1</v>
      </c>
      <c r="U3" s="4">
        <v>51</v>
      </c>
      <c r="V3" s="61">
        <f>IF(ISERROR(VLOOKUP($S$3,'TAR FIN'!$A$1:$O$85,15,0)),0,VLOOKUP($S$3,'TAR FIN'!$A$1:$O$85,15,0))*(1-0.06)</f>
        <v>24.1204</v>
      </c>
      <c r="W3" s="61">
        <f>IF(ISERROR(VLOOKUP($T$3,'TAR FIN'!$A$1:$O$85,15,0)),0,VLOOKUP($T$3,'TAR FIN'!$A$1:$O$85,15,0))*(1-0.06)</f>
        <v>62.246799999999993</v>
      </c>
      <c r="X3" s="61">
        <f>IF(ISERROR(VLOOKUP($U$3,'TAR FIN'!$A$1:$O$85,15,0)),0,VLOOKUP($U$3,'TAR FIN'!$A$1:$O$85,15,0))*(1-0.06)</f>
        <v>132.84079999999997</v>
      </c>
      <c r="Y3" s="61">
        <f ca="1">('TUSD BE'!$AM$6+'TUSD BF'!$AM$6+'TUSD CVA'!$AM$6)*1*(1-0.03)</f>
        <v>24.433920211791385</v>
      </c>
      <c r="Z3" s="61">
        <f ca="1">('TUSD BE'!$AM$7+'TUSD BF'!$AM$7+'TUSD CVA'!$AM$7)*1*(1-0.03)</f>
        <v>96.85231722220351</v>
      </c>
      <c r="AA3" s="61">
        <f>('TE BE'!$AB$6+'TE BF'!$AB$6+'TE CVA'!$AB$6)*1*(1-0.03)</f>
        <v>131.73207366460716</v>
      </c>
      <c r="AB3" s="61">
        <f>(SUBSIDIO!$J$3*SUBSIDIO!$V$3)*(0.06)/(1-0.06)</f>
        <v>774.41880000000003</v>
      </c>
      <c r="AC3" s="61">
        <f>((SUBSIDIO!$L$3*SUBSIDIO!$W$3)+(SUBSIDIO!$N$3*SUBSIDIO!$X$3))*(0.06)/(1-0.06)</f>
        <v>2894.2117127999991</v>
      </c>
      <c r="AD3" s="61">
        <f ca="1">(SUBSIDIO!$J$3*SUBSIDIO!$Y$3)*(0.03)/(1-0.03)</f>
        <v>380.11119174838353</v>
      </c>
      <c r="AE3" s="61">
        <f ca="1">((SUBSIDIO!$L$3*SUBSIDIO!$Z$3)+(SUBSIDIO!$N$3*SUBSIDIO!$AA$3))*(0.03)/(1-0.03)</f>
        <v>1643.1352978977623</v>
      </c>
      <c r="AF3" s="4" t="s">
        <v>588</v>
      </c>
      <c r="AH3" s="44" t="s">
        <v>589</v>
      </c>
      <c r="AI3" s="45">
        <f t="shared" si="0"/>
        <v>16848.315000000002</v>
      </c>
      <c r="AJ3" s="45">
        <f t="shared" ca="1" si="1"/>
        <v>17050.837447486396</v>
      </c>
    </row>
    <row r="4" spans="1:36" ht="11.25" customHeight="1" x14ac:dyDescent="0.25">
      <c r="A4" s="4" t="s">
        <v>21</v>
      </c>
      <c r="B4" s="4" t="s">
        <v>35</v>
      </c>
      <c r="C4" s="4" t="s">
        <v>48</v>
      </c>
      <c r="D4" s="4" t="s">
        <v>46</v>
      </c>
      <c r="E4" s="4" t="s">
        <v>47</v>
      </c>
      <c r="F4" s="4" t="s">
        <v>25</v>
      </c>
      <c r="G4" s="4" t="s">
        <v>25</v>
      </c>
      <c r="H4" s="4" t="s">
        <v>38</v>
      </c>
      <c r="I4" s="5">
        <v>44501</v>
      </c>
      <c r="J4" s="6">
        <v>485</v>
      </c>
      <c r="K4" s="62">
        <v>485</v>
      </c>
      <c r="L4" s="6">
        <v>199.46799999999999</v>
      </c>
      <c r="M4" s="61">
        <v>199.46799999999999</v>
      </c>
      <c r="N4" s="6">
        <v>199.46799999999999</v>
      </c>
      <c r="O4" s="61">
        <v>199.46799999999999</v>
      </c>
      <c r="P4" s="6">
        <v>0</v>
      </c>
      <c r="Q4" s="4" t="s">
        <v>26</v>
      </c>
      <c r="R4" s="4">
        <v>0</v>
      </c>
      <c r="S4" s="4">
        <v>12</v>
      </c>
      <c r="T4" s="4">
        <v>1</v>
      </c>
      <c r="U4" s="4">
        <v>51</v>
      </c>
      <c r="V4" s="61">
        <f>IF(ISERROR(VLOOKUP($S$4,'TAR FIN'!$A$1:$O$85,15,0)),0,VLOOKUP($S$4,'TAR FIN'!$A$1:$O$85,15,0))*(1-0.06)</f>
        <v>24.1204</v>
      </c>
      <c r="W4" s="61">
        <f>IF(ISERROR(VLOOKUP($T$4,'TAR FIN'!$A$1:$O$85,15,0)),0,VLOOKUP($T$4,'TAR FIN'!$A$1:$O$85,15,0))*(1-0.06)</f>
        <v>62.246799999999993</v>
      </c>
      <c r="X4" s="61">
        <f>IF(ISERROR(VLOOKUP($U$4,'TAR FIN'!$A$1:$O$85,15,0)),0,VLOOKUP($U$4,'TAR FIN'!$A$1:$O$85,15,0))*(1-0.06)</f>
        <v>132.84079999999997</v>
      </c>
      <c r="Y4" s="61">
        <f ca="1">('TUSD BE'!$AM$6+'TUSD BF'!$AM$6+'TUSD CVA'!$AM$6)*1*(1-0.03)</f>
        <v>24.433920211791385</v>
      </c>
      <c r="Z4" s="61">
        <f ca="1">('TUSD BE'!$AM$7+'TUSD BF'!$AM$7+'TUSD CVA'!$AM$7)*1*(1-0.03)</f>
        <v>96.85231722220351</v>
      </c>
      <c r="AA4" s="61">
        <f>('TE BE'!$AB$6+'TE BF'!$AB$6+'TE CVA'!$AB$6)*1*(1-0.03)</f>
        <v>131.73207366460716</v>
      </c>
      <c r="AB4" s="61">
        <f>(SUBSIDIO!$J$4*SUBSIDIO!$V$4)*(0.06)/(1-0.06)</f>
        <v>746.70600000000002</v>
      </c>
      <c r="AC4" s="61">
        <f>((SUBSIDIO!$L$4*SUBSIDIO!$W$4)+(SUBSIDIO!$N$4*SUBSIDIO!$X$4))*(0.06)/(1-0.06)</f>
        <v>2483.8553231999995</v>
      </c>
      <c r="AD4" s="61">
        <f ca="1">(SUBSIDIO!$J$4*SUBSIDIO!$Y$4)*(0.03)/(1-0.03)</f>
        <v>366.5088031768708</v>
      </c>
      <c r="AE4" s="61">
        <f ca="1">((SUBSIDIO!$L$4*SUBSIDIO!$Z$4)+(SUBSIDIO!$N$4*SUBSIDIO!$AA$4))*(0.03)/(1-0.03)</f>
        <v>1410.1630293219694</v>
      </c>
      <c r="AF4" s="4" t="s">
        <v>588</v>
      </c>
      <c r="AH4" s="44" t="s">
        <v>596</v>
      </c>
      <c r="AI4" s="45">
        <f t="shared" si="0"/>
        <v>0</v>
      </c>
      <c r="AJ4" s="45">
        <f t="shared" si="1"/>
        <v>0</v>
      </c>
    </row>
    <row r="5" spans="1:36" ht="11.25" customHeight="1" x14ac:dyDescent="0.25">
      <c r="A5" s="4" t="s">
        <v>21</v>
      </c>
      <c r="B5" s="4" t="s">
        <v>35</v>
      </c>
      <c r="C5" s="4" t="s">
        <v>48</v>
      </c>
      <c r="D5" s="4" t="s">
        <v>46</v>
      </c>
      <c r="E5" s="4" t="s">
        <v>47</v>
      </c>
      <c r="F5" s="4" t="s">
        <v>25</v>
      </c>
      <c r="G5" s="4" t="s">
        <v>25</v>
      </c>
      <c r="H5" s="4" t="s">
        <v>38</v>
      </c>
      <c r="I5" s="5">
        <v>44531</v>
      </c>
      <c r="J5" s="6">
        <v>473</v>
      </c>
      <c r="K5" s="62">
        <v>473</v>
      </c>
      <c r="L5" s="6">
        <v>209.739</v>
      </c>
      <c r="M5" s="61">
        <v>209.739</v>
      </c>
      <c r="N5" s="6">
        <v>209.739</v>
      </c>
      <c r="O5" s="61">
        <v>209.739</v>
      </c>
      <c r="P5" s="6">
        <v>0</v>
      </c>
      <c r="Q5" s="4" t="s">
        <v>26</v>
      </c>
      <c r="R5" s="4">
        <v>0</v>
      </c>
      <c r="S5" s="4">
        <v>12</v>
      </c>
      <c r="T5" s="4">
        <v>1</v>
      </c>
      <c r="U5" s="4">
        <v>51</v>
      </c>
      <c r="V5" s="61">
        <f>IF(ISERROR(VLOOKUP($S$5,'TAR FIN'!$A$1:$O$85,15,0)),0,VLOOKUP($S$5,'TAR FIN'!$A$1:$O$85,15,0))*(1-0.06)</f>
        <v>24.1204</v>
      </c>
      <c r="W5" s="61">
        <f>IF(ISERROR(VLOOKUP($T$5,'TAR FIN'!$A$1:$O$85,15,0)),0,VLOOKUP($T$5,'TAR FIN'!$A$1:$O$85,15,0))*(1-0.06)</f>
        <v>62.246799999999993</v>
      </c>
      <c r="X5" s="61">
        <f>IF(ISERROR(VLOOKUP($U$5,'TAR FIN'!$A$1:$O$85,15,0)),0,VLOOKUP($U$5,'TAR FIN'!$A$1:$O$85,15,0))*(1-0.06)</f>
        <v>132.84079999999997</v>
      </c>
      <c r="Y5" s="61">
        <f ca="1">('TUSD BE'!$AM$6+'TUSD BF'!$AM$6+'TUSD CVA'!$AM$6)*1*(1-0.03)</f>
        <v>24.433920211791385</v>
      </c>
      <c r="Z5" s="61">
        <f ca="1">('TUSD BE'!$AM$7+'TUSD BF'!$AM$7+'TUSD CVA'!$AM$7)*1*(1-0.03)</f>
        <v>96.85231722220351</v>
      </c>
      <c r="AA5" s="61">
        <f>('TE BE'!$AB$6+'TE BF'!$AB$6+'TE CVA'!$AB$6)*1*(1-0.03)</f>
        <v>131.73207366460716</v>
      </c>
      <c r="AB5" s="61">
        <f>(SUBSIDIO!$J$5*SUBSIDIO!$V$5)*(0.06)/(1-0.06)</f>
        <v>728.23080000000004</v>
      </c>
      <c r="AC5" s="61">
        <f>((SUBSIDIO!$L$5*SUBSIDIO!$W$5)+(SUBSIDIO!$N$5*SUBSIDIO!$X$5))*(0.06)/(1-0.06)</f>
        <v>2611.7539235999998</v>
      </c>
      <c r="AD5" s="61">
        <f ca="1">(SUBSIDIO!$J$5*SUBSIDIO!$Y$5)*(0.03)/(1-0.03)</f>
        <v>357.44054412919564</v>
      </c>
      <c r="AE5" s="61">
        <f ca="1">((SUBSIDIO!$L$5*SUBSIDIO!$Z$5)+(SUBSIDIO!$N$5*SUBSIDIO!$AA$5))*(0.03)/(1-0.03)</f>
        <v>1482.7750998002716</v>
      </c>
      <c r="AF5" s="4" t="s">
        <v>588</v>
      </c>
      <c r="AH5" s="44" t="s">
        <v>588</v>
      </c>
      <c r="AI5" s="45">
        <f t="shared" si="0"/>
        <v>98447.693810999976</v>
      </c>
      <c r="AJ5" s="45">
        <f t="shared" ca="1" si="1"/>
        <v>52164.675222395053</v>
      </c>
    </row>
    <row r="6" spans="1:36" ht="11.25" customHeight="1" x14ac:dyDescent="0.25">
      <c r="A6" s="4" t="s">
        <v>21</v>
      </c>
      <c r="B6" s="4" t="s">
        <v>35</v>
      </c>
      <c r="C6" s="4" t="s">
        <v>48</v>
      </c>
      <c r="D6" s="4" t="s">
        <v>46</v>
      </c>
      <c r="E6" s="4" t="s">
        <v>47</v>
      </c>
      <c r="F6" s="4" t="s">
        <v>25</v>
      </c>
      <c r="G6" s="4" t="s">
        <v>25</v>
      </c>
      <c r="H6" s="4" t="s">
        <v>38</v>
      </c>
      <c r="I6" s="5">
        <v>44562</v>
      </c>
      <c r="J6" s="6">
        <v>476</v>
      </c>
      <c r="K6" s="62">
        <v>476</v>
      </c>
      <c r="L6" s="6">
        <v>186.745</v>
      </c>
      <c r="M6" s="61">
        <v>186.745</v>
      </c>
      <c r="N6" s="6">
        <v>186.745</v>
      </c>
      <c r="O6" s="61">
        <v>186.745</v>
      </c>
      <c r="P6" s="6">
        <v>0</v>
      </c>
      <c r="Q6" s="4" t="s">
        <v>26</v>
      </c>
      <c r="R6" s="4">
        <v>0</v>
      </c>
      <c r="S6" s="4">
        <v>12</v>
      </c>
      <c r="T6" s="4">
        <v>1</v>
      </c>
      <c r="U6" s="4">
        <v>51</v>
      </c>
      <c r="V6" s="61">
        <f>IF(ISERROR(VLOOKUP($S$6,'TAR FIN'!$A$1:$O$85,15,0)),0,VLOOKUP($S$6,'TAR FIN'!$A$1:$O$85,15,0))*(1-0.06)</f>
        <v>24.1204</v>
      </c>
      <c r="W6" s="61">
        <f>IF(ISERROR(VLOOKUP($T$6,'TAR FIN'!$A$1:$O$85,15,0)),0,VLOOKUP($T$6,'TAR FIN'!$A$1:$O$85,15,0))*(1-0.06)</f>
        <v>62.246799999999993</v>
      </c>
      <c r="X6" s="61">
        <f>IF(ISERROR(VLOOKUP($U$6,'TAR FIN'!$A$1:$O$85,15,0)),0,VLOOKUP($U$6,'TAR FIN'!$A$1:$O$85,15,0))*(1-0.06)</f>
        <v>132.84079999999997</v>
      </c>
      <c r="Y6" s="61">
        <f ca="1">('TUSD BE'!$AM$6+'TUSD BF'!$AM$6+'TUSD CVA'!$AM$6)*1*(1-0.03)</f>
        <v>24.433920211791385</v>
      </c>
      <c r="Z6" s="61">
        <f ca="1">('TUSD BE'!$AM$7+'TUSD BF'!$AM$7+'TUSD CVA'!$AM$7)*1*(1-0.03)</f>
        <v>96.85231722220351</v>
      </c>
      <c r="AA6" s="61">
        <f>('TE BE'!$AB$6+'TE BF'!$AB$6+'TE CVA'!$AB$6)*1*(1-0.03)</f>
        <v>131.73207366460716</v>
      </c>
      <c r="AB6" s="61">
        <f>(SUBSIDIO!$J$6*SUBSIDIO!$V$6)*(0.06)/(1-0.06)</f>
        <v>732.84960000000001</v>
      </c>
      <c r="AC6" s="61">
        <f>((SUBSIDIO!$L$6*SUBSIDIO!$W$6)+(SUBSIDIO!$N$6*SUBSIDIO!$X$6))*(0.06)/(1-0.06)</f>
        <v>2325.4234379999998</v>
      </c>
      <c r="AD6" s="61">
        <f ca="1">(SUBSIDIO!$J$6*SUBSIDIO!$Y$6)*(0.03)/(1-0.03)</f>
        <v>359.70760889111443</v>
      </c>
      <c r="AE6" s="61">
        <f ca="1">((SUBSIDIO!$L$6*SUBSIDIO!$Z$6)+(SUBSIDIO!$N$6*SUBSIDIO!$AA$6))*(0.03)/(1-0.03)</f>
        <v>1320.2162497780657</v>
      </c>
      <c r="AF6" s="4" t="s">
        <v>588</v>
      </c>
      <c r="AH6" s="44" t="s">
        <v>590</v>
      </c>
      <c r="AI6" s="45">
        <f t="shared" si="0"/>
        <v>2494129.6317399973</v>
      </c>
      <c r="AJ6" s="45">
        <f t="shared" ca="1" si="1"/>
        <v>1326709.0770214924</v>
      </c>
    </row>
    <row r="7" spans="1:36" ht="11.25" customHeight="1" x14ac:dyDescent="0.25">
      <c r="A7" s="4" t="s">
        <v>21</v>
      </c>
      <c r="B7" s="4" t="s">
        <v>35</v>
      </c>
      <c r="C7" s="4" t="s">
        <v>48</v>
      </c>
      <c r="D7" s="4" t="s">
        <v>46</v>
      </c>
      <c r="E7" s="4" t="s">
        <v>47</v>
      </c>
      <c r="F7" s="4" t="s">
        <v>25</v>
      </c>
      <c r="G7" s="4" t="s">
        <v>25</v>
      </c>
      <c r="H7" s="4" t="s">
        <v>38</v>
      </c>
      <c r="I7" s="5">
        <v>44593</v>
      </c>
      <c r="J7" s="6">
        <v>473</v>
      </c>
      <c r="K7" s="62">
        <v>473</v>
      </c>
      <c r="L7" s="6">
        <v>175.04400000000001</v>
      </c>
      <c r="M7" s="61">
        <v>175.04400000000001</v>
      </c>
      <c r="N7" s="6">
        <v>175.04400000000001</v>
      </c>
      <c r="O7" s="61">
        <v>175.04400000000001</v>
      </c>
      <c r="P7" s="6">
        <v>0</v>
      </c>
      <c r="Q7" s="4" t="s">
        <v>26</v>
      </c>
      <c r="R7" s="4">
        <v>0</v>
      </c>
      <c r="S7" s="4">
        <v>12</v>
      </c>
      <c r="T7" s="4">
        <v>1</v>
      </c>
      <c r="U7" s="4">
        <v>51</v>
      </c>
      <c r="V7" s="61">
        <f>IF(ISERROR(VLOOKUP($S$7,'TAR FIN'!$A$1:$O$85,15,0)),0,VLOOKUP($S$7,'TAR FIN'!$A$1:$O$85,15,0))*(1-0.06)</f>
        <v>24.1204</v>
      </c>
      <c r="W7" s="61">
        <f>IF(ISERROR(VLOOKUP($T$7,'TAR FIN'!$A$1:$O$85,15,0)),0,VLOOKUP($T$7,'TAR FIN'!$A$1:$O$85,15,0))*(1-0.06)</f>
        <v>62.246799999999993</v>
      </c>
      <c r="X7" s="61">
        <f>IF(ISERROR(VLOOKUP($U$7,'TAR FIN'!$A$1:$O$85,15,0)),0,VLOOKUP($U$7,'TAR FIN'!$A$1:$O$85,15,0))*(1-0.06)</f>
        <v>132.84079999999997</v>
      </c>
      <c r="Y7" s="61">
        <f ca="1">('TUSD BE'!$AM$6+'TUSD BF'!$AM$6+'TUSD CVA'!$AM$6)*1*(1-0.03)</f>
        <v>24.433920211791385</v>
      </c>
      <c r="Z7" s="61">
        <f ca="1">('TUSD BE'!$AM$7+'TUSD BF'!$AM$7+'TUSD CVA'!$AM$7)*1*(1-0.03)</f>
        <v>96.85231722220351</v>
      </c>
      <c r="AA7" s="61">
        <f>('TE BE'!$AB$6+'TE BF'!$AB$6+'TE CVA'!$AB$6)*1*(1-0.03)</f>
        <v>131.73207366460716</v>
      </c>
      <c r="AB7" s="61">
        <f>(SUBSIDIO!$J$7*SUBSIDIO!$V$7)*(0.06)/(1-0.06)</f>
        <v>728.23080000000004</v>
      </c>
      <c r="AC7" s="61">
        <f>((SUBSIDIO!$L$7*SUBSIDIO!$W$7)+(SUBSIDIO!$N$7*SUBSIDIO!$X$7))*(0.06)/(1-0.06)</f>
        <v>2179.7179055999995</v>
      </c>
      <c r="AD7" s="61">
        <f ca="1">(SUBSIDIO!$J$7*SUBSIDIO!$Y$7)*(0.03)/(1-0.03)</f>
        <v>357.44054412919564</v>
      </c>
      <c r="AE7" s="61">
        <f ca="1">((SUBSIDIO!$L$7*SUBSIDIO!$Z$7)+(SUBSIDIO!$N$7*SUBSIDIO!$AA$7))*(0.03)/(1-0.03)</f>
        <v>1237.494622218275</v>
      </c>
      <c r="AF7" s="4" t="s">
        <v>588</v>
      </c>
      <c r="AH7" s="44" t="s">
        <v>592</v>
      </c>
      <c r="AI7" s="45">
        <f t="shared" si="0"/>
        <v>55048.053053999982</v>
      </c>
      <c r="AJ7" s="45">
        <f t="shared" ca="1" si="1"/>
        <v>56399.514202222475</v>
      </c>
    </row>
    <row r="8" spans="1:36" ht="11.25" customHeight="1" x14ac:dyDescent="0.25">
      <c r="A8" s="4" t="s">
        <v>21</v>
      </c>
      <c r="B8" s="4" t="s">
        <v>35</v>
      </c>
      <c r="C8" s="4" t="s">
        <v>48</v>
      </c>
      <c r="D8" s="4" t="s">
        <v>46</v>
      </c>
      <c r="E8" s="4" t="s">
        <v>47</v>
      </c>
      <c r="F8" s="4" t="s">
        <v>25</v>
      </c>
      <c r="G8" s="4" t="s">
        <v>25</v>
      </c>
      <c r="H8" s="4" t="s">
        <v>38</v>
      </c>
      <c r="I8" s="5">
        <v>44621</v>
      </c>
      <c r="J8" s="6">
        <v>476</v>
      </c>
      <c r="K8" s="62">
        <v>476</v>
      </c>
      <c r="L8" s="6">
        <v>190.74100000000001</v>
      </c>
      <c r="M8" s="61">
        <v>190.74100000000001</v>
      </c>
      <c r="N8" s="6">
        <v>190.74100000000001</v>
      </c>
      <c r="O8" s="61">
        <v>190.74100000000001</v>
      </c>
      <c r="P8" s="6">
        <v>0</v>
      </c>
      <c r="Q8" s="4" t="s">
        <v>26</v>
      </c>
      <c r="R8" s="4">
        <v>0</v>
      </c>
      <c r="S8" s="4">
        <v>12</v>
      </c>
      <c r="T8" s="4">
        <v>1</v>
      </c>
      <c r="U8" s="4">
        <v>51</v>
      </c>
      <c r="V8" s="61">
        <f>IF(ISERROR(VLOOKUP($S$8,'TAR FIN'!$A$1:$O$85,15,0)),0,VLOOKUP($S$8,'TAR FIN'!$A$1:$O$85,15,0))*(1-0.06)</f>
        <v>24.1204</v>
      </c>
      <c r="W8" s="61">
        <f>IF(ISERROR(VLOOKUP($T$8,'TAR FIN'!$A$1:$O$85,15,0)),0,VLOOKUP($T$8,'TAR FIN'!$A$1:$O$85,15,0))*(1-0.06)</f>
        <v>62.246799999999993</v>
      </c>
      <c r="X8" s="61">
        <f>IF(ISERROR(VLOOKUP($U$8,'TAR FIN'!$A$1:$O$85,15,0)),0,VLOOKUP($U$8,'TAR FIN'!$A$1:$O$85,15,0))*(1-0.06)</f>
        <v>132.84079999999997</v>
      </c>
      <c r="Y8" s="61">
        <f ca="1">('TUSD BE'!$AM$6+'TUSD BF'!$AM$6+'TUSD CVA'!$AM$6)*1*(1-0.03)</f>
        <v>24.433920211791385</v>
      </c>
      <c r="Z8" s="61">
        <f ca="1">('TUSD BE'!$AM$7+'TUSD BF'!$AM$7+'TUSD CVA'!$AM$7)*1*(1-0.03)</f>
        <v>96.85231722220351</v>
      </c>
      <c r="AA8" s="61">
        <f>('TE BE'!$AB$6+'TE BF'!$AB$6+'TE CVA'!$AB$6)*1*(1-0.03)</f>
        <v>131.73207366460716</v>
      </c>
      <c r="AB8" s="61">
        <f>(SUBSIDIO!$J$8*SUBSIDIO!$V$8)*(0.06)/(1-0.06)</f>
        <v>732.84960000000001</v>
      </c>
      <c r="AC8" s="61">
        <f>((SUBSIDIO!$L$8*SUBSIDIO!$W$8)+(SUBSIDIO!$N$8*SUBSIDIO!$X$8))*(0.06)/(1-0.06)</f>
        <v>2375.1832283999997</v>
      </c>
      <c r="AD8" s="61">
        <f ca="1">(SUBSIDIO!$J$8*SUBSIDIO!$Y$8)*(0.03)/(1-0.03)</f>
        <v>359.70760889111443</v>
      </c>
      <c r="AE8" s="61">
        <f ca="1">((SUBSIDIO!$L$8*SUBSIDIO!$Z$8)+(SUBSIDIO!$N$8*SUBSIDIO!$AA$8))*(0.03)/(1-0.03)</f>
        <v>1348.4664526435411</v>
      </c>
      <c r="AF8" s="4" t="s">
        <v>588</v>
      </c>
      <c r="AH8" s="44" t="s">
        <v>591</v>
      </c>
      <c r="AI8" s="45">
        <f t="shared" si="0"/>
        <v>22626.906358999993</v>
      </c>
      <c r="AJ8" s="45">
        <f t="shared" ca="1" si="1"/>
        <v>22273.564120683382</v>
      </c>
    </row>
    <row r="9" spans="1:36" ht="11.25" customHeight="1" x14ac:dyDescent="0.25">
      <c r="A9" s="4" t="s">
        <v>21</v>
      </c>
      <c r="B9" s="4" t="s">
        <v>35</v>
      </c>
      <c r="C9" s="4" t="s">
        <v>48</v>
      </c>
      <c r="D9" s="4" t="s">
        <v>46</v>
      </c>
      <c r="E9" s="4" t="s">
        <v>47</v>
      </c>
      <c r="F9" s="4" t="s">
        <v>25</v>
      </c>
      <c r="G9" s="4" t="s">
        <v>25</v>
      </c>
      <c r="H9" s="4" t="s">
        <v>38</v>
      </c>
      <c r="I9" s="5">
        <v>44652</v>
      </c>
      <c r="J9" s="6">
        <v>482</v>
      </c>
      <c r="K9" s="62">
        <v>482</v>
      </c>
      <c r="L9" s="6">
        <v>194.71899999999999</v>
      </c>
      <c r="M9" s="61">
        <v>194.71899999999999</v>
      </c>
      <c r="N9" s="6">
        <v>194.71899999999999</v>
      </c>
      <c r="O9" s="61">
        <v>194.71899999999999</v>
      </c>
      <c r="P9" s="6">
        <v>0</v>
      </c>
      <c r="Q9" s="4" t="s">
        <v>26</v>
      </c>
      <c r="R9" s="4">
        <v>0</v>
      </c>
      <c r="S9" s="4">
        <v>12</v>
      </c>
      <c r="T9" s="4">
        <v>1</v>
      </c>
      <c r="U9" s="4">
        <v>51</v>
      </c>
      <c r="V9" s="61">
        <f>IF(ISERROR(VLOOKUP($S$9,'TAR FIN'!$A$1:$O$85,15,0)),0,VLOOKUP($S$9,'TAR FIN'!$A$1:$O$85,15,0))*(1-0.06)</f>
        <v>24.1204</v>
      </c>
      <c r="W9" s="61">
        <f>IF(ISERROR(VLOOKUP($T$9,'TAR FIN'!$A$1:$O$85,15,0)),0,VLOOKUP($T$9,'TAR FIN'!$A$1:$O$85,15,0))*(1-0.06)</f>
        <v>62.246799999999993</v>
      </c>
      <c r="X9" s="61">
        <f>IF(ISERROR(VLOOKUP($U$9,'TAR FIN'!$A$1:$O$85,15,0)),0,VLOOKUP($U$9,'TAR FIN'!$A$1:$O$85,15,0))*(1-0.06)</f>
        <v>132.84079999999997</v>
      </c>
      <c r="Y9" s="61">
        <f ca="1">('TUSD BE'!$AM$6+'TUSD BF'!$AM$6+'TUSD CVA'!$AM$6)*1*(1-0.03)</f>
        <v>24.433920211791385</v>
      </c>
      <c r="Z9" s="61">
        <f ca="1">('TUSD BE'!$AM$7+'TUSD BF'!$AM$7+'TUSD CVA'!$AM$7)*1*(1-0.03)</f>
        <v>96.85231722220351</v>
      </c>
      <c r="AA9" s="61">
        <f>('TE BE'!$AB$6+'TE BF'!$AB$6+'TE CVA'!$AB$6)*1*(1-0.03)</f>
        <v>131.73207366460716</v>
      </c>
      <c r="AB9" s="61">
        <f>(SUBSIDIO!$J$9*SUBSIDIO!$V$9)*(0.06)/(1-0.06)</f>
        <v>742.08720000000005</v>
      </c>
      <c r="AC9" s="61">
        <f>((SUBSIDIO!$L$9*SUBSIDIO!$W$9)+(SUBSIDIO!$N$9*SUBSIDIO!$X$9))*(0.06)/(1-0.06)</f>
        <v>2424.7188755999996</v>
      </c>
      <c r="AD9" s="61">
        <f ca="1">(SUBSIDIO!$J$9*SUBSIDIO!$Y$9)*(0.03)/(1-0.03)</f>
        <v>364.24173841495195</v>
      </c>
      <c r="AE9" s="61">
        <f ca="1">((SUBSIDIO!$L$9*SUBSIDIO!$Z$9)+(SUBSIDIO!$N$9*SUBSIDIO!$AA$9))*(0.03)/(1-0.03)</f>
        <v>1376.5894023429551</v>
      </c>
      <c r="AF9" s="4" t="s">
        <v>588</v>
      </c>
      <c r="AH9" s="44" t="s">
        <v>597</v>
      </c>
      <c r="AI9" s="45">
        <f t="shared" si="0"/>
        <v>0</v>
      </c>
      <c r="AJ9" s="45">
        <f t="shared" si="1"/>
        <v>0</v>
      </c>
    </row>
    <row r="10" spans="1:36" ht="11.25" customHeight="1" x14ac:dyDescent="0.25">
      <c r="A10" s="4" t="s">
        <v>21</v>
      </c>
      <c r="B10" s="4" t="s">
        <v>35</v>
      </c>
      <c r="C10" s="4" t="s">
        <v>48</v>
      </c>
      <c r="D10" s="4" t="s">
        <v>46</v>
      </c>
      <c r="E10" s="4" t="s">
        <v>47</v>
      </c>
      <c r="F10" s="4" t="s">
        <v>25</v>
      </c>
      <c r="G10" s="4" t="s">
        <v>25</v>
      </c>
      <c r="H10" s="4" t="s">
        <v>38</v>
      </c>
      <c r="I10" s="5">
        <v>44682</v>
      </c>
      <c r="J10" s="6">
        <v>485</v>
      </c>
      <c r="K10" s="62">
        <v>485</v>
      </c>
      <c r="L10" s="6">
        <v>242.363</v>
      </c>
      <c r="M10" s="61">
        <v>242.363</v>
      </c>
      <c r="N10" s="6">
        <v>242.363</v>
      </c>
      <c r="O10" s="61">
        <v>242.363</v>
      </c>
      <c r="P10" s="6">
        <v>0</v>
      </c>
      <c r="Q10" s="4" t="s">
        <v>26</v>
      </c>
      <c r="R10" s="4">
        <v>0</v>
      </c>
      <c r="S10" s="4">
        <v>12</v>
      </c>
      <c r="T10" s="4">
        <v>1</v>
      </c>
      <c r="U10" s="4">
        <v>51</v>
      </c>
      <c r="V10" s="61">
        <f>IF(ISERROR(VLOOKUP($S$10,'TAR FIN'!$A$1:$O$85,15,0)),0,VLOOKUP($S$10,'TAR FIN'!$A$1:$O$85,15,0))*(1-0.06)</f>
        <v>24.1204</v>
      </c>
      <c r="W10" s="61">
        <f>IF(ISERROR(VLOOKUP($T$10,'TAR FIN'!$A$1:$O$85,15,0)),0,VLOOKUP($T$10,'TAR FIN'!$A$1:$O$85,15,0))*(1-0.06)</f>
        <v>62.246799999999993</v>
      </c>
      <c r="X10" s="61">
        <f>IF(ISERROR(VLOOKUP($U$10,'TAR FIN'!$A$1:$O$85,15,0)),0,VLOOKUP($U$10,'TAR FIN'!$A$1:$O$85,15,0))*(1-0.06)</f>
        <v>132.84079999999997</v>
      </c>
      <c r="Y10" s="61">
        <f ca="1">('TUSD BE'!$AM$6+'TUSD BF'!$AM$6+'TUSD CVA'!$AM$6)*1*(1-0.03)</f>
        <v>24.433920211791385</v>
      </c>
      <c r="Z10" s="61">
        <f ca="1">('TUSD BE'!$AM$7+'TUSD BF'!$AM$7+'TUSD CVA'!$AM$7)*1*(1-0.03)</f>
        <v>96.85231722220351</v>
      </c>
      <c r="AA10" s="61">
        <f>('TE BE'!$AB$6+'TE BF'!$AB$6+'TE CVA'!$AB$6)*1*(1-0.03)</f>
        <v>131.73207366460716</v>
      </c>
      <c r="AB10" s="61">
        <f>(SUBSIDIO!$J$10*SUBSIDIO!$V$10)*(0.06)/(1-0.06)</f>
        <v>746.70600000000002</v>
      </c>
      <c r="AC10" s="61">
        <f>((SUBSIDIO!$L$10*SUBSIDIO!$W$10)+(SUBSIDIO!$N$10*SUBSIDIO!$X$10))*(0.06)/(1-0.06)</f>
        <v>3018.0010211999993</v>
      </c>
      <c r="AD10" s="61">
        <f ca="1">(SUBSIDIO!$J$10*SUBSIDIO!$Y$10)*(0.03)/(1-0.03)</f>
        <v>366.5088031768708</v>
      </c>
      <c r="AE10" s="61">
        <f ca="1">((SUBSIDIO!$L$10*SUBSIDIO!$Z$10)+(SUBSIDIO!$N$10*SUBSIDIO!$AA$10))*(0.03)/(1-0.03)</f>
        <v>1713.4143936649514</v>
      </c>
      <c r="AF10" s="4" t="s">
        <v>588</v>
      </c>
    </row>
    <row r="11" spans="1:36" ht="11.25" customHeight="1" x14ac:dyDescent="0.25">
      <c r="A11" s="4" t="s">
        <v>21</v>
      </c>
      <c r="B11" s="4" t="s">
        <v>35</v>
      </c>
      <c r="C11" s="4" t="s">
        <v>48</v>
      </c>
      <c r="D11" s="4" t="s">
        <v>46</v>
      </c>
      <c r="E11" s="4" t="s">
        <v>47</v>
      </c>
      <c r="F11" s="4" t="s">
        <v>25</v>
      </c>
      <c r="G11" s="4" t="s">
        <v>25</v>
      </c>
      <c r="H11" s="4" t="s">
        <v>38</v>
      </c>
      <c r="I11" s="5">
        <v>44713</v>
      </c>
      <c r="J11" s="6">
        <v>487</v>
      </c>
      <c r="K11" s="62">
        <v>487</v>
      </c>
      <c r="L11" s="6">
        <v>249.66399999999999</v>
      </c>
      <c r="M11" s="61">
        <v>249.66399999999999</v>
      </c>
      <c r="N11" s="6">
        <v>249.66399999999999</v>
      </c>
      <c r="O11" s="61">
        <v>249.66399999999999</v>
      </c>
      <c r="P11" s="6">
        <v>0</v>
      </c>
      <c r="Q11" s="4" t="s">
        <v>26</v>
      </c>
      <c r="R11" s="4">
        <v>0</v>
      </c>
      <c r="S11" s="4">
        <v>12</v>
      </c>
      <c r="T11" s="4">
        <v>1</v>
      </c>
      <c r="U11" s="4">
        <v>51</v>
      </c>
      <c r="V11" s="61">
        <f>IF(ISERROR(VLOOKUP($S$11,'TAR FIN'!$A$1:$O$85,15,0)),0,VLOOKUP($S$11,'TAR FIN'!$A$1:$O$85,15,0))*(1-0.06)</f>
        <v>24.1204</v>
      </c>
      <c r="W11" s="61">
        <f>IF(ISERROR(VLOOKUP($T$11,'TAR FIN'!$A$1:$O$85,15,0)),0,VLOOKUP($T$11,'TAR FIN'!$A$1:$O$85,15,0))*(1-0.06)</f>
        <v>62.246799999999993</v>
      </c>
      <c r="X11" s="61">
        <f>IF(ISERROR(VLOOKUP($U$11,'TAR FIN'!$A$1:$O$85,15,0)),0,VLOOKUP($U$11,'TAR FIN'!$A$1:$O$85,15,0))*(1-0.06)</f>
        <v>132.84079999999997</v>
      </c>
      <c r="Y11" s="61">
        <f ca="1">('TUSD BE'!$AM$6+'TUSD BF'!$AM$6+'TUSD CVA'!$AM$6)*1*(1-0.03)</f>
        <v>24.433920211791385</v>
      </c>
      <c r="Z11" s="61">
        <f ca="1">('TUSD BE'!$AM$7+'TUSD BF'!$AM$7+'TUSD CVA'!$AM$7)*1*(1-0.03)</f>
        <v>96.85231722220351</v>
      </c>
      <c r="AA11" s="61">
        <f>('TE BE'!$AB$6+'TE BF'!$AB$6+'TE CVA'!$AB$6)*1*(1-0.03)</f>
        <v>131.73207366460716</v>
      </c>
      <c r="AB11" s="61">
        <f>(SUBSIDIO!$J$11*SUBSIDIO!$V$11)*(0.06)/(1-0.06)</f>
        <v>749.78520000000003</v>
      </c>
      <c r="AC11" s="61">
        <f>((SUBSIDIO!$L$11*SUBSIDIO!$W$11)+(SUBSIDIO!$N$11*SUBSIDIO!$X$11))*(0.06)/(1-0.06)</f>
        <v>3108.9159935999987</v>
      </c>
      <c r="AD11" s="61">
        <f ca="1">(SUBSIDIO!$J$11*SUBSIDIO!$Y$11)*(0.03)/(1-0.03)</f>
        <v>368.02017968481658</v>
      </c>
      <c r="AE11" s="61">
        <f ca="1">((SUBSIDIO!$L$11*SUBSIDIO!$Z$11)+(SUBSIDIO!$N$11*SUBSIDIO!$AA$11))*(0.03)/(1-0.03)</f>
        <v>1765.0296917432381</v>
      </c>
      <c r="AF11" s="4" t="s">
        <v>588</v>
      </c>
    </row>
    <row r="12" spans="1:36" ht="11.25" customHeight="1" x14ac:dyDescent="0.25">
      <c r="A12" s="4" t="s">
        <v>21</v>
      </c>
      <c r="B12" s="4" t="s">
        <v>35</v>
      </c>
      <c r="C12" s="4" t="s">
        <v>48</v>
      </c>
      <c r="D12" s="4" t="s">
        <v>46</v>
      </c>
      <c r="E12" s="4" t="s">
        <v>47</v>
      </c>
      <c r="F12" s="4" t="s">
        <v>25</v>
      </c>
      <c r="G12" s="4" t="s">
        <v>25</v>
      </c>
      <c r="H12" s="4" t="s">
        <v>38</v>
      </c>
      <c r="I12" s="5">
        <v>44743</v>
      </c>
      <c r="J12" s="6">
        <v>483</v>
      </c>
      <c r="K12" s="62">
        <v>483</v>
      </c>
      <c r="L12" s="6">
        <v>241.64599999999999</v>
      </c>
      <c r="M12" s="61">
        <v>241.64599999999999</v>
      </c>
      <c r="N12" s="6">
        <v>241.64599999999999</v>
      </c>
      <c r="O12" s="61">
        <v>241.64599999999999</v>
      </c>
      <c r="P12" s="6">
        <v>0</v>
      </c>
      <c r="Q12" s="4" t="s">
        <v>26</v>
      </c>
      <c r="R12" s="4">
        <v>0</v>
      </c>
      <c r="S12" s="4">
        <v>12</v>
      </c>
      <c r="T12" s="4">
        <v>1</v>
      </c>
      <c r="U12" s="4">
        <v>51</v>
      </c>
      <c r="V12" s="61">
        <f>IF(ISERROR(VLOOKUP($S$12,'TAR FIN'!$A$1:$O$85,15,0)),0,VLOOKUP($S$12,'TAR FIN'!$A$1:$O$85,15,0))*(1-0.06)</f>
        <v>24.1204</v>
      </c>
      <c r="W12" s="61">
        <f>IF(ISERROR(VLOOKUP($T$12,'TAR FIN'!$A$1:$O$85,15,0)),0,VLOOKUP($T$12,'TAR FIN'!$A$1:$O$85,15,0))*(1-0.06)</f>
        <v>62.246799999999993</v>
      </c>
      <c r="X12" s="61">
        <f>IF(ISERROR(VLOOKUP($U$12,'TAR FIN'!$A$1:$O$85,15,0)),0,VLOOKUP($U$12,'TAR FIN'!$A$1:$O$85,15,0))*(1-0.06)</f>
        <v>132.84079999999997</v>
      </c>
      <c r="Y12" s="61">
        <f ca="1">('TUSD BE'!$AM$6+'TUSD BF'!$AM$6+'TUSD CVA'!$AM$6)*1*(1-0.03)</f>
        <v>24.433920211791385</v>
      </c>
      <c r="Z12" s="61">
        <f ca="1">('TUSD BE'!$AM$7+'TUSD BF'!$AM$7+'TUSD CVA'!$AM$7)*1*(1-0.03)</f>
        <v>96.85231722220351</v>
      </c>
      <c r="AA12" s="61">
        <f>('TE BE'!$AB$6+'TE BF'!$AB$6+'TE CVA'!$AB$6)*1*(1-0.03)</f>
        <v>131.73207366460716</v>
      </c>
      <c r="AB12" s="61">
        <f>(SUBSIDIO!$J$12*SUBSIDIO!$V$12)*(0.06)/(1-0.06)</f>
        <v>743.6268</v>
      </c>
      <c r="AC12" s="61">
        <f>((SUBSIDIO!$L$12*SUBSIDIO!$W$12)+(SUBSIDIO!$N$12*SUBSIDIO!$X$12))*(0.06)/(1-0.06)</f>
        <v>3009.0726503999995</v>
      </c>
      <c r="AD12" s="61">
        <f ca="1">(SUBSIDIO!$J$12*SUBSIDIO!$Y$12)*(0.03)/(1-0.03)</f>
        <v>364.99742666892496</v>
      </c>
      <c r="AE12" s="61">
        <f ca="1">((SUBSIDIO!$L$12*SUBSIDIO!$Z$12)+(SUBSIDIO!$N$12*SUBSIDIO!$AA$12))*(0.03)/(1-0.03)</f>
        <v>1708.3454758835337</v>
      </c>
      <c r="AF12" s="4" t="s">
        <v>588</v>
      </c>
    </row>
    <row r="13" spans="1:36" ht="11.25" customHeight="1" x14ac:dyDescent="0.25">
      <c r="A13" s="4" t="s">
        <v>21</v>
      </c>
      <c r="B13" s="4" t="s">
        <v>35</v>
      </c>
      <c r="C13" s="4" t="s">
        <v>48</v>
      </c>
      <c r="D13" s="4" t="s">
        <v>46</v>
      </c>
      <c r="E13" s="4" t="s">
        <v>47</v>
      </c>
      <c r="F13" s="4" t="s">
        <v>25</v>
      </c>
      <c r="G13" s="4" t="s">
        <v>25</v>
      </c>
      <c r="H13" s="4" t="s">
        <v>38</v>
      </c>
      <c r="I13" s="5">
        <v>44774</v>
      </c>
      <c r="J13" s="6">
        <v>490</v>
      </c>
      <c r="K13" s="62">
        <v>490</v>
      </c>
      <c r="L13" s="6">
        <v>204.32599999999999</v>
      </c>
      <c r="M13" s="61">
        <v>204.32599999999999</v>
      </c>
      <c r="N13" s="6">
        <v>204.32599999999999</v>
      </c>
      <c r="O13" s="61">
        <v>204.32599999999999</v>
      </c>
      <c r="P13" s="6">
        <v>0</v>
      </c>
      <c r="Q13" s="4" t="s">
        <v>26</v>
      </c>
      <c r="R13" s="4">
        <v>0</v>
      </c>
      <c r="S13" s="4">
        <v>12</v>
      </c>
      <c r="T13" s="4">
        <v>1</v>
      </c>
      <c r="U13" s="4">
        <v>51</v>
      </c>
      <c r="V13" s="61">
        <f>IF(ISERROR(VLOOKUP($S$13,'TAR FIN'!$A$1:$O$85,15,0)),0,VLOOKUP($S$13,'TAR FIN'!$A$1:$O$85,15,0))*(1-0.06)</f>
        <v>24.1204</v>
      </c>
      <c r="W13" s="61">
        <f>IF(ISERROR(VLOOKUP($T$13,'TAR FIN'!$A$1:$O$85,15,0)),0,VLOOKUP($T$13,'TAR FIN'!$A$1:$O$85,15,0))*(1-0.06)</f>
        <v>62.246799999999993</v>
      </c>
      <c r="X13" s="61">
        <f>IF(ISERROR(VLOOKUP($U$13,'TAR FIN'!$A$1:$O$85,15,0)),0,VLOOKUP($U$13,'TAR FIN'!$A$1:$O$85,15,0))*(1-0.06)</f>
        <v>132.84079999999997</v>
      </c>
      <c r="Y13" s="61">
        <f ca="1">('TUSD BE'!$AM$6+'TUSD BF'!$AM$6+'TUSD CVA'!$AM$6)*1*(1-0.03)</f>
        <v>24.433920211791385</v>
      </c>
      <c r="Z13" s="61">
        <f ca="1">('TUSD BE'!$AM$7+'TUSD BF'!$AM$7+'TUSD CVA'!$AM$7)*1*(1-0.03)</f>
        <v>96.85231722220351</v>
      </c>
      <c r="AA13" s="61">
        <f>('TE BE'!$AB$6+'TE BF'!$AB$6+'TE CVA'!$AB$6)*1*(1-0.03)</f>
        <v>131.73207366460716</v>
      </c>
      <c r="AB13" s="61">
        <f>(SUBSIDIO!$J$13*SUBSIDIO!$V$13)*(0.06)/(1-0.06)</f>
        <v>754.404</v>
      </c>
      <c r="AC13" s="61">
        <f>((SUBSIDIO!$L$13*SUBSIDIO!$W$13)+(SUBSIDIO!$N$13*SUBSIDIO!$X$13))*(0.06)/(1-0.06)</f>
        <v>2544.3490823999996</v>
      </c>
      <c r="AD13" s="61">
        <f ca="1">(SUBSIDIO!$J$13*SUBSIDIO!$Y$13)*(0.03)/(1-0.03)</f>
        <v>370.28724444673543</v>
      </c>
      <c r="AE13" s="61">
        <f ca="1">((SUBSIDIO!$L$13*SUBSIDIO!$Z$13)+(SUBSIDIO!$N$13*SUBSIDIO!$AA$13))*(0.03)/(1-0.03)</f>
        <v>1444.5072449176846</v>
      </c>
      <c r="AF13" s="4" t="s">
        <v>588</v>
      </c>
    </row>
    <row r="14" spans="1:36" ht="11.25" customHeight="1" x14ac:dyDescent="0.25">
      <c r="A14" s="4" t="s">
        <v>21</v>
      </c>
      <c r="B14" s="4" t="s">
        <v>35</v>
      </c>
      <c r="C14" s="4" t="s">
        <v>48</v>
      </c>
      <c r="D14" s="4" t="s">
        <v>46</v>
      </c>
      <c r="E14" s="4" t="s">
        <v>47</v>
      </c>
      <c r="F14" s="4" t="s">
        <v>25</v>
      </c>
      <c r="G14" s="4" t="s">
        <v>25</v>
      </c>
      <c r="H14" s="4" t="s">
        <v>37</v>
      </c>
      <c r="I14" s="5">
        <v>44440</v>
      </c>
      <c r="J14" s="6">
        <v>492</v>
      </c>
      <c r="K14" s="62">
        <v>492</v>
      </c>
      <c r="L14" s="6">
        <v>24.686</v>
      </c>
      <c r="M14" s="61">
        <v>24.686</v>
      </c>
      <c r="N14" s="6">
        <v>24.686</v>
      </c>
      <c r="O14" s="61">
        <v>24.686</v>
      </c>
      <c r="P14" s="6">
        <v>0</v>
      </c>
      <c r="Q14" s="4" t="s">
        <v>26</v>
      </c>
      <c r="R14" s="4">
        <v>0</v>
      </c>
      <c r="S14" s="4">
        <v>10</v>
      </c>
      <c r="T14" s="4">
        <v>1</v>
      </c>
      <c r="U14" s="4">
        <v>44</v>
      </c>
      <c r="V14" s="61">
        <f>IF(ISERROR(VLOOKUP($S$14,'TAR FIN'!$A$1:$O$85,15,0)),0,VLOOKUP($S$14,'TAR FIN'!$A$1:$O$85,15,0))*(1-0.06)</f>
        <v>72.5398</v>
      </c>
      <c r="W14" s="61">
        <f>IF(ISERROR(VLOOKUP($T$14,'TAR FIN'!$A$1:$O$85,15,0)),0,VLOOKUP($T$14,'TAR FIN'!$A$1:$O$85,15,0))*(1-0.06)</f>
        <v>62.246799999999993</v>
      </c>
      <c r="X14" s="61">
        <f>IF(ISERROR(VLOOKUP($U$14,'TAR FIN'!$A$1:$O$85,15,0)),0,VLOOKUP($U$14,'TAR FIN'!$A$1:$O$85,15,0))*(1-0.06)</f>
        <v>132.84079999999997</v>
      </c>
      <c r="Y14" s="61">
        <f ca="1">('TUSD BE'!$AM$5+'TUSD BF'!$AM$5+'TUSD CVA'!$AM$5)*1*(1-0.03)</f>
        <v>73.871448621015489</v>
      </c>
      <c r="Z14" s="61">
        <f ca="1">('TUSD BE'!$AM$7+'TUSD BF'!$AM$7+'TUSD CVA'!$AM$7)*1*(1-0.03)</f>
        <v>96.85231722220351</v>
      </c>
      <c r="AA14" s="61">
        <f>('TE BE'!$AB$5+'TE BF'!$AB$5+'TE CVA'!$AB$5)*1*(1-0.03)</f>
        <v>131.73207366460716</v>
      </c>
      <c r="AB14" s="61">
        <f>(SUBSIDIO!$J$14*SUBSIDIO!$V$14)*(0.06)/(1-0.06)</f>
        <v>2278.0583999999999</v>
      </c>
      <c r="AC14" s="61">
        <f>((SUBSIDIO!$L$14*SUBSIDIO!$W$14)+(SUBSIDIO!$N$14*SUBSIDIO!$X$14))*(0.06)/(1-0.06)</f>
        <v>307.39994639999998</v>
      </c>
      <c r="AD14" s="61">
        <f ca="1">(SUBSIDIO!$J$14*SUBSIDIO!$Y$14)*(0.03)/(1-0.03)</f>
        <v>1124.0645171610192</v>
      </c>
      <c r="AE14" s="61">
        <f ca="1">((SUBSIDIO!$L$14*SUBSIDIO!$Z$14)+(SUBSIDIO!$N$14*SUBSIDIO!$AA$14))*(0.03)/(1-0.03)</f>
        <v>174.5206476319116</v>
      </c>
      <c r="AF14" s="4" t="s">
        <v>588</v>
      </c>
    </row>
    <row r="15" spans="1:36" ht="11.25" customHeight="1" x14ac:dyDescent="0.25">
      <c r="A15" s="4" t="s">
        <v>21</v>
      </c>
      <c r="B15" s="4" t="s">
        <v>35</v>
      </c>
      <c r="C15" s="4" t="s">
        <v>48</v>
      </c>
      <c r="D15" s="4" t="s">
        <v>46</v>
      </c>
      <c r="E15" s="4" t="s">
        <v>47</v>
      </c>
      <c r="F15" s="4" t="s">
        <v>25</v>
      </c>
      <c r="G15" s="4" t="s">
        <v>25</v>
      </c>
      <c r="H15" s="4" t="s">
        <v>37</v>
      </c>
      <c r="I15" s="5">
        <v>44470</v>
      </c>
      <c r="J15" s="6">
        <v>503</v>
      </c>
      <c r="K15" s="62">
        <v>503</v>
      </c>
      <c r="L15" s="6">
        <v>22.405000000000001</v>
      </c>
      <c r="M15" s="61">
        <v>22.405000000000001</v>
      </c>
      <c r="N15" s="6">
        <v>22.405000000000001</v>
      </c>
      <c r="O15" s="61">
        <v>22.405000000000001</v>
      </c>
      <c r="P15" s="6">
        <v>0</v>
      </c>
      <c r="Q15" s="4" t="s">
        <v>26</v>
      </c>
      <c r="R15" s="4">
        <v>0</v>
      </c>
      <c r="S15" s="4">
        <v>10</v>
      </c>
      <c r="T15" s="4">
        <v>1</v>
      </c>
      <c r="U15" s="4">
        <v>44</v>
      </c>
      <c r="V15" s="61">
        <f>IF(ISERROR(VLOOKUP($S$15,'TAR FIN'!$A$1:$O$85,15,0)),0,VLOOKUP($S$15,'TAR FIN'!$A$1:$O$85,15,0))*(1-0.06)</f>
        <v>72.5398</v>
      </c>
      <c r="W15" s="61">
        <f>IF(ISERROR(VLOOKUP($T$15,'TAR FIN'!$A$1:$O$85,15,0)),0,VLOOKUP($T$15,'TAR FIN'!$A$1:$O$85,15,0))*(1-0.06)</f>
        <v>62.246799999999993</v>
      </c>
      <c r="X15" s="61">
        <f>IF(ISERROR(VLOOKUP($U$15,'TAR FIN'!$A$1:$O$85,15,0)),0,VLOOKUP($U$15,'TAR FIN'!$A$1:$O$85,15,0))*(1-0.06)</f>
        <v>132.84079999999997</v>
      </c>
      <c r="Y15" s="61">
        <f ca="1">('TUSD BE'!$AM$5+'TUSD BF'!$AM$5+'TUSD CVA'!$AM$5)*1*(1-0.03)</f>
        <v>73.871448621015489</v>
      </c>
      <c r="Z15" s="61">
        <f ca="1">('TUSD BE'!$AM$7+'TUSD BF'!$AM$7+'TUSD CVA'!$AM$7)*1*(1-0.03)</f>
        <v>96.85231722220351</v>
      </c>
      <c r="AA15" s="61">
        <f>('TE BE'!$AB$5+'TE BF'!$AB$5+'TE CVA'!$AB$5)*1*(1-0.03)</f>
        <v>131.73207366460716</v>
      </c>
      <c r="AB15" s="61">
        <f>(SUBSIDIO!$J$15*SUBSIDIO!$V$15)*(0.06)/(1-0.06)</f>
        <v>2328.9906000000001</v>
      </c>
      <c r="AC15" s="61">
        <f>((SUBSIDIO!$L$15*SUBSIDIO!$W$15)+(SUBSIDIO!$N$15*SUBSIDIO!$X$15))*(0.06)/(1-0.06)</f>
        <v>278.99602199999998</v>
      </c>
      <c r="AD15" s="61">
        <f ca="1">(SUBSIDIO!$J$15*SUBSIDIO!$Y$15)*(0.03)/(1-0.03)</f>
        <v>1149.1960409186843</v>
      </c>
      <c r="AE15" s="61">
        <f ca="1">((SUBSIDIO!$L$15*SUBSIDIO!$Z$15)+(SUBSIDIO!$N$15*SUBSIDIO!$AA$15))*(0.03)/(1-0.03)</f>
        <v>158.39484364388636</v>
      </c>
      <c r="AF15" s="4" t="s">
        <v>588</v>
      </c>
    </row>
    <row r="16" spans="1:36" ht="11.25" customHeight="1" x14ac:dyDescent="0.25">
      <c r="A16" s="4" t="s">
        <v>21</v>
      </c>
      <c r="B16" s="4" t="s">
        <v>35</v>
      </c>
      <c r="C16" s="4" t="s">
        <v>48</v>
      </c>
      <c r="D16" s="4" t="s">
        <v>46</v>
      </c>
      <c r="E16" s="4" t="s">
        <v>47</v>
      </c>
      <c r="F16" s="4" t="s">
        <v>25</v>
      </c>
      <c r="G16" s="4" t="s">
        <v>25</v>
      </c>
      <c r="H16" s="4" t="s">
        <v>37</v>
      </c>
      <c r="I16" s="5">
        <v>44501</v>
      </c>
      <c r="J16" s="6">
        <v>485</v>
      </c>
      <c r="K16" s="62">
        <v>485</v>
      </c>
      <c r="L16" s="6">
        <v>18.599</v>
      </c>
      <c r="M16" s="61">
        <v>18.599</v>
      </c>
      <c r="N16" s="6">
        <v>18.599</v>
      </c>
      <c r="O16" s="61">
        <v>18.599</v>
      </c>
      <c r="P16" s="6">
        <v>0</v>
      </c>
      <c r="Q16" s="4" t="s">
        <v>26</v>
      </c>
      <c r="R16" s="4">
        <v>0</v>
      </c>
      <c r="S16" s="4">
        <v>10</v>
      </c>
      <c r="T16" s="4">
        <v>1</v>
      </c>
      <c r="U16" s="4">
        <v>44</v>
      </c>
      <c r="V16" s="61">
        <f>IF(ISERROR(VLOOKUP($S$16,'TAR FIN'!$A$1:$O$85,15,0)),0,VLOOKUP($S$16,'TAR FIN'!$A$1:$O$85,15,0))*(1-0.06)</f>
        <v>72.5398</v>
      </c>
      <c r="W16" s="61">
        <f>IF(ISERROR(VLOOKUP($T$16,'TAR FIN'!$A$1:$O$85,15,0)),0,VLOOKUP($T$16,'TAR FIN'!$A$1:$O$85,15,0))*(1-0.06)</f>
        <v>62.246799999999993</v>
      </c>
      <c r="X16" s="61">
        <f>IF(ISERROR(VLOOKUP($U$16,'TAR FIN'!$A$1:$O$85,15,0)),0,VLOOKUP($U$16,'TAR FIN'!$A$1:$O$85,15,0))*(1-0.06)</f>
        <v>132.84079999999997</v>
      </c>
      <c r="Y16" s="61">
        <f ca="1">('TUSD BE'!$AM$5+'TUSD BF'!$AM$5+'TUSD CVA'!$AM$5)*1*(1-0.03)</f>
        <v>73.871448621015489</v>
      </c>
      <c r="Z16" s="61">
        <f ca="1">('TUSD BE'!$AM$7+'TUSD BF'!$AM$7+'TUSD CVA'!$AM$7)*1*(1-0.03)</f>
        <v>96.85231722220351</v>
      </c>
      <c r="AA16" s="61">
        <f>('TE BE'!$AB$5+'TE BF'!$AB$5+'TE CVA'!$AB$5)*1*(1-0.03)</f>
        <v>131.73207366460716</v>
      </c>
      <c r="AB16" s="61">
        <f>(SUBSIDIO!$J$16*SUBSIDIO!$V$16)*(0.06)/(1-0.06)</f>
        <v>2245.6469999999999</v>
      </c>
      <c r="AC16" s="61">
        <f>((SUBSIDIO!$L$16*SUBSIDIO!$W$16)+(SUBSIDIO!$N$16*SUBSIDIO!$X$16))*(0.06)/(1-0.06)</f>
        <v>231.60218759999998</v>
      </c>
      <c r="AD16" s="61">
        <f ca="1">(SUBSIDIO!$J$16*SUBSIDIO!$Y$16)*(0.03)/(1-0.03)</f>
        <v>1108.0717293152322</v>
      </c>
      <c r="AE16" s="61">
        <f ca="1">((SUBSIDIO!$L$16*SUBSIDIO!$Z$16)+(SUBSIDIO!$N$16*SUBSIDIO!$AA$16))*(0.03)/(1-0.03)</f>
        <v>131.48786864238531</v>
      </c>
      <c r="AF16" s="4" t="s">
        <v>588</v>
      </c>
    </row>
    <row r="17" spans="1:32" ht="11.25" customHeight="1" x14ac:dyDescent="0.25">
      <c r="A17" s="4" t="s">
        <v>21</v>
      </c>
      <c r="B17" s="4" t="s">
        <v>35</v>
      </c>
      <c r="C17" s="4" t="s">
        <v>48</v>
      </c>
      <c r="D17" s="4" t="s">
        <v>46</v>
      </c>
      <c r="E17" s="4" t="s">
        <v>47</v>
      </c>
      <c r="F17" s="4" t="s">
        <v>25</v>
      </c>
      <c r="G17" s="4" t="s">
        <v>25</v>
      </c>
      <c r="H17" s="4" t="s">
        <v>37</v>
      </c>
      <c r="I17" s="5">
        <v>44531</v>
      </c>
      <c r="J17" s="6">
        <v>473</v>
      </c>
      <c r="K17" s="62">
        <v>473</v>
      </c>
      <c r="L17" s="6">
        <v>21.518000000000001</v>
      </c>
      <c r="M17" s="61">
        <v>21.518000000000001</v>
      </c>
      <c r="N17" s="6">
        <v>21.518000000000001</v>
      </c>
      <c r="O17" s="61">
        <v>21.518000000000001</v>
      </c>
      <c r="P17" s="6">
        <v>0</v>
      </c>
      <c r="Q17" s="4" t="s">
        <v>26</v>
      </c>
      <c r="R17" s="4">
        <v>0</v>
      </c>
      <c r="S17" s="4">
        <v>10</v>
      </c>
      <c r="T17" s="4">
        <v>1</v>
      </c>
      <c r="U17" s="4">
        <v>44</v>
      </c>
      <c r="V17" s="61">
        <f>IF(ISERROR(VLOOKUP($S$17,'TAR FIN'!$A$1:$O$85,15,0)),0,VLOOKUP($S$17,'TAR FIN'!$A$1:$O$85,15,0))*(1-0.06)</f>
        <v>72.5398</v>
      </c>
      <c r="W17" s="61">
        <f>IF(ISERROR(VLOOKUP($T$17,'TAR FIN'!$A$1:$O$85,15,0)),0,VLOOKUP($T$17,'TAR FIN'!$A$1:$O$85,15,0))*(1-0.06)</f>
        <v>62.246799999999993</v>
      </c>
      <c r="X17" s="61">
        <f>IF(ISERROR(VLOOKUP($U$17,'TAR FIN'!$A$1:$O$85,15,0)),0,VLOOKUP($U$17,'TAR FIN'!$A$1:$O$85,15,0))*(1-0.06)</f>
        <v>132.84079999999997</v>
      </c>
      <c r="Y17" s="61">
        <f ca="1">('TUSD BE'!$AM$5+'TUSD BF'!$AM$5+'TUSD CVA'!$AM$5)*1*(1-0.03)</f>
        <v>73.871448621015489</v>
      </c>
      <c r="Z17" s="61">
        <f ca="1">('TUSD BE'!$AM$7+'TUSD BF'!$AM$7+'TUSD CVA'!$AM$7)*1*(1-0.03)</f>
        <v>96.85231722220351</v>
      </c>
      <c r="AA17" s="61">
        <f>('TE BE'!$AB$5+'TE BF'!$AB$5+'TE CVA'!$AB$5)*1*(1-0.03)</f>
        <v>131.73207366460716</v>
      </c>
      <c r="AB17" s="61">
        <f>(SUBSIDIO!$J$17*SUBSIDIO!$V$17)*(0.06)/(1-0.06)</f>
        <v>2190.0846000000001</v>
      </c>
      <c r="AC17" s="61">
        <f>((SUBSIDIO!$L$17*SUBSIDIO!$W$17)+(SUBSIDIO!$N$17*SUBSIDIO!$X$17))*(0.06)/(1-0.06)</f>
        <v>267.95074319999998</v>
      </c>
      <c r="AD17" s="61">
        <f ca="1">(SUBSIDIO!$J$17*SUBSIDIO!$Y$17)*(0.03)/(1-0.03)</f>
        <v>1080.6555215795979</v>
      </c>
      <c r="AE17" s="61">
        <f ca="1">((SUBSIDIO!$L$17*SUBSIDIO!$Z$17)+(SUBSIDIO!$N$17*SUBSIDIO!$AA$17))*(0.03)/(1-0.03)</f>
        <v>152.12409040522863</v>
      </c>
      <c r="AF17" s="4" t="s">
        <v>588</v>
      </c>
    </row>
    <row r="18" spans="1:32" ht="11.25" customHeight="1" x14ac:dyDescent="0.25">
      <c r="A18" s="4" t="s">
        <v>21</v>
      </c>
      <c r="B18" s="4" t="s">
        <v>35</v>
      </c>
      <c r="C18" s="4" t="s">
        <v>48</v>
      </c>
      <c r="D18" s="4" t="s">
        <v>46</v>
      </c>
      <c r="E18" s="4" t="s">
        <v>47</v>
      </c>
      <c r="F18" s="4" t="s">
        <v>25</v>
      </c>
      <c r="G18" s="4" t="s">
        <v>25</v>
      </c>
      <c r="H18" s="4" t="s">
        <v>37</v>
      </c>
      <c r="I18" s="5">
        <v>44562</v>
      </c>
      <c r="J18" s="6">
        <v>473</v>
      </c>
      <c r="K18" s="62">
        <v>473</v>
      </c>
      <c r="L18" s="6">
        <v>17.815000000000001</v>
      </c>
      <c r="M18" s="61">
        <v>17.815000000000001</v>
      </c>
      <c r="N18" s="6">
        <v>17.815000000000001</v>
      </c>
      <c r="O18" s="61">
        <v>17.815000000000001</v>
      </c>
      <c r="P18" s="6">
        <v>0</v>
      </c>
      <c r="Q18" s="4" t="s">
        <v>26</v>
      </c>
      <c r="R18" s="4">
        <v>0</v>
      </c>
      <c r="S18" s="4">
        <v>10</v>
      </c>
      <c r="T18" s="4">
        <v>1</v>
      </c>
      <c r="U18" s="4">
        <v>44</v>
      </c>
      <c r="V18" s="61">
        <f>IF(ISERROR(VLOOKUP($S$18,'TAR FIN'!$A$1:$O$85,15,0)),0,VLOOKUP($S$18,'TAR FIN'!$A$1:$O$85,15,0))*(1-0.06)</f>
        <v>72.5398</v>
      </c>
      <c r="W18" s="61">
        <f>IF(ISERROR(VLOOKUP($T$18,'TAR FIN'!$A$1:$O$85,15,0)),0,VLOOKUP($T$18,'TAR FIN'!$A$1:$O$85,15,0))*(1-0.06)</f>
        <v>62.246799999999993</v>
      </c>
      <c r="X18" s="61">
        <f>IF(ISERROR(VLOOKUP($U$18,'TAR FIN'!$A$1:$O$85,15,0)),0,VLOOKUP($U$18,'TAR FIN'!$A$1:$O$85,15,0))*(1-0.06)</f>
        <v>132.84079999999997</v>
      </c>
      <c r="Y18" s="61">
        <f ca="1">('TUSD BE'!$AM$5+'TUSD BF'!$AM$5+'TUSD CVA'!$AM$5)*1*(1-0.03)</f>
        <v>73.871448621015489</v>
      </c>
      <c r="Z18" s="61">
        <f ca="1">('TUSD BE'!$AM$7+'TUSD BF'!$AM$7+'TUSD CVA'!$AM$7)*1*(1-0.03)</f>
        <v>96.85231722220351</v>
      </c>
      <c r="AA18" s="61">
        <f>('TE BE'!$AB$5+'TE BF'!$AB$5+'TE CVA'!$AB$5)*1*(1-0.03)</f>
        <v>131.73207366460716</v>
      </c>
      <c r="AB18" s="61">
        <f>(SUBSIDIO!$J$18*SUBSIDIO!$V$18)*(0.06)/(1-0.06)</f>
        <v>2190.0846000000001</v>
      </c>
      <c r="AC18" s="61">
        <f>((SUBSIDIO!$L$18*SUBSIDIO!$W$18)+(SUBSIDIO!$N$18*SUBSIDIO!$X$18))*(0.06)/(1-0.06)</f>
        <v>221.83950599999997</v>
      </c>
      <c r="AD18" s="61">
        <f ca="1">(SUBSIDIO!$J$18*SUBSIDIO!$Y$18)*(0.03)/(1-0.03)</f>
        <v>1080.6555215795979</v>
      </c>
      <c r="AE18" s="61">
        <f ca="1">((SUBSIDIO!$L$18*SUBSIDIO!$Z$18)+(SUBSIDIO!$N$18*SUBSIDIO!$AA$18))*(0.03)/(1-0.03)</f>
        <v>125.94528629840821</v>
      </c>
      <c r="AF18" s="4" t="s">
        <v>588</v>
      </c>
    </row>
    <row r="19" spans="1:32" ht="11.25" customHeight="1" x14ac:dyDescent="0.25">
      <c r="A19" s="4" t="s">
        <v>21</v>
      </c>
      <c r="B19" s="4" t="s">
        <v>35</v>
      </c>
      <c r="C19" s="4" t="s">
        <v>48</v>
      </c>
      <c r="D19" s="4" t="s">
        <v>46</v>
      </c>
      <c r="E19" s="4" t="s">
        <v>47</v>
      </c>
      <c r="F19" s="4" t="s">
        <v>25</v>
      </c>
      <c r="G19" s="4" t="s">
        <v>25</v>
      </c>
      <c r="H19" s="4" t="s">
        <v>37</v>
      </c>
      <c r="I19" s="5">
        <v>44593</v>
      </c>
      <c r="J19" s="6">
        <v>473</v>
      </c>
      <c r="K19" s="62">
        <v>473</v>
      </c>
      <c r="L19" s="6">
        <v>17.861999999999998</v>
      </c>
      <c r="M19" s="61">
        <v>17.861999999999998</v>
      </c>
      <c r="N19" s="6">
        <v>17.861999999999998</v>
      </c>
      <c r="O19" s="61">
        <v>17.861999999999998</v>
      </c>
      <c r="P19" s="6">
        <v>0</v>
      </c>
      <c r="Q19" s="4" t="s">
        <v>26</v>
      </c>
      <c r="R19" s="4">
        <v>0</v>
      </c>
      <c r="S19" s="4">
        <v>10</v>
      </c>
      <c r="T19" s="4">
        <v>1</v>
      </c>
      <c r="U19" s="4">
        <v>44</v>
      </c>
      <c r="V19" s="61">
        <f>IF(ISERROR(VLOOKUP($S$19,'TAR FIN'!$A$1:$O$85,15,0)),0,VLOOKUP($S$19,'TAR FIN'!$A$1:$O$85,15,0))*(1-0.06)</f>
        <v>72.5398</v>
      </c>
      <c r="W19" s="61">
        <f>IF(ISERROR(VLOOKUP($T$19,'TAR FIN'!$A$1:$O$85,15,0)),0,VLOOKUP($T$19,'TAR FIN'!$A$1:$O$85,15,0))*(1-0.06)</f>
        <v>62.246799999999993</v>
      </c>
      <c r="X19" s="61">
        <f>IF(ISERROR(VLOOKUP($U$19,'TAR FIN'!$A$1:$O$85,15,0)),0,VLOOKUP($U$19,'TAR FIN'!$A$1:$O$85,15,0))*(1-0.06)</f>
        <v>132.84079999999997</v>
      </c>
      <c r="Y19" s="61">
        <f ca="1">('TUSD BE'!$AM$5+'TUSD BF'!$AM$5+'TUSD CVA'!$AM$5)*1*(1-0.03)</f>
        <v>73.871448621015489</v>
      </c>
      <c r="Z19" s="61">
        <f ca="1">('TUSD BE'!$AM$7+'TUSD BF'!$AM$7+'TUSD CVA'!$AM$7)*1*(1-0.03)</f>
        <v>96.85231722220351</v>
      </c>
      <c r="AA19" s="61">
        <f>('TE BE'!$AB$5+'TE BF'!$AB$5+'TE CVA'!$AB$5)*1*(1-0.03)</f>
        <v>131.73207366460716</v>
      </c>
      <c r="AB19" s="61">
        <f>(SUBSIDIO!$J$19*SUBSIDIO!$V$19)*(0.06)/(1-0.06)</f>
        <v>2190.0846000000001</v>
      </c>
      <c r="AC19" s="61">
        <f>((SUBSIDIO!$L$19*SUBSIDIO!$W$19)+(SUBSIDIO!$N$19*SUBSIDIO!$X$19))*(0.06)/(1-0.06)</f>
        <v>222.42476879999992</v>
      </c>
      <c r="AD19" s="61">
        <f ca="1">(SUBSIDIO!$J$19*SUBSIDIO!$Y$19)*(0.03)/(1-0.03)</f>
        <v>1080.6555215795979</v>
      </c>
      <c r="AE19" s="61">
        <f ca="1">((SUBSIDIO!$L$19*SUBSIDIO!$Z$19)+(SUBSIDIO!$N$19*SUBSIDIO!$AA$19))*(0.03)/(1-0.03)</f>
        <v>126.27755845423336</v>
      </c>
      <c r="AF19" s="4" t="s">
        <v>588</v>
      </c>
    </row>
    <row r="20" spans="1:32" ht="11.25" customHeight="1" x14ac:dyDescent="0.25">
      <c r="A20" s="4" t="s">
        <v>21</v>
      </c>
      <c r="B20" s="4" t="s">
        <v>35</v>
      </c>
      <c r="C20" s="4" t="s">
        <v>48</v>
      </c>
      <c r="D20" s="4" t="s">
        <v>46</v>
      </c>
      <c r="E20" s="4" t="s">
        <v>47</v>
      </c>
      <c r="F20" s="4" t="s">
        <v>25</v>
      </c>
      <c r="G20" s="4" t="s">
        <v>25</v>
      </c>
      <c r="H20" s="4" t="s">
        <v>37</v>
      </c>
      <c r="I20" s="5">
        <v>44621</v>
      </c>
      <c r="J20" s="6">
        <v>473</v>
      </c>
      <c r="K20" s="62">
        <v>473</v>
      </c>
      <c r="L20" s="6">
        <v>18.792000000000002</v>
      </c>
      <c r="M20" s="61">
        <v>18.792000000000002</v>
      </c>
      <c r="N20" s="6">
        <v>18.792000000000002</v>
      </c>
      <c r="O20" s="61">
        <v>18.792000000000002</v>
      </c>
      <c r="P20" s="6">
        <v>0</v>
      </c>
      <c r="Q20" s="4" t="s">
        <v>26</v>
      </c>
      <c r="R20" s="4">
        <v>0</v>
      </c>
      <c r="S20" s="4">
        <v>10</v>
      </c>
      <c r="T20" s="4">
        <v>1</v>
      </c>
      <c r="U20" s="4">
        <v>44</v>
      </c>
      <c r="V20" s="61">
        <f>IF(ISERROR(VLOOKUP($S$20,'TAR FIN'!$A$1:$O$85,15,0)),0,VLOOKUP($S$20,'TAR FIN'!$A$1:$O$85,15,0))*(1-0.06)</f>
        <v>72.5398</v>
      </c>
      <c r="W20" s="61">
        <f>IF(ISERROR(VLOOKUP($T$20,'TAR FIN'!$A$1:$O$85,15,0)),0,VLOOKUP($T$20,'TAR FIN'!$A$1:$O$85,15,0))*(1-0.06)</f>
        <v>62.246799999999993</v>
      </c>
      <c r="X20" s="61">
        <f>IF(ISERROR(VLOOKUP($U$20,'TAR FIN'!$A$1:$O$85,15,0)),0,VLOOKUP($U$20,'TAR FIN'!$A$1:$O$85,15,0))*(1-0.06)</f>
        <v>132.84079999999997</v>
      </c>
      <c r="Y20" s="61">
        <f ca="1">('TUSD BE'!$AM$5+'TUSD BF'!$AM$5+'TUSD CVA'!$AM$5)*1*(1-0.03)</f>
        <v>73.871448621015489</v>
      </c>
      <c r="Z20" s="61">
        <f ca="1">('TUSD BE'!$AM$7+'TUSD BF'!$AM$7+'TUSD CVA'!$AM$7)*1*(1-0.03)</f>
        <v>96.85231722220351</v>
      </c>
      <c r="AA20" s="61">
        <f>('TE BE'!$AB$5+'TE BF'!$AB$5+'TE CVA'!$AB$5)*1*(1-0.03)</f>
        <v>131.73207366460716</v>
      </c>
      <c r="AB20" s="61">
        <f>(SUBSIDIO!$J$20*SUBSIDIO!$V$20)*(0.06)/(1-0.06)</f>
        <v>2190.0846000000001</v>
      </c>
      <c r="AC20" s="61">
        <f>((SUBSIDIO!$L$20*SUBSIDIO!$W$20)+(SUBSIDIO!$N$20*SUBSIDIO!$X$20))*(0.06)/(1-0.06)</f>
        <v>234.00550079999999</v>
      </c>
      <c r="AD20" s="61">
        <f ca="1">(SUBSIDIO!$J$20*SUBSIDIO!$Y$20)*(0.03)/(1-0.03)</f>
        <v>1080.6555215795979</v>
      </c>
      <c r="AE20" s="61">
        <f ca="1">((SUBSIDIO!$L$20*SUBSIDIO!$Z$20)+(SUBSIDIO!$N$20*SUBSIDIO!$AA$20))*(0.03)/(1-0.03)</f>
        <v>132.85230536736947</v>
      </c>
      <c r="AF20" s="4" t="s">
        <v>588</v>
      </c>
    </row>
    <row r="21" spans="1:32" ht="11.25" customHeight="1" x14ac:dyDescent="0.25">
      <c r="A21" s="4" t="s">
        <v>21</v>
      </c>
      <c r="B21" s="4" t="s">
        <v>35</v>
      </c>
      <c r="C21" s="4" t="s">
        <v>48</v>
      </c>
      <c r="D21" s="4" t="s">
        <v>46</v>
      </c>
      <c r="E21" s="4" t="s">
        <v>47</v>
      </c>
      <c r="F21" s="4" t="s">
        <v>25</v>
      </c>
      <c r="G21" s="4" t="s">
        <v>25</v>
      </c>
      <c r="H21" s="4" t="s">
        <v>37</v>
      </c>
      <c r="I21" s="5">
        <v>44652</v>
      </c>
      <c r="J21" s="6">
        <v>481</v>
      </c>
      <c r="K21" s="62">
        <v>481</v>
      </c>
      <c r="L21" s="6">
        <v>17.777000000000001</v>
      </c>
      <c r="M21" s="61">
        <v>17.777000000000001</v>
      </c>
      <c r="N21" s="6">
        <v>17.777000000000001</v>
      </c>
      <c r="O21" s="61">
        <v>17.777000000000001</v>
      </c>
      <c r="P21" s="6">
        <v>0</v>
      </c>
      <c r="Q21" s="4" t="s">
        <v>26</v>
      </c>
      <c r="R21" s="4">
        <v>0</v>
      </c>
      <c r="S21" s="4">
        <v>10</v>
      </c>
      <c r="T21" s="4">
        <v>1</v>
      </c>
      <c r="U21" s="4">
        <v>44</v>
      </c>
      <c r="V21" s="61">
        <f>IF(ISERROR(VLOOKUP($S$21,'TAR FIN'!$A$1:$O$85,15,0)),0,VLOOKUP($S$21,'TAR FIN'!$A$1:$O$85,15,0))*(1-0.06)</f>
        <v>72.5398</v>
      </c>
      <c r="W21" s="61">
        <f>IF(ISERROR(VLOOKUP($T$21,'TAR FIN'!$A$1:$O$85,15,0)),0,VLOOKUP($T$21,'TAR FIN'!$A$1:$O$85,15,0))*(1-0.06)</f>
        <v>62.246799999999993</v>
      </c>
      <c r="X21" s="61">
        <f>IF(ISERROR(VLOOKUP($U$21,'TAR FIN'!$A$1:$O$85,15,0)),0,VLOOKUP($U$21,'TAR FIN'!$A$1:$O$85,15,0))*(1-0.06)</f>
        <v>132.84079999999997</v>
      </c>
      <c r="Y21" s="61">
        <f ca="1">('TUSD BE'!$AM$5+'TUSD BF'!$AM$5+'TUSD CVA'!$AM$5)*1*(1-0.03)</f>
        <v>73.871448621015489</v>
      </c>
      <c r="Z21" s="61">
        <f ca="1">('TUSD BE'!$AM$7+'TUSD BF'!$AM$7+'TUSD CVA'!$AM$7)*1*(1-0.03)</f>
        <v>96.85231722220351</v>
      </c>
      <c r="AA21" s="61">
        <f>('TE BE'!$AB$5+'TE BF'!$AB$5+'TE CVA'!$AB$5)*1*(1-0.03)</f>
        <v>131.73207366460716</v>
      </c>
      <c r="AB21" s="61">
        <f>(SUBSIDIO!$J$21*SUBSIDIO!$V$21)*(0.06)/(1-0.06)</f>
        <v>2227.1262000000002</v>
      </c>
      <c r="AC21" s="61">
        <f>((SUBSIDIO!$L$21*SUBSIDIO!$W$21)+(SUBSIDIO!$N$21*SUBSIDIO!$X$21))*(0.06)/(1-0.06)</f>
        <v>221.36631479999997</v>
      </c>
      <c r="AD21" s="61">
        <f ca="1">(SUBSIDIO!$J$21*SUBSIDIO!$Y$21)*(0.03)/(1-0.03)</f>
        <v>1098.932993403354</v>
      </c>
      <c r="AE21" s="61">
        <f ca="1">((SUBSIDIO!$L$21*SUBSIDIO!$Z$21)+(SUBSIDIO!$N$21*SUBSIDIO!$AA$21))*(0.03)/(1-0.03)</f>
        <v>125.67664072561341</v>
      </c>
      <c r="AF21" s="4" t="s">
        <v>588</v>
      </c>
    </row>
    <row r="22" spans="1:32" ht="11.25" customHeight="1" x14ac:dyDescent="0.25">
      <c r="A22" s="4" t="s">
        <v>21</v>
      </c>
      <c r="B22" s="4" t="s">
        <v>35</v>
      </c>
      <c r="C22" s="4" t="s">
        <v>48</v>
      </c>
      <c r="D22" s="4" t="s">
        <v>46</v>
      </c>
      <c r="E22" s="4" t="s">
        <v>47</v>
      </c>
      <c r="F22" s="4" t="s">
        <v>25</v>
      </c>
      <c r="G22" s="4" t="s">
        <v>25</v>
      </c>
      <c r="H22" s="4" t="s">
        <v>37</v>
      </c>
      <c r="I22" s="5">
        <v>44682</v>
      </c>
      <c r="J22" s="6">
        <v>485</v>
      </c>
      <c r="K22" s="62">
        <v>485</v>
      </c>
      <c r="L22" s="6">
        <v>26.413</v>
      </c>
      <c r="M22" s="61">
        <v>26.413</v>
      </c>
      <c r="N22" s="6">
        <v>26.413</v>
      </c>
      <c r="O22" s="61">
        <v>26.413</v>
      </c>
      <c r="P22" s="6">
        <v>0</v>
      </c>
      <c r="Q22" s="4" t="s">
        <v>26</v>
      </c>
      <c r="R22" s="4">
        <v>0</v>
      </c>
      <c r="S22" s="4">
        <v>10</v>
      </c>
      <c r="T22" s="4">
        <v>1</v>
      </c>
      <c r="U22" s="4">
        <v>44</v>
      </c>
      <c r="V22" s="61">
        <f>IF(ISERROR(VLOOKUP($S$22,'TAR FIN'!$A$1:$O$85,15,0)),0,VLOOKUP($S$22,'TAR FIN'!$A$1:$O$85,15,0))*(1-0.06)</f>
        <v>72.5398</v>
      </c>
      <c r="W22" s="61">
        <f>IF(ISERROR(VLOOKUP($T$22,'TAR FIN'!$A$1:$O$85,15,0)),0,VLOOKUP($T$22,'TAR FIN'!$A$1:$O$85,15,0))*(1-0.06)</f>
        <v>62.246799999999993</v>
      </c>
      <c r="X22" s="61">
        <f>IF(ISERROR(VLOOKUP($U$22,'TAR FIN'!$A$1:$O$85,15,0)),0,VLOOKUP($U$22,'TAR FIN'!$A$1:$O$85,15,0))*(1-0.06)</f>
        <v>132.84079999999997</v>
      </c>
      <c r="Y22" s="61">
        <f ca="1">('TUSD BE'!$AM$5+'TUSD BF'!$AM$5+'TUSD CVA'!$AM$5)*1*(1-0.03)</f>
        <v>73.871448621015489</v>
      </c>
      <c r="Z22" s="61">
        <f ca="1">('TUSD BE'!$AM$7+'TUSD BF'!$AM$7+'TUSD CVA'!$AM$7)*1*(1-0.03)</f>
        <v>96.85231722220351</v>
      </c>
      <c r="AA22" s="61">
        <f>('TE BE'!$AB$5+'TE BF'!$AB$5+'TE CVA'!$AB$5)*1*(1-0.03)</f>
        <v>131.73207366460716</v>
      </c>
      <c r="AB22" s="61">
        <f>(SUBSIDIO!$J$22*SUBSIDIO!$V$22)*(0.06)/(1-0.06)</f>
        <v>2245.6469999999999</v>
      </c>
      <c r="AC22" s="61">
        <f>((SUBSIDIO!$L$22*SUBSIDIO!$W$22)+(SUBSIDIO!$N$22*SUBSIDIO!$X$22))*(0.06)/(1-0.06)</f>
        <v>328.90524119999992</v>
      </c>
      <c r="AD22" s="61">
        <f ca="1">(SUBSIDIO!$J$22*SUBSIDIO!$Y$22)*(0.03)/(1-0.03)</f>
        <v>1108.0717293152322</v>
      </c>
      <c r="AE22" s="61">
        <f ca="1">((SUBSIDIO!$L$22*SUBSIDIO!$Z$22)+(SUBSIDIO!$N$22*SUBSIDIO!$AA$22))*(0.03)/(1-0.03)</f>
        <v>186.72988195340196</v>
      </c>
      <c r="AF22" s="4" t="s">
        <v>588</v>
      </c>
    </row>
    <row r="23" spans="1:32" ht="11.25" customHeight="1" x14ac:dyDescent="0.25">
      <c r="A23" s="4" t="s">
        <v>21</v>
      </c>
      <c r="B23" s="4" t="s">
        <v>35</v>
      </c>
      <c r="C23" s="4" t="s">
        <v>48</v>
      </c>
      <c r="D23" s="4" t="s">
        <v>46</v>
      </c>
      <c r="E23" s="4" t="s">
        <v>47</v>
      </c>
      <c r="F23" s="4" t="s">
        <v>25</v>
      </c>
      <c r="G23" s="4" t="s">
        <v>25</v>
      </c>
      <c r="H23" s="4" t="s">
        <v>37</v>
      </c>
      <c r="I23" s="5">
        <v>44713</v>
      </c>
      <c r="J23" s="6">
        <v>483</v>
      </c>
      <c r="K23" s="62">
        <v>483</v>
      </c>
      <c r="L23" s="6">
        <v>27.216000000000001</v>
      </c>
      <c r="M23" s="61">
        <v>27.216000000000001</v>
      </c>
      <c r="N23" s="6">
        <v>27.216000000000001</v>
      </c>
      <c r="O23" s="61">
        <v>27.216000000000001</v>
      </c>
      <c r="P23" s="6">
        <v>0</v>
      </c>
      <c r="Q23" s="4" t="s">
        <v>26</v>
      </c>
      <c r="R23" s="4">
        <v>0</v>
      </c>
      <c r="S23" s="4">
        <v>10</v>
      </c>
      <c r="T23" s="4">
        <v>1</v>
      </c>
      <c r="U23" s="4">
        <v>44</v>
      </c>
      <c r="V23" s="61">
        <f>IF(ISERROR(VLOOKUP($S$23,'TAR FIN'!$A$1:$O$85,15,0)),0,VLOOKUP($S$23,'TAR FIN'!$A$1:$O$85,15,0))*(1-0.06)</f>
        <v>72.5398</v>
      </c>
      <c r="W23" s="61">
        <f>IF(ISERROR(VLOOKUP($T$23,'TAR FIN'!$A$1:$O$85,15,0)),0,VLOOKUP($T$23,'TAR FIN'!$A$1:$O$85,15,0))*(1-0.06)</f>
        <v>62.246799999999993</v>
      </c>
      <c r="X23" s="61">
        <f>IF(ISERROR(VLOOKUP($U$23,'TAR FIN'!$A$1:$O$85,15,0)),0,VLOOKUP($U$23,'TAR FIN'!$A$1:$O$85,15,0))*(1-0.06)</f>
        <v>132.84079999999997</v>
      </c>
      <c r="Y23" s="61">
        <f ca="1">('TUSD BE'!$AM$5+'TUSD BF'!$AM$5+'TUSD CVA'!$AM$5)*1*(1-0.03)</f>
        <v>73.871448621015489</v>
      </c>
      <c r="Z23" s="61">
        <f ca="1">('TUSD BE'!$AM$7+'TUSD BF'!$AM$7+'TUSD CVA'!$AM$7)*1*(1-0.03)</f>
        <v>96.85231722220351</v>
      </c>
      <c r="AA23" s="61">
        <f>('TE BE'!$AB$5+'TE BF'!$AB$5+'TE CVA'!$AB$5)*1*(1-0.03)</f>
        <v>131.73207366460716</v>
      </c>
      <c r="AB23" s="61">
        <f>(SUBSIDIO!$J$23*SUBSIDIO!$V$23)*(0.06)/(1-0.06)</f>
        <v>2236.3865999999998</v>
      </c>
      <c r="AC23" s="61">
        <f>((SUBSIDIO!$L$23*SUBSIDIO!$W$23)+(SUBSIDIO!$N$23*SUBSIDIO!$X$23))*(0.06)/(1-0.06)</f>
        <v>338.90451839999997</v>
      </c>
      <c r="AD23" s="61">
        <f ca="1">(SUBSIDIO!$J$23*SUBSIDIO!$Y$23)*(0.03)/(1-0.03)</f>
        <v>1103.5023613592932</v>
      </c>
      <c r="AE23" s="61">
        <f ca="1">((SUBSIDIO!$L$23*SUBSIDIO!$Z$23)+(SUBSIDIO!$N$23*SUBSIDIO!$AA$23))*(0.03)/(1-0.03)</f>
        <v>192.40678708377646</v>
      </c>
      <c r="AF23" s="4" t="s">
        <v>588</v>
      </c>
    </row>
    <row r="24" spans="1:32" ht="11.25" customHeight="1" x14ac:dyDescent="0.25">
      <c r="A24" s="4" t="s">
        <v>21</v>
      </c>
      <c r="B24" s="4" t="s">
        <v>35</v>
      </c>
      <c r="C24" s="4" t="s">
        <v>48</v>
      </c>
      <c r="D24" s="4" t="s">
        <v>46</v>
      </c>
      <c r="E24" s="4" t="s">
        <v>47</v>
      </c>
      <c r="F24" s="4" t="s">
        <v>25</v>
      </c>
      <c r="G24" s="4" t="s">
        <v>25</v>
      </c>
      <c r="H24" s="4" t="s">
        <v>37</v>
      </c>
      <c r="I24" s="5">
        <v>44743</v>
      </c>
      <c r="J24" s="6">
        <v>480</v>
      </c>
      <c r="K24" s="62">
        <v>480</v>
      </c>
      <c r="L24" s="6">
        <v>25.218</v>
      </c>
      <c r="M24" s="61">
        <v>25.218</v>
      </c>
      <c r="N24" s="6">
        <v>25.218</v>
      </c>
      <c r="O24" s="61">
        <v>25.218</v>
      </c>
      <c r="P24" s="6">
        <v>0</v>
      </c>
      <c r="Q24" s="4" t="s">
        <v>26</v>
      </c>
      <c r="R24" s="4">
        <v>0</v>
      </c>
      <c r="S24" s="4">
        <v>10</v>
      </c>
      <c r="T24" s="4">
        <v>1</v>
      </c>
      <c r="U24" s="4">
        <v>44</v>
      </c>
      <c r="V24" s="61">
        <f>IF(ISERROR(VLOOKUP($S$24,'TAR FIN'!$A$1:$O$85,15,0)),0,VLOOKUP($S$24,'TAR FIN'!$A$1:$O$85,15,0))*(1-0.06)</f>
        <v>72.5398</v>
      </c>
      <c r="W24" s="61">
        <f>IF(ISERROR(VLOOKUP($T$24,'TAR FIN'!$A$1:$O$85,15,0)),0,VLOOKUP($T$24,'TAR FIN'!$A$1:$O$85,15,0))*(1-0.06)</f>
        <v>62.246799999999993</v>
      </c>
      <c r="X24" s="61">
        <f>IF(ISERROR(VLOOKUP($U$24,'TAR FIN'!$A$1:$O$85,15,0)),0,VLOOKUP($U$24,'TAR FIN'!$A$1:$O$85,15,0))*(1-0.06)</f>
        <v>132.84079999999997</v>
      </c>
      <c r="Y24" s="61">
        <f ca="1">('TUSD BE'!$AM$5+'TUSD BF'!$AM$5+'TUSD CVA'!$AM$5)*1*(1-0.03)</f>
        <v>73.871448621015489</v>
      </c>
      <c r="Z24" s="61">
        <f ca="1">('TUSD BE'!$AM$7+'TUSD BF'!$AM$7+'TUSD CVA'!$AM$7)*1*(1-0.03)</f>
        <v>96.85231722220351</v>
      </c>
      <c r="AA24" s="61">
        <f>('TE BE'!$AB$5+'TE BF'!$AB$5+'TE CVA'!$AB$5)*1*(1-0.03)</f>
        <v>131.73207366460716</v>
      </c>
      <c r="AB24" s="61">
        <f>(SUBSIDIO!$J$24*SUBSIDIO!$V$24)*(0.06)/(1-0.06)</f>
        <v>2222.4960000000001</v>
      </c>
      <c r="AC24" s="61">
        <f>((SUBSIDIO!$L$24*SUBSIDIO!$W$24)+(SUBSIDIO!$N$24*SUBSIDIO!$X$24))*(0.06)/(1-0.06)</f>
        <v>314.02462319999995</v>
      </c>
      <c r="AD24" s="61">
        <f ca="1">(SUBSIDIO!$J$24*SUBSIDIO!$Y$24)*(0.03)/(1-0.03)</f>
        <v>1096.6483094253847</v>
      </c>
      <c r="AE24" s="61">
        <f ca="1">((SUBSIDIO!$L$24*SUBSIDIO!$Z$24)+(SUBSIDIO!$N$24*SUBSIDIO!$AA$24))*(0.03)/(1-0.03)</f>
        <v>178.28168565103891</v>
      </c>
      <c r="AF24" s="4" t="s">
        <v>588</v>
      </c>
    </row>
    <row r="25" spans="1:32" ht="11.25" customHeight="1" x14ac:dyDescent="0.25">
      <c r="A25" s="4" t="s">
        <v>21</v>
      </c>
      <c r="B25" s="4" t="s">
        <v>35</v>
      </c>
      <c r="C25" s="4" t="s">
        <v>48</v>
      </c>
      <c r="D25" s="4" t="s">
        <v>46</v>
      </c>
      <c r="E25" s="4" t="s">
        <v>47</v>
      </c>
      <c r="F25" s="4" t="s">
        <v>25</v>
      </c>
      <c r="G25" s="4" t="s">
        <v>25</v>
      </c>
      <c r="H25" s="4" t="s">
        <v>37</v>
      </c>
      <c r="I25" s="5">
        <v>44774</v>
      </c>
      <c r="J25" s="6">
        <v>510</v>
      </c>
      <c r="K25" s="62">
        <v>510</v>
      </c>
      <c r="L25" s="6">
        <v>23.26</v>
      </c>
      <c r="M25" s="61">
        <v>23.26</v>
      </c>
      <c r="N25" s="6">
        <v>23.26</v>
      </c>
      <c r="O25" s="61">
        <v>23.26</v>
      </c>
      <c r="P25" s="6">
        <v>0</v>
      </c>
      <c r="Q25" s="4" t="s">
        <v>26</v>
      </c>
      <c r="R25" s="4">
        <v>0</v>
      </c>
      <c r="S25" s="4">
        <v>10</v>
      </c>
      <c r="T25" s="4">
        <v>1</v>
      </c>
      <c r="U25" s="4">
        <v>44</v>
      </c>
      <c r="V25" s="61">
        <f>IF(ISERROR(VLOOKUP($S$25,'TAR FIN'!$A$1:$O$85,15,0)),0,VLOOKUP($S$25,'TAR FIN'!$A$1:$O$85,15,0))*(1-0.06)</f>
        <v>72.5398</v>
      </c>
      <c r="W25" s="61">
        <f>IF(ISERROR(VLOOKUP($T$25,'TAR FIN'!$A$1:$O$85,15,0)),0,VLOOKUP($T$25,'TAR FIN'!$A$1:$O$85,15,0))*(1-0.06)</f>
        <v>62.246799999999993</v>
      </c>
      <c r="X25" s="61">
        <f>IF(ISERROR(VLOOKUP($U$25,'TAR FIN'!$A$1:$O$85,15,0)),0,VLOOKUP($U$25,'TAR FIN'!$A$1:$O$85,15,0))*(1-0.06)</f>
        <v>132.84079999999997</v>
      </c>
      <c r="Y25" s="61">
        <f ca="1">('TUSD BE'!$AM$5+'TUSD BF'!$AM$5+'TUSD CVA'!$AM$5)*1*(1-0.03)</f>
        <v>73.871448621015489</v>
      </c>
      <c r="Z25" s="61">
        <f ca="1">('TUSD BE'!$AM$7+'TUSD BF'!$AM$7+'TUSD CVA'!$AM$7)*1*(1-0.03)</f>
        <v>96.85231722220351</v>
      </c>
      <c r="AA25" s="61">
        <f>('TE BE'!$AB$5+'TE BF'!$AB$5+'TE CVA'!$AB$5)*1*(1-0.03)</f>
        <v>131.73207366460716</v>
      </c>
      <c r="AB25" s="61">
        <f>(SUBSIDIO!$J$25*SUBSIDIO!$V$25)*(0.06)/(1-0.06)</f>
        <v>2361.4020000000005</v>
      </c>
      <c r="AC25" s="61">
        <f>((SUBSIDIO!$L$25*SUBSIDIO!$W$25)+(SUBSIDIO!$N$25*SUBSIDIO!$X$25))*(0.06)/(1-0.06)</f>
        <v>289.64282400000002</v>
      </c>
      <c r="AD25" s="61">
        <f ca="1">(SUBSIDIO!$J$25*SUBSIDIO!$Y$25)*(0.03)/(1-0.03)</f>
        <v>1165.1888287644711</v>
      </c>
      <c r="AE25" s="61">
        <f ca="1">((SUBSIDIO!$L$25*SUBSIDIO!$Z$25)+(SUBSIDIO!$N$25*SUBSIDIO!$AA$25))*(0.03)/(1-0.03)</f>
        <v>164.43936903176956</v>
      </c>
      <c r="AF25" s="4" t="s">
        <v>588</v>
      </c>
    </row>
    <row r="26" spans="1:32" ht="11.25" customHeight="1" x14ac:dyDescent="0.25">
      <c r="A26" s="4" t="s">
        <v>21</v>
      </c>
      <c r="B26" s="4" t="s">
        <v>35</v>
      </c>
      <c r="C26" s="4" t="s">
        <v>53</v>
      </c>
      <c r="D26" s="4" t="s">
        <v>25</v>
      </c>
      <c r="E26" s="4" t="s">
        <v>25</v>
      </c>
      <c r="F26" s="4" t="s">
        <v>25</v>
      </c>
      <c r="G26" s="4" t="s">
        <v>54</v>
      </c>
      <c r="H26" s="4" t="s">
        <v>25</v>
      </c>
      <c r="I26" s="5">
        <v>44440</v>
      </c>
      <c r="J26" s="6">
        <v>909</v>
      </c>
      <c r="K26" s="6">
        <v>909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4" t="s">
        <v>55</v>
      </c>
      <c r="R26" s="4">
        <v>35415</v>
      </c>
      <c r="S26" s="4">
        <v>7</v>
      </c>
      <c r="T26" s="4">
        <v>0</v>
      </c>
      <c r="U26" s="4">
        <v>0</v>
      </c>
      <c r="V26" s="6">
        <f>IF(ISERROR(VLOOKUP($S$26,'TAR FIN'!$A$1:$O$85,15,0)),0,VLOOKUP($S$26,'TAR FIN'!$A$1:$O$85,15,0))</f>
        <v>3.37</v>
      </c>
      <c r="W26" s="6">
        <f>IF(ISERROR(VLOOKUP($T$26,'TAR FIN'!$A$1:$O$85,15,0)),0,VLOOKUP($T$26,'TAR FIN'!$A$1:$O$85,15,0))</f>
        <v>0</v>
      </c>
      <c r="X26" s="6">
        <f>IF(ISERROR(VLOOKUP($U$26,'TAR FIN'!$A$1:$O$85,15,0)),0,VLOOKUP($U$26,'TAR FIN'!$A$1:$O$85,15,0))</f>
        <v>0</v>
      </c>
      <c r="Y26" s="6">
        <f ca="1">('TUSD BE'!$AM$9+'TUSD BF'!$AM$9+'TUSD CVA'!$AM$9)*1</f>
        <v>3.410508540351314</v>
      </c>
      <c r="Z26" s="6"/>
      <c r="AA26" s="6"/>
      <c r="AB26" s="6">
        <f t="shared" ref="AB26:AB37" si="2">(J26-K26)*V26</f>
        <v>0</v>
      </c>
      <c r="AC26" s="6">
        <f t="shared" ref="AC26:AC33" si="3">(L26-M26)*W26+(N26-O26)*X26</f>
        <v>0</v>
      </c>
      <c r="AD26" s="6">
        <f t="shared" ref="AD26:AD37" ca="1" si="4">(J26-K26)*Y26</f>
        <v>0</v>
      </c>
      <c r="AE26" s="6">
        <f t="shared" ref="AE26:AE33" si="5">(L26-M26)*Z26+(N26-O26)*AA26</f>
        <v>0</v>
      </c>
      <c r="AF26" s="4" t="s">
        <v>589</v>
      </c>
    </row>
    <row r="27" spans="1:32" ht="11.25" customHeight="1" x14ac:dyDescent="0.25">
      <c r="A27" s="4" t="s">
        <v>21</v>
      </c>
      <c r="B27" s="4" t="s">
        <v>35</v>
      </c>
      <c r="C27" s="4" t="s">
        <v>53</v>
      </c>
      <c r="D27" s="4" t="s">
        <v>25</v>
      </c>
      <c r="E27" s="4" t="s">
        <v>25</v>
      </c>
      <c r="F27" s="4" t="s">
        <v>25</v>
      </c>
      <c r="G27" s="4" t="s">
        <v>54</v>
      </c>
      <c r="H27" s="4" t="s">
        <v>25</v>
      </c>
      <c r="I27" s="5">
        <v>44470</v>
      </c>
      <c r="J27" s="6">
        <v>909</v>
      </c>
      <c r="K27" s="6">
        <v>454.5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4" t="s">
        <v>55</v>
      </c>
      <c r="R27" s="4">
        <v>35415</v>
      </c>
      <c r="S27" s="4">
        <v>7</v>
      </c>
      <c r="T27" s="4">
        <v>0</v>
      </c>
      <c r="U27" s="4">
        <v>0</v>
      </c>
      <c r="V27" s="6">
        <f>IF(ISERROR(VLOOKUP($S$27,'TAR FIN'!$A$1:$O$85,15,0)),0,VLOOKUP($S$27,'TAR FIN'!$A$1:$O$85,15,0))</f>
        <v>3.37</v>
      </c>
      <c r="W27" s="6">
        <f>IF(ISERROR(VLOOKUP($T$27,'TAR FIN'!$A$1:$O$85,15,0)),0,VLOOKUP($T$27,'TAR FIN'!$A$1:$O$85,15,0))</f>
        <v>0</v>
      </c>
      <c r="X27" s="6">
        <f>IF(ISERROR(VLOOKUP($U$27,'TAR FIN'!$A$1:$O$85,15,0)),0,VLOOKUP($U$27,'TAR FIN'!$A$1:$O$85,15,0))</f>
        <v>0</v>
      </c>
      <c r="Y27" s="6">
        <f ca="1">('TUSD BE'!$AM$9+'TUSD BF'!$AM$9+'TUSD CVA'!$AM$9)*1</f>
        <v>3.410508540351314</v>
      </c>
      <c r="Z27" s="6"/>
      <c r="AA27" s="6"/>
      <c r="AB27" s="6">
        <f t="shared" si="2"/>
        <v>1531.665</v>
      </c>
      <c r="AC27" s="6">
        <f t="shared" si="3"/>
        <v>0</v>
      </c>
      <c r="AD27" s="6">
        <f t="shared" ca="1" si="4"/>
        <v>1550.0761315896723</v>
      </c>
      <c r="AE27" s="6">
        <f t="shared" si="5"/>
        <v>0</v>
      </c>
      <c r="AF27" s="4" t="s">
        <v>589</v>
      </c>
    </row>
    <row r="28" spans="1:32" ht="11.25" customHeight="1" x14ac:dyDescent="0.25">
      <c r="A28" s="4" t="s">
        <v>21</v>
      </c>
      <c r="B28" s="4" t="s">
        <v>35</v>
      </c>
      <c r="C28" s="4" t="s">
        <v>53</v>
      </c>
      <c r="D28" s="4" t="s">
        <v>25</v>
      </c>
      <c r="E28" s="4" t="s">
        <v>25</v>
      </c>
      <c r="F28" s="4" t="s">
        <v>25</v>
      </c>
      <c r="G28" s="4" t="s">
        <v>54</v>
      </c>
      <c r="H28" s="4" t="s">
        <v>25</v>
      </c>
      <c r="I28" s="5">
        <v>44501</v>
      </c>
      <c r="J28" s="6">
        <v>909</v>
      </c>
      <c r="K28" s="6">
        <v>454.5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4" t="s">
        <v>55</v>
      </c>
      <c r="R28" s="4">
        <v>35415</v>
      </c>
      <c r="S28" s="4">
        <v>7</v>
      </c>
      <c r="T28" s="4">
        <v>0</v>
      </c>
      <c r="U28" s="4">
        <v>0</v>
      </c>
      <c r="V28" s="6">
        <f>IF(ISERROR(VLOOKUP($S$28,'TAR FIN'!$A$1:$O$85,15,0)),0,VLOOKUP($S$28,'TAR FIN'!$A$1:$O$85,15,0))</f>
        <v>3.37</v>
      </c>
      <c r="W28" s="6">
        <f>IF(ISERROR(VLOOKUP($T$28,'TAR FIN'!$A$1:$O$85,15,0)),0,VLOOKUP($T$28,'TAR FIN'!$A$1:$O$85,15,0))</f>
        <v>0</v>
      </c>
      <c r="X28" s="6">
        <f>IF(ISERROR(VLOOKUP($U$28,'TAR FIN'!$A$1:$O$85,15,0)),0,VLOOKUP($U$28,'TAR FIN'!$A$1:$O$85,15,0))</f>
        <v>0</v>
      </c>
      <c r="Y28" s="6">
        <f ca="1">('TUSD BE'!$AM$9+'TUSD BF'!$AM$9+'TUSD CVA'!$AM$9)*1</f>
        <v>3.410508540351314</v>
      </c>
      <c r="Z28" s="6"/>
      <c r="AA28" s="6"/>
      <c r="AB28" s="6">
        <f t="shared" si="2"/>
        <v>1531.665</v>
      </c>
      <c r="AC28" s="6">
        <f t="shared" si="3"/>
        <v>0</v>
      </c>
      <c r="AD28" s="6">
        <f t="shared" ca="1" si="4"/>
        <v>1550.0761315896723</v>
      </c>
      <c r="AE28" s="6">
        <f t="shared" si="5"/>
        <v>0</v>
      </c>
      <c r="AF28" s="4" t="s">
        <v>589</v>
      </c>
    </row>
    <row r="29" spans="1:32" ht="11.25" customHeight="1" x14ac:dyDescent="0.25">
      <c r="A29" s="4" t="s">
        <v>21</v>
      </c>
      <c r="B29" s="4" t="s">
        <v>35</v>
      </c>
      <c r="C29" s="4" t="s">
        <v>53</v>
      </c>
      <c r="D29" s="4" t="s">
        <v>25</v>
      </c>
      <c r="E29" s="4" t="s">
        <v>25</v>
      </c>
      <c r="F29" s="4" t="s">
        <v>25</v>
      </c>
      <c r="G29" s="4" t="s">
        <v>54</v>
      </c>
      <c r="H29" s="4" t="s">
        <v>25</v>
      </c>
      <c r="I29" s="5">
        <v>44531</v>
      </c>
      <c r="J29" s="6">
        <v>909</v>
      </c>
      <c r="K29" s="6">
        <v>454.5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4" t="s">
        <v>55</v>
      </c>
      <c r="R29" s="4">
        <v>35415</v>
      </c>
      <c r="S29" s="4">
        <v>7</v>
      </c>
      <c r="T29" s="4">
        <v>0</v>
      </c>
      <c r="U29" s="4">
        <v>0</v>
      </c>
      <c r="V29" s="6">
        <f>IF(ISERROR(VLOOKUP($S$29,'TAR FIN'!$A$1:$O$85,15,0)),0,VLOOKUP($S$29,'TAR FIN'!$A$1:$O$85,15,0))</f>
        <v>3.37</v>
      </c>
      <c r="W29" s="6">
        <f>IF(ISERROR(VLOOKUP($T$29,'TAR FIN'!$A$1:$O$85,15,0)),0,VLOOKUP($T$29,'TAR FIN'!$A$1:$O$85,15,0))</f>
        <v>0</v>
      </c>
      <c r="X29" s="6">
        <f>IF(ISERROR(VLOOKUP($U$29,'TAR FIN'!$A$1:$O$85,15,0)),0,VLOOKUP($U$29,'TAR FIN'!$A$1:$O$85,15,0))</f>
        <v>0</v>
      </c>
      <c r="Y29" s="6">
        <f ca="1">('TUSD BE'!$AM$9+'TUSD BF'!$AM$9+'TUSD CVA'!$AM$9)*1</f>
        <v>3.410508540351314</v>
      </c>
      <c r="Z29" s="6"/>
      <c r="AA29" s="6"/>
      <c r="AB29" s="6">
        <f t="shared" si="2"/>
        <v>1531.665</v>
      </c>
      <c r="AC29" s="6">
        <f t="shared" si="3"/>
        <v>0</v>
      </c>
      <c r="AD29" s="6">
        <f t="shared" ca="1" si="4"/>
        <v>1550.0761315896723</v>
      </c>
      <c r="AE29" s="6">
        <f t="shared" si="5"/>
        <v>0</v>
      </c>
      <c r="AF29" s="4" t="s">
        <v>589</v>
      </c>
    </row>
    <row r="30" spans="1:32" ht="11.25" customHeight="1" x14ac:dyDescent="0.25">
      <c r="A30" s="4" t="s">
        <v>21</v>
      </c>
      <c r="B30" s="4" t="s">
        <v>35</v>
      </c>
      <c r="C30" s="4" t="s">
        <v>53</v>
      </c>
      <c r="D30" s="4" t="s">
        <v>25</v>
      </c>
      <c r="E30" s="4" t="s">
        <v>25</v>
      </c>
      <c r="F30" s="4" t="s">
        <v>25</v>
      </c>
      <c r="G30" s="4" t="s">
        <v>54</v>
      </c>
      <c r="H30" s="4" t="s">
        <v>25</v>
      </c>
      <c r="I30" s="5">
        <v>44562</v>
      </c>
      <c r="J30" s="6">
        <v>909</v>
      </c>
      <c r="K30" s="6">
        <v>454.5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4" t="s">
        <v>55</v>
      </c>
      <c r="R30" s="4">
        <v>35415</v>
      </c>
      <c r="S30" s="4">
        <v>7</v>
      </c>
      <c r="T30" s="4">
        <v>0</v>
      </c>
      <c r="U30" s="4">
        <v>0</v>
      </c>
      <c r="V30" s="6">
        <f>IF(ISERROR(VLOOKUP($S$30,'TAR FIN'!$A$1:$O$85,15,0)),0,VLOOKUP($S$30,'TAR FIN'!$A$1:$O$85,15,0))</f>
        <v>3.37</v>
      </c>
      <c r="W30" s="6">
        <f>IF(ISERROR(VLOOKUP($T$30,'TAR FIN'!$A$1:$O$85,15,0)),0,VLOOKUP($T$30,'TAR FIN'!$A$1:$O$85,15,0))</f>
        <v>0</v>
      </c>
      <c r="X30" s="6">
        <f>IF(ISERROR(VLOOKUP($U$30,'TAR FIN'!$A$1:$O$85,15,0)),0,VLOOKUP($U$30,'TAR FIN'!$A$1:$O$85,15,0))</f>
        <v>0</v>
      </c>
      <c r="Y30" s="6">
        <f ca="1">('TUSD BE'!$AM$9+'TUSD BF'!$AM$9+'TUSD CVA'!$AM$9)*1</f>
        <v>3.410508540351314</v>
      </c>
      <c r="Z30" s="6"/>
      <c r="AA30" s="6"/>
      <c r="AB30" s="6">
        <f t="shared" si="2"/>
        <v>1531.665</v>
      </c>
      <c r="AC30" s="6">
        <f t="shared" si="3"/>
        <v>0</v>
      </c>
      <c r="AD30" s="6">
        <f t="shared" ca="1" si="4"/>
        <v>1550.0761315896723</v>
      </c>
      <c r="AE30" s="6">
        <f t="shared" si="5"/>
        <v>0</v>
      </c>
      <c r="AF30" s="4" t="s">
        <v>589</v>
      </c>
    </row>
    <row r="31" spans="1:32" ht="11.25" customHeight="1" x14ac:dyDescent="0.25">
      <c r="A31" s="4" t="s">
        <v>21</v>
      </c>
      <c r="B31" s="4" t="s">
        <v>35</v>
      </c>
      <c r="C31" s="4" t="s">
        <v>53</v>
      </c>
      <c r="D31" s="4" t="s">
        <v>25</v>
      </c>
      <c r="E31" s="4" t="s">
        <v>25</v>
      </c>
      <c r="F31" s="4" t="s">
        <v>25</v>
      </c>
      <c r="G31" s="4" t="s">
        <v>54</v>
      </c>
      <c r="H31" s="4" t="s">
        <v>25</v>
      </c>
      <c r="I31" s="5">
        <v>44593</v>
      </c>
      <c r="J31" s="6">
        <v>909</v>
      </c>
      <c r="K31" s="6">
        <v>454.5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4" t="s">
        <v>55</v>
      </c>
      <c r="R31" s="4">
        <v>35415</v>
      </c>
      <c r="S31" s="4">
        <v>7</v>
      </c>
      <c r="T31" s="4">
        <v>0</v>
      </c>
      <c r="U31" s="4">
        <v>0</v>
      </c>
      <c r="V31" s="6">
        <f>IF(ISERROR(VLOOKUP($S$31,'TAR FIN'!$A$1:$O$85,15,0)),0,VLOOKUP($S$31,'TAR FIN'!$A$1:$O$85,15,0))</f>
        <v>3.37</v>
      </c>
      <c r="W31" s="6">
        <f>IF(ISERROR(VLOOKUP($T$31,'TAR FIN'!$A$1:$O$85,15,0)),0,VLOOKUP($T$31,'TAR FIN'!$A$1:$O$85,15,0))</f>
        <v>0</v>
      </c>
      <c r="X31" s="6">
        <f>IF(ISERROR(VLOOKUP($U$31,'TAR FIN'!$A$1:$O$85,15,0)),0,VLOOKUP($U$31,'TAR FIN'!$A$1:$O$85,15,0))</f>
        <v>0</v>
      </c>
      <c r="Y31" s="6">
        <f ca="1">('TUSD BE'!$AM$9+'TUSD BF'!$AM$9+'TUSD CVA'!$AM$9)*1</f>
        <v>3.410508540351314</v>
      </c>
      <c r="Z31" s="6"/>
      <c r="AA31" s="6"/>
      <c r="AB31" s="6">
        <f t="shared" si="2"/>
        <v>1531.665</v>
      </c>
      <c r="AC31" s="6">
        <f t="shared" si="3"/>
        <v>0</v>
      </c>
      <c r="AD31" s="6">
        <f t="shared" ca="1" si="4"/>
        <v>1550.0761315896723</v>
      </c>
      <c r="AE31" s="6">
        <f t="shared" si="5"/>
        <v>0</v>
      </c>
      <c r="AF31" s="4" t="s">
        <v>589</v>
      </c>
    </row>
    <row r="32" spans="1:32" ht="11.25" customHeight="1" x14ac:dyDescent="0.25">
      <c r="A32" s="4" t="s">
        <v>21</v>
      </c>
      <c r="B32" s="4" t="s">
        <v>35</v>
      </c>
      <c r="C32" s="4" t="s">
        <v>53</v>
      </c>
      <c r="D32" s="4" t="s">
        <v>25</v>
      </c>
      <c r="E32" s="4" t="s">
        <v>25</v>
      </c>
      <c r="F32" s="4" t="s">
        <v>25</v>
      </c>
      <c r="G32" s="4" t="s">
        <v>54</v>
      </c>
      <c r="H32" s="4" t="s">
        <v>25</v>
      </c>
      <c r="I32" s="5">
        <v>44621</v>
      </c>
      <c r="J32" s="6">
        <v>909</v>
      </c>
      <c r="K32" s="6">
        <v>454.5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4" t="s">
        <v>55</v>
      </c>
      <c r="R32" s="4">
        <v>35415</v>
      </c>
      <c r="S32" s="4">
        <v>7</v>
      </c>
      <c r="T32" s="4">
        <v>0</v>
      </c>
      <c r="U32" s="4">
        <v>0</v>
      </c>
      <c r="V32" s="6">
        <f>IF(ISERROR(VLOOKUP($S$32,'TAR FIN'!$A$1:$O$85,15,0)),0,VLOOKUP($S$32,'TAR FIN'!$A$1:$O$85,15,0))</f>
        <v>3.37</v>
      </c>
      <c r="W32" s="6">
        <f>IF(ISERROR(VLOOKUP($T$32,'TAR FIN'!$A$1:$O$85,15,0)),0,VLOOKUP($T$32,'TAR FIN'!$A$1:$O$85,15,0))</f>
        <v>0</v>
      </c>
      <c r="X32" s="6">
        <f>IF(ISERROR(VLOOKUP($U$32,'TAR FIN'!$A$1:$O$85,15,0)),0,VLOOKUP($U$32,'TAR FIN'!$A$1:$O$85,15,0))</f>
        <v>0</v>
      </c>
      <c r="Y32" s="6">
        <f ca="1">('TUSD BE'!$AM$9+'TUSD BF'!$AM$9+'TUSD CVA'!$AM$9)*1</f>
        <v>3.410508540351314</v>
      </c>
      <c r="Z32" s="6"/>
      <c r="AA32" s="6"/>
      <c r="AB32" s="6">
        <f t="shared" si="2"/>
        <v>1531.665</v>
      </c>
      <c r="AC32" s="6">
        <f t="shared" si="3"/>
        <v>0</v>
      </c>
      <c r="AD32" s="6">
        <f t="shared" ca="1" si="4"/>
        <v>1550.0761315896723</v>
      </c>
      <c r="AE32" s="6">
        <f t="shared" si="5"/>
        <v>0</v>
      </c>
      <c r="AF32" s="4" t="s">
        <v>589</v>
      </c>
    </row>
    <row r="33" spans="1:32" ht="11.25" customHeight="1" x14ac:dyDescent="0.25">
      <c r="A33" s="4" t="s">
        <v>21</v>
      </c>
      <c r="B33" s="4" t="s">
        <v>35</v>
      </c>
      <c r="C33" s="4" t="s">
        <v>53</v>
      </c>
      <c r="D33" s="4" t="s">
        <v>25</v>
      </c>
      <c r="E33" s="4" t="s">
        <v>25</v>
      </c>
      <c r="F33" s="4" t="s">
        <v>25</v>
      </c>
      <c r="G33" s="4" t="s">
        <v>54</v>
      </c>
      <c r="H33" s="4" t="s">
        <v>25</v>
      </c>
      <c r="I33" s="5">
        <v>44652</v>
      </c>
      <c r="J33" s="6">
        <v>909</v>
      </c>
      <c r="K33" s="6">
        <v>454.5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4" t="s">
        <v>55</v>
      </c>
      <c r="R33" s="4">
        <v>35415</v>
      </c>
      <c r="S33" s="4">
        <v>7</v>
      </c>
      <c r="T33" s="4">
        <v>0</v>
      </c>
      <c r="U33" s="4">
        <v>0</v>
      </c>
      <c r="V33" s="6">
        <f>IF(ISERROR(VLOOKUP($S$33,'TAR FIN'!$A$1:$O$85,15,0)),0,VLOOKUP($S$33,'TAR FIN'!$A$1:$O$85,15,0))</f>
        <v>3.37</v>
      </c>
      <c r="W33" s="6">
        <f>IF(ISERROR(VLOOKUP($T$33,'TAR FIN'!$A$1:$O$85,15,0)),0,VLOOKUP($T$33,'TAR FIN'!$A$1:$O$85,15,0))</f>
        <v>0</v>
      </c>
      <c r="X33" s="6">
        <f>IF(ISERROR(VLOOKUP($U$33,'TAR FIN'!$A$1:$O$85,15,0)),0,VLOOKUP($U$33,'TAR FIN'!$A$1:$O$85,15,0))</f>
        <v>0</v>
      </c>
      <c r="Y33" s="6">
        <f ca="1">('TUSD BE'!$AM$9+'TUSD BF'!$AM$9+'TUSD CVA'!$AM$9)*1</f>
        <v>3.410508540351314</v>
      </c>
      <c r="Z33" s="6"/>
      <c r="AA33" s="6"/>
      <c r="AB33" s="6">
        <f t="shared" si="2"/>
        <v>1531.665</v>
      </c>
      <c r="AC33" s="6">
        <f t="shared" si="3"/>
        <v>0</v>
      </c>
      <c r="AD33" s="6">
        <f t="shared" ca="1" si="4"/>
        <v>1550.0761315896723</v>
      </c>
      <c r="AE33" s="6">
        <f t="shared" si="5"/>
        <v>0</v>
      </c>
      <c r="AF33" s="4" t="s">
        <v>589</v>
      </c>
    </row>
    <row r="34" spans="1:32" ht="11.25" customHeight="1" x14ac:dyDescent="0.25">
      <c r="A34" s="4" t="s">
        <v>21</v>
      </c>
      <c r="B34" s="4" t="s">
        <v>35</v>
      </c>
      <c r="C34" s="4" t="s">
        <v>53</v>
      </c>
      <c r="D34" s="4" t="s">
        <v>25</v>
      </c>
      <c r="E34" s="4" t="s">
        <v>25</v>
      </c>
      <c r="F34" s="4" t="s">
        <v>25</v>
      </c>
      <c r="G34" s="4" t="s">
        <v>54</v>
      </c>
      <c r="H34" s="4" t="s">
        <v>25</v>
      </c>
      <c r="I34" s="5">
        <v>44682</v>
      </c>
      <c r="J34" s="6">
        <v>909</v>
      </c>
      <c r="K34" s="6">
        <v>454.5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4" t="s">
        <v>55</v>
      </c>
      <c r="R34" s="4">
        <v>35415</v>
      </c>
      <c r="S34" s="4">
        <v>7</v>
      </c>
      <c r="T34" s="4">
        <v>0</v>
      </c>
      <c r="U34" s="4">
        <v>0</v>
      </c>
      <c r="V34" s="6">
        <f>IF(ISERROR(VLOOKUP($S$34,'TAR FIN'!$A$1:$O$85,15,0)),0,VLOOKUP($S$34,'TAR FIN'!$A$1:$O$85,15,0))</f>
        <v>3.37</v>
      </c>
      <c r="W34" s="6">
        <f>IF(ISERROR(VLOOKUP($T$34,'TAR FIN'!$A$1:$O$85,15,0)),0,VLOOKUP($T$34,'TAR FIN'!$A$1:$O$85,15,0))</f>
        <v>0</v>
      </c>
      <c r="X34" s="6">
        <f>IF(ISERROR(VLOOKUP($U$34,'TAR FIN'!$A$1:$O$85,15,0)),0,VLOOKUP($U$34,'TAR FIN'!$A$1:$O$85,15,0))</f>
        <v>0</v>
      </c>
      <c r="Y34" s="6">
        <f ca="1">('TUSD BE'!$AM$9+'TUSD BF'!$AM$9+'TUSD CVA'!$AM$9)*1</f>
        <v>3.410508540351314</v>
      </c>
      <c r="Z34" s="6"/>
      <c r="AA34" s="6"/>
      <c r="AB34" s="6">
        <f t="shared" si="2"/>
        <v>1531.665</v>
      </c>
      <c r="AC34" s="6">
        <f t="shared" ref="AC34:AC37" si="6">(L34-M34)*W34+(N34-O34)*X34</f>
        <v>0</v>
      </c>
      <c r="AD34" s="6">
        <f t="shared" ca="1" si="4"/>
        <v>1550.0761315896723</v>
      </c>
      <c r="AE34" s="6">
        <f t="shared" ref="AE34:AE37" si="7">(L34-M34)*Z34+(N34-O34)*AA34</f>
        <v>0</v>
      </c>
      <c r="AF34" s="4" t="s">
        <v>589</v>
      </c>
    </row>
    <row r="35" spans="1:32" ht="11.25" customHeight="1" x14ac:dyDescent="0.25">
      <c r="A35" s="4" t="s">
        <v>21</v>
      </c>
      <c r="B35" s="4" t="s">
        <v>35</v>
      </c>
      <c r="C35" s="4" t="s">
        <v>53</v>
      </c>
      <c r="D35" s="4" t="s">
        <v>25</v>
      </c>
      <c r="E35" s="4" t="s">
        <v>25</v>
      </c>
      <c r="F35" s="4" t="s">
        <v>25</v>
      </c>
      <c r="G35" s="4" t="s">
        <v>54</v>
      </c>
      <c r="H35" s="4" t="s">
        <v>25</v>
      </c>
      <c r="I35" s="5">
        <v>44713</v>
      </c>
      <c r="J35" s="6">
        <v>909</v>
      </c>
      <c r="K35" s="6">
        <v>454.5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4" t="s">
        <v>55</v>
      </c>
      <c r="R35" s="4">
        <v>35415</v>
      </c>
      <c r="S35" s="4">
        <v>7</v>
      </c>
      <c r="T35" s="4">
        <v>0</v>
      </c>
      <c r="U35" s="4">
        <v>0</v>
      </c>
      <c r="V35" s="6">
        <f>IF(ISERROR(VLOOKUP($S$35,'TAR FIN'!$A$1:$O$85,15,0)),0,VLOOKUP($S$35,'TAR FIN'!$A$1:$O$85,15,0))</f>
        <v>3.37</v>
      </c>
      <c r="W35" s="6">
        <f>IF(ISERROR(VLOOKUP($T$35,'TAR FIN'!$A$1:$O$85,15,0)),0,VLOOKUP($T$35,'TAR FIN'!$A$1:$O$85,15,0))</f>
        <v>0</v>
      </c>
      <c r="X35" s="6">
        <f>IF(ISERROR(VLOOKUP($U$35,'TAR FIN'!$A$1:$O$85,15,0)),0,VLOOKUP($U$35,'TAR FIN'!$A$1:$O$85,15,0))</f>
        <v>0</v>
      </c>
      <c r="Y35" s="6">
        <f ca="1">('TUSD BE'!$AM$9+'TUSD BF'!$AM$9+'TUSD CVA'!$AM$9)*1</f>
        <v>3.410508540351314</v>
      </c>
      <c r="Z35" s="6"/>
      <c r="AA35" s="6"/>
      <c r="AB35" s="6">
        <f t="shared" si="2"/>
        <v>1531.665</v>
      </c>
      <c r="AC35" s="6">
        <f t="shared" si="6"/>
        <v>0</v>
      </c>
      <c r="AD35" s="6">
        <f t="shared" ca="1" si="4"/>
        <v>1550.0761315896723</v>
      </c>
      <c r="AE35" s="6">
        <f t="shared" si="7"/>
        <v>0</v>
      </c>
      <c r="AF35" s="4" t="s">
        <v>589</v>
      </c>
    </row>
    <row r="36" spans="1:32" ht="11.25" customHeight="1" x14ac:dyDescent="0.25">
      <c r="A36" s="4" t="s">
        <v>21</v>
      </c>
      <c r="B36" s="4" t="s">
        <v>35</v>
      </c>
      <c r="C36" s="4" t="s">
        <v>53</v>
      </c>
      <c r="D36" s="4" t="s">
        <v>25</v>
      </c>
      <c r="E36" s="4" t="s">
        <v>25</v>
      </c>
      <c r="F36" s="4" t="s">
        <v>25</v>
      </c>
      <c r="G36" s="4" t="s">
        <v>54</v>
      </c>
      <c r="H36" s="4" t="s">
        <v>25</v>
      </c>
      <c r="I36" s="5">
        <v>44743</v>
      </c>
      <c r="J36" s="6">
        <v>909</v>
      </c>
      <c r="K36" s="6">
        <v>454.5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4" t="s">
        <v>55</v>
      </c>
      <c r="R36" s="4">
        <v>35415</v>
      </c>
      <c r="S36" s="4">
        <v>7</v>
      </c>
      <c r="T36" s="4">
        <v>0</v>
      </c>
      <c r="U36" s="4">
        <v>0</v>
      </c>
      <c r="V36" s="6">
        <f>IF(ISERROR(VLOOKUP($S$36,'TAR FIN'!$A$1:$O$85,15,0)),0,VLOOKUP($S$36,'TAR FIN'!$A$1:$O$85,15,0))</f>
        <v>3.37</v>
      </c>
      <c r="W36" s="6">
        <f>IF(ISERROR(VLOOKUP($T$36,'TAR FIN'!$A$1:$O$85,15,0)),0,VLOOKUP($T$36,'TAR FIN'!$A$1:$O$85,15,0))</f>
        <v>0</v>
      </c>
      <c r="X36" s="6">
        <f>IF(ISERROR(VLOOKUP($U$36,'TAR FIN'!$A$1:$O$85,15,0)),0,VLOOKUP($U$36,'TAR FIN'!$A$1:$O$85,15,0))</f>
        <v>0</v>
      </c>
      <c r="Y36" s="6">
        <f ca="1">('TUSD BE'!$AM$9+'TUSD BF'!$AM$9+'TUSD CVA'!$AM$9)*1</f>
        <v>3.410508540351314</v>
      </c>
      <c r="Z36" s="6"/>
      <c r="AA36" s="6"/>
      <c r="AB36" s="6">
        <f t="shared" si="2"/>
        <v>1531.665</v>
      </c>
      <c r="AC36" s="6">
        <f t="shared" si="6"/>
        <v>0</v>
      </c>
      <c r="AD36" s="6">
        <f t="shared" ca="1" si="4"/>
        <v>1550.0761315896723</v>
      </c>
      <c r="AE36" s="6">
        <f t="shared" si="7"/>
        <v>0</v>
      </c>
      <c r="AF36" s="4" t="s">
        <v>589</v>
      </c>
    </row>
    <row r="37" spans="1:32" ht="11.25" customHeight="1" x14ac:dyDescent="0.25">
      <c r="A37" s="4" t="s">
        <v>21</v>
      </c>
      <c r="B37" s="4" t="s">
        <v>35</v>
      </c>
      <c r="C37" s="4" t="s">
        <v>53</v>
      </c>
      <c r="D37" s="4" t="s">
        <v>25</v>
      </c>
      <c r="E37" s="4" t="s">
        <v>25</v>
      </c>
      <c r="F37" s="4" t="s">
        <v>25</v>
      </c>
      <c r="G37" s="4" t="s">
        <v>54</v>
      </c>
      <c r="H37" s="4" t="s">
        <v>25</v>
      </c>
      <c r="I37" s="5">
        <v>44774</v>
      </c>
      <c r="J37" s="6">
        <v>909</v>
      </c>
      <c r="K37" s="6">
        <v>454.5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4" t="s">
        <v>55</v>
      </c>
      <c r="R37" s="4">
        <v>35415</v>
      </c>
      <c r="S37" s="4">
        <v>7</v>
      </c>
      <c r="T37" s="4">
        <v>0</v>
      </c>
      <c r="U37" s="4">
        <v>0</v>
      </c>
      <c r="V37" s="6">
        <f>IF(ISERROR(VLOOKUP($S$37,'TAR FIN'!$A$1:$O$85,15,0)),0,VLOOKUP($S$37,'TAR FIN'!$A$1:$O$85,15,0))</f>
        <v>3.37</v>
      </c>
      <c r="W37" s="6">
        <f>IF(ISERROR(VLOOKUP($T$37,'TAR FIN'!$A$1:$O$85,15,0)),0,VLOOKUP($T$37,'TAR FIN'!$A$1:$O$85,15,0))</f>
        <v>0</v>
      </c>
      <c r="X37" s="6">
        <f>IF(ISERROR(VLOOKUP($U$37,'TAR FIN'!$A$1:$O$85,15,0)),0,VLOOKUP($U$37,'TAR FIN'!$A$1:$O$85,15,0))</f>
        <v>0</v>
      </c>
      <c r="Y37" s="6">
        <f ca="1">('TUSD BE'!$AM$9+'TUSD BF'!$AM$9+'TUSD CVA'!$AM$9)*1</f>
        <v>3.410508540351314</v>
      </c>
      <c r="Z37" s="6"/>
      <c r="AA37" s="6"/>
      <c r="AB37" s="6">
        <f t="shared" si="2"/>
        <v>1531.665</v>
      </c>
      <c r="AC37" s="6">
        <f t="shared" si="6"/>
        <v>0</v>
      </c>
      <c r="AD37" s="6">
        <f t="shared" ca="1" si="4"/>
        <v>1550.0761315896723</v>
      </c>
      <c r="AE37" s="6">
        <f t="shared" si="7"/>
        <v>0</v>
      </c>
      <c r="AF37" s="4" t="s">
        <v>589</v>
      </c>
    </row>
    <row r="38" spans="1:32" ht="11.25" customHeight="1" x14ac:dyDescent="0.25">
      <c r="A38" s="4" t="s">
        <v>21</v>
      </c>
      <c r="B38" s="4" t="s">
        <v>35</v>
      </c>
      <c r="C38" s="4" t="s">
        <v>36</v>
      </c>
      <c r="D38" s="4" t="s">
        <v>41</v>
      </c>
      <c r="E38" s="4" t="s">
        <v>25</v>
      </c>
      <c r="F38" s="4" t="s">
        <v>25</v>
      </c>
      <c r="G38" s="4" t="s">
        <v>25</v>
      </c>
      <c r="H38" s="4" t="s">
        <v>38</v>
      </c>
      <c r="I38" s="5">
        <v>44440</v>
      </c>
      <c r="J38" s="6">
        <v>0</v>
      </c>
      <c r="K38" s="61">
        <v>0</v>
      </c>
      <c r="L38" s="6">
        <v>24.815999999999999</v>
      </c>
      <c r="M38" s="61">
        <v>24.815999999999999</v>
      </c>
      <c r="N38" s="6">
        <v>24.815999999999999</v>
      </c>
      <c r="O38" s="61">
        <v>24.815999999999999</v>
      </c>
      <c r="P38" s="6">
        <v>0</v>
      </c>
      <c r="Q38" s="4" t="s">
        <v>26</v>
      </c>
      <c r="R38" s="4">
        <v>0</v>
      </c>
      <c r="S38" s="4">
        <v>0</v>
      </c>
      <c r="T38" s="4">
        <v>23</v>
      </c>
      <c r="U38" s="4">
        <v>51</v>
      </c>
      <c r="V38" s="61">
        <f>IF(ISERROR(VLOOKUP($S$38,'TAR FIN'!$A$1:$O$85,15,0)),0,VLOOKUP($S$38,'TAR FIN'!$A$1:$O$85,15,0))</f>
        <v>0</v>
      </c>
      <c r="W38" s="61">
        <f>IF(ISERROR(VLOOKUP($T$38,'TAR FIN'!$A$1:$O$85,15,0)),0,VLOOKUP($T$38,'TAR FIN'!$A$1:$O$85,15,0))*(1-0.04)</f>
        <v>63.571199999999997</v>
      </c>
      <c r="X38" s="61">
        <f>IF(ISERROR(VLOOKUP($U$38,'TAR FIN'!$A$1:$O$85,15,0)),0,VLOOKUP($U$38,'TAR FIN'!$A$1:$O$85,15,0))*(1-0.04)</f>
        <v>135.66719999999998</v>
      </c>
      <c r="Y38" s="61"/>
      <c r="Z38" s="61">
        <f ca="1">('TUSD BE'!$AM$12+'TUSD BF'!$AM$12+'TUSD CVA'!$AM$12)*1*(1-0.02)</f>
        <v>97.850794719339632</v>
      </c>
      <c r="AA38" s="61">
        <f>('TE BE'!$AB$6+'TE BF'!$AB$6+'TE CVA'!$AB$6)*1*(1-0.02)</f>
        <v>133.0901362797062</v>
      </c>
      <c r="AB38" s="61">
        <f>(SUBSIDIO!$J$38*SUBSIDIO!$V$38)*(0.04)/(1-0.04)</f>
        <v>0</v>
      </c>
      <c r="AC38" s="61">
        <f>((SUBSIDIO!$L$38*SUBSIDIO!$W$38)+(SUBSIDIO!$N$38*SUBSIDIO!$X$38))*(0.04)/(1-0.04)</f>
        <v>206.0125056</v>
      </c>
      <c r="AD38" s="61">
        <f>(SUBSIDIO!$J$38*SUBSIDIO!$Y$38)*(0.02)/(1-0.02)</f>
        <v>0</v>
      </c>
      <c r="AE38" s="61">
        <f ca="1">((SUBSIDIO!$L$38*SUBSIDIO!$Z$38)+(SUBSIDIO!$N$38*SUBSIDIO!$AA$38))*(0.02)/(1-0.02)</f>
        <v>116.95979885045554</v>
      </c>
      <c r="AF38" s="4" t="s">
        <v>590</v>
      </c>
    </row>
    <row r="39" spans="1:32" ht="11.25" customHeight="1" x14ac:dyDescent="0.25">
      <c r="A39" s="4" t="s">
        <v>28</v>
      </c>
      <c r="B39" s="4" t="s">
        <v>35</v>
      </c>
      <c r="C39" s="4" t="s">
        <v>36</v>
      </c>
      <c r="D39" s="4" t="s">
        <v>41</v>
      </c>
      <c r="E39" s="4" t="s">
        <v>25</v>
      </c>
      <c r="F39" s="4" t="s">
        <v>25</v>
      </c>
      <c r="G39" s="4" t="s">
        <v>25</v>
      </c>
      <c r="H39" s="4" t="s">
        <v>38</v>
      </c>
      <c r="I39" s="5">
        <v>44440</v>
      </c>
      <c r="J39" s="6">
        <v>0</v>
      </c>
      <c r="K39" s="61">
        <v>0</v>
      </c>
      <c r="L39" s="6">
        <v>36.305999999999997</v>
      </c>
      <c r="M39" s="61">
        <v>36.305999999999997</v>
      </c>
      <c r="N39" s="6">
        <v>36.305999999999997</v>
      </c>
      <c r="O39" s="61">
        <v>36.305999999999997</v>
      </c>
      <c r="P39" s="6">
        <v>0</v>
      </c>
      <c r="Q39" s="4" t="s">
        <v>26</v>
      </c>
      <c r="R39" s="4">
        <v>0</v>
      </c>
      <c r="S39" s="4">
        <v>0</v>
      </c>
      <c r="T39" s="4">
        <v>23</v>
      </c>
      <c r="U39" s="4">
        <v>51</v>
      </c>
      <c r="V39" s="61">
        <f>IF(ISERROR(VLOOKUP($S$39,'TAR FIN'!$A$1:$O$85,15,0)),0,VLOOKUP($S$39,'TAR FIN'!$A$1:$O$85,15,0))</f>
        <v>0</v>
      </c>
      <c r="W39" s="61">
        <f>IF(ISERROR(VLOOKUP($T$39,'TAR FIN'!$A$1:$O$85,15,0)),0,VLOOKUP($T$39,'TAR FIN'!$A$1:$O$85,15,0))*(1-0.04)</f>
        <v>63.571199999999997</v>
      </c>
      <c r="X39" s="61">
        <f>IF(ISERROR(VLOOKUP($U$39,'TAR FIN'!$A$1:$O$85,15,0)),0,VLOOKUP($U$39,'TAR FIN'!$A$1:$O$85,15,0))*(1-0.04)</f>
        <v>135.66719999999998</v>
      </c>
      <c r="Y39" s="61"/>
      <c r="Z39" s="61">
        <f ca="1">('TUSD BE'!$AM$12+'TUSD BF'!$AM$12+'TUSD CVA'!$AM$12)*1*(1-0.02)</f>
        <v>97.850794719339632</v>
      </c>
      <c r="AA39" s="61">
        <f>('TE BE'!$AB$6+'TE BF'!$AB$6+'TE CVA'!$AB$6)*1*(1-0.02)</f>
        <v>133.0901362797062</v>
      </c>
      <c r="AB39" s="61">
        <f>(SUBSIDIO!$J$39*SUBSIDIO!$V$39)*(0.04)/(1-0.04)</f>
        <v>0</v>
      </c>
      <c r="AC39" s="61">
        <f>((SUBSIDIO!$L$39*SUBSIDIO!$W$39)+(SUBSIDIO!$N$39*SUBSIDIO!$X$39))*(0.04)/(1-0.04)</f>
        <v>301.39788959999993</v>
      </c>
      <c r="AD39" s="61">
        <f>(SUBSIDIO!$J$39*SUBSIDIO!$Y$39)*(0.02)/(1-0.02)</f>
        <v>0</v>
      </c>
      <c r="AE39" s="61">
        <f ca="1">((SUBSIDIO!$L$39*SUBSIDIO!$Z$39)+(SUBSIDIO!$N$39*SUBSIDIO!$AA$39))*(0.02)/(1-0.02)</f>
        <v>171.11309062961953</v>
      </c>
      <c r="AF39" s="4" t="s">
        <v>590</v>
      </c>
    </row>
    <row r="40" spans="1:32" ht="11.25" customHeight="1" x14ac:dyDescent="0.25">
      <c r="A40" s="4" t="s">
        <v>21</v>
      </c>
      <c r="B40" s="4" t="s">
        <v>35</v>
      </c>
      <c r="C40" s="4" t="s">
        <v>36</v>
      </c>
      <c r="D40" s="4" t="s">
        <v>41</v>
      </c>
      <c r="E40" s="4" t="s">
        <v>25</v>
      </c>
      <c r="F40" s="4" t="s">
        <v>25</v>
      </c>
      <c r="G40" s="4" t="s">
        <v>25</v>
      </c>
      <c r="H40" s="4" t="s">
        <v>38</v>
      </c>
      <c r="I40" s="5">
        <v>44470</v>
      </c>
      <c r="J40" s="6">
        <v>0</v>
      </c>
      <c r="K40" s="61">
        <v>0</v>
      </c>
      <c r="L40" s="6">
        <v>11.069000000000001</v>
      </c>
      <c r="M40" s="61">
        <v>11.069000000000001</v>
      </c>
      <c r="N40" s="6">
        <v>11.069000000000001</v>
      </c>
      <c r="O40" s="61">
        <v>11.069000000000001</v>
      </c>
      <c r="P40" s="6">
        <v>0</v>
      </c>
      <c r="Q40" s="4" t="s">
        <v>26</v>
      </c>
      <c r="R40" s="4">
        <v>0</v>
      </c>
      <c r="S40" s="4">
        <v>0</v>
      </c>
      <c r="T40" s="4">
        <v>23</v>
      </c>
      <c r="U40" s="4">
        <v>51</v>
      </c>
      <c r="V40" s="61">
        <f>IF(ISERROR(VLOOKUP($S$40,'TAR FIN'!$A$1:$O$85,15,0)),0,VLOOKUP($S$40,'TAR FIN'!$A$1:$O$85,15,0))</f>
        <v>0</v>
      </c>
      <c r="W40" s="61">
        <f>IF(ISERROR(VLOOKUP($T$40,'TAR FIN'!$A$1:$O$85,15,0)),0,VLOOKUP($T$40,'TAR FIN'!$A$1:$O$85,15,0))*(1-0.04)</f>
        <v>63.571199999999997</v>
      </c>
      <c r="X40" s="61">
        <f>IF(ISERROR(VLOOKUP($U$40,'TAR FIN'!$A$1:$O$85,15,0)),0,VLOOKUP($U$40,'TAR FIN'!$A$1:$O$85,15,0))*(1-0.04)</f>
        <v>135.66719999999998</v>
      </c>
      <c r="Y40" s="61"/>
      <c r="Z40" s="61">
        <f ca="1">('TUSD BE'!$AM$12+'TUSD BF'!$AM$12+'TUSD CVA'!$AM$12)*1*(1-0.02)</f>
        <v>97.850794719339632</v>
      </c>
      <c r="AA40" s="61">
        <f>('TE BE'!$AB$6+'TE BF'!$AB$6+'TE CVA'!$AB$6)*1*(1-0.02)</f>
        <v>133.0901362797062</v>
      </c>
      <c r="AB40" s="61">
        <f>(SUBSIDIO!$J$40*SUBSIDIO!$V$40)*(0.04)/(1-0.04)</f>
        <v>0</v>
      </c>
      <c r="AC40" s="61">
        <f>((SUBSIDIO!$L$40*SUBSIDIO!$W$40)+(SUBSIDIO!$N$40*SUBSIDIO!$X$40))*(0.04)/(1-0.04)</f>
        <v>91.890410399999993</v>
      </c>
      <c r="AD40" s="61">
        <f>(SUBSIDIO!$J$40*SUBSIDIO!$Y$40)*(0.02)/(1-0.02)</f>
        <v>0</v>
      </c>
      <c r="AE40" s="61">
        <f ca="1">((SUBSIDIO!$L$40*SUBSIDIO!$Z$40)+(SUBSIDIO!$N$40*SUBSIDIO!$AA$40))*(0.02)/(1-0.02)</f>
        <v>52.169085004662023</v>
      </c>
      <c r="AF40" s="4" t="s">
        <v>590</v>
      </c>
    </row>
    <row r="41" spans="1:32" ht="11.25" customHeight="1" x14ac:dyDescent="0.25">
      <c r="A41" s="4" t="s">
        <v>28</v>
      </c>
      <c r="B41" s="4" t="s">
        <v>35</v>
      </c>
      <c r="C41" s="4" t="s">
        <v>36</v>
      </c>
      <c r="D41" s="4" t="s">
        <v>41</v>
      </c>
      <c r="E41" s="4" t="s">
        <v>25</v>
      </c>
      <c r="F41" s="4" t="s">
        <v>25</v>
      </c>
      <c r="G41" s="4" t="s">
        <v>25</v>
      </c>
      <c r="H41" s="4" t="s">
        <v>38</v>
      </c>
      <c r="I41" s="5">
        <v>44470</v>
      </c>
      <c r="J41" s="6">
        <v>0</v>
      </c>
      <c r="K41" s="61">
        <v>0</v>
      </c>
      <c r="L41" s="6">
        <v>33.93</v>
      </c>
      <c r="M41" s="61">
        <v>33.93</v>
      </c>
      <c r="N41" s="6">
        <v>33.93</v>
      </c>
      <c r="O41" s="61">
        <v>33.93</v>
      </c>
      <c r="P41" s="6">
        <v>0</v>
      </c>
      <c r="Q41" s="4" t="s">
        <v>26</v>
      </c>
      <c r="R41" s="4">
        <v>0</v>
      </c>
      <c r="S41" s="4">
        <v>0</v>
      </c>
      <c r="T41" s="4">
        <v>23</v>
      </c>
      <c r="U41" s="4">
        <v>51</v>
      </c>
      <c r="V41" s="61">
        <f>IF(ISERROR(VLOOKUP($S$41,'TAR FIN'!$A$1:$O$85,15,0)),0,VLOOKUP($S$41,'TAR FIN'!$A$1:$O$85,15,0))</f>
        <v>0</v>
      </c>
      <c r="W41" s="61">
        <f>IF(ISERROR(VLOOKUP($T$41,'TAR FIN'!$A$1:$O$85,15,0)),0,VLOOKUP($T$41,'TAR FIN'!$A$1:$O$85,15,0))*(1-0.04)</f>
        <v>63.571199999999997</v>
      </c>
      <c r="X41" s="61">
        <f>IF(ISERROR(VLOOKUP($U$41,'TAR FIN'!$A$1:$O$85,15,0)),0,VLOOKUP($U$41,'TAR FIN'!$A$1:$O$85,15,0))*(1-0.04)</f>
        <v>135.66719999999998</v>
      </c>
      <c r="Y41" s="61"/>
      <c r="Z41" s="61">
        <f ca="1">('TUSD BE'!$AM$12+'TUSD BF'!$AM$12+'TUSD CVA'!$AM$12)*1*(1-0.02)</f>
        <v>97.850794719339632</v>
      </c>
      <c r="AA41" s="61">
        <f>('TE BE'!$AB$6+'TE BF'!$AB$6+'TE CVA'!$AB$6)*1*(1-0.02)</f>
        <v>133.0901362797062</v>
      </c>
      <c r="AB41" s="61">
        <f>(SUBSIDIO!$J$41*SUBSIDIO!$V$41)*(0.04)/(1-0.04)</f>
        <v>0</v>
      </c>
      <c r="AC41" s="61">
        <f>((SUBSIDIO!$L$41*SUBSIDIO!$W$41)+(SUBSIDIO!$N$41*SUBSIDIO!$X$41))*(0.04)/(1-0.04)</f>
        <v>281.67328799999996</v>
      </c>
      <c r="AD41" s="61">
        <f>(SUBSIDIO!$J$41*SUBSIDIO!$Y$41)*(0.02)/(1-0.02)</f>
        <v>0</v>
      </c>
      <c r="AE41" s="61">
        <f ca="1">((SUBSIDIO!$L$41*SUBSIDIO!$Z$41)+(SUBSIDIO!$N$41*SUBSIDIO!$AA$41))*(0.02)/(1-0.02)</f>
        <v>159.91481201627806</v>
      </c>
      <c r="AF41" s="4" t="s">
        <v>590</v>
      </c>
    </row>
    <row r="42" spans="1:32" ht="11.25" customHeight="1" x14ac:dyDescent="0.25">
      <c r="A42" s="4" t="s">
        <v>21</v>
      </c>
      <c r="B42" s="4" t="s">
        <v>35</v>
      </c>
      <c r="C42" s="4" t="s">
        <v>36</v>
      </c>
      <c r="D42" s="4" t="s">
        <v>41</v>
      </c>
      <c r="E42" s="4" t="s">
        <v>25</v>
      </c>
      <c r="F42" s="4" t="s">
        <v>25</v>
      </c>
      <c r="G42" s="4" t="s">
        <v>25</v>
      </c>
      <c r="H42" s="4" t="s">
        <v>38</v>
      </c>
      <c r="I42" s="5">
        <v>44501</v>
      </c>
      <c r="J42" s="6">
        <v>0</v>
      </c>
      <c r="K42" s="61">
        <v>0</v>
      </c>
      <c r="L42" s="6">
        <v>24.327999999999999</v>
      </c>
      <c r="M42" s="61">
        <v>24.327999999999999</v>
      </c>
      <c r="N42" s="6">
        <v>24.327999999999999</v>
      </c>
      <c r="O42" s="61">
        <v>24.327999999999999</v>
      </c>
      <c r="P42" s="6">
        <v>0</v>
      </c>
      <c r="Q42" s="4" t="s">
        <v>26</v>
      </c>
      <c r="R42" s="4">
        <v>0</v>
      </c>
      <c r="S42" s="4">
        <v>0</v>
      </c>
      <c r="T42" s="4">
        <v>23</v>
      </c>
      <c r="U42" s="4">
        <v>51</v>
      </c>
      <c r="V42" s="61">
        <f>IF(ISERROR(VLOOKUP($S$42,'TAR FIN'!$A$1:$O$85,15,0)),0,VLOOKUP($S$42,'TAR FIN'!$A$1:$O$85,15,0))</f>
        <v>0</v>
      </c>
      <c r="W42" s="61">
        <f>IF(ISERROR(VLOOKUP($T$42,'TAR FIN'!$A$1:$O$85,15,0)),0,VLOOKUP($T$42,'TAR FIN'!$A$1:$O$85,15,0))*(1-0.04)</f>
        <v>63.571199999999997</v>
      </c>
      <c r="X42" s="61">
        <f>IF(ISERROR(VLOOKUP($U$42,'TAR FIN'!$A$1:$O$85,15,0)),0,VLOOKUP($U$42,'TAR FIN'!$A$1:$O$85,15,0))*(1-0.04)</f>
        <v>135.66719999999998</v>
      </c>
      <c r="Y42" s="61"/>
      <c r="Z42" s="61">
        <f ca="1">('TUSD BE'!$AM$12+'TUSD BF'!$AM$12+'TUSD CVA'!$AM$12)*1*(1-0.02)</f>
        <v>97.850794719339632</v>
      </c>
      <c r="AA42" s="61">
        <f>('TE BE'!$AB$6+'TE BF'!$AB$6+'TE CVA'!$AB$6)*1*(1-0.02)</f>
        <v>133.0901362797062</v>
      </c>
      <c r="AB42" s="61">
        <f>(SUBSIDIO!$J$42*SUBSIDIO!$V$42)*(0.04)/(1-0.04)</f>
        <v>0</v>
      </c>
      <c r="AC42" s="61">
        <f>((SUBSIDIO!$L$42*SUBSIDIO!$W$42)+(SUBSIDIO!$N$42*SUBSIDIO!$X$42))*(0.04)/(1-0.04)</f>
        <v>201.96132479999997</v>
      </c>
      <c r="AD42" s="61">
        <f>(SUBSIDIO!$J$42*SUBSIDIO!$Y$42)*(0.02)/(1-0.02)</f>
        <v>0</v>
      </c>
      <c r="AE42" s="61">
        <f ca="1">((SUBSIDIO!$L$42*SUBSIDIO!$Z$42)+(SUBSIDIO!$N$42*SUBSIDIO!$AA$42))*(0.02)/(1-0.02)</f>
        <v>114.65981570091402</v>
      </c>
      <c r="AF42" s="4" t="s">
        <v>590</v>
      </c>
    </row>
    <row r="43" spans="1:32" ht="11.25" customHeight="1" x14ac:dyDescent="0.25">
      <c r="A43" s="4" t="s">
        <v>28</v>
      </c>
      <c r="B43" s="4" t="s">
        <v>35</v>
      </c>
      <c r="C43" s="4" t="s">
        <v>36</v>
      </c>
      <c r="D43" s="4" t="s">
        <v>41</v>
      </c>
      <c r="E43" s="4" t="s">
        <v>25</v>
      </c>
      <c r="F43" s="4" t="s">
        <v>25</v>
      </c>
      <c r="G43" s="4" t="s">
        <v>25</v>
      </c>
      <c r="H43" s="4" t="s">
        <v>38</v>
      </c>
      <c r="I43" s="5">
        <v>44501</v>
      </c>
      <c r="J43" s="6">
        <v>0</v>
      </c>
      <c r="K43" s="61">
        <v>0</v>
      </c>
      <c r="L43" s="6">
        <v>32.448</v>
      </c>
      <c r="M43" s="61">
        <v>32.448</v>
      </c>
      <c r="N43" s="6">
        <v>32.448</v>
      </c>
      <c r="O43" s="61">
        <v>32.448</v>
      </c>
      <c r="P43" s="6">
        <v>0</v>
      </c>
      <c r="Q43" s="4" t="s">
        <v>26</v>
      </c>
      <c r="R43" s="4">
        <v>0</v>
      </c>
      <c r="S43" s="4">
        <v>0</v>
      </c>
      <c r="T43" s="4">
        <v>23</v>
      </c>
      <c r="U43" s="4">
        <v>51</v>
      </c>
      <c r="V43" s="61">
        <f>IF(ISERROR(VLOOKUP($S$43,'TAR FIN'!$A$1:$O$85,15,0)),0,VLOOKUP($S$43,'TAR FIN'!$A$1:$O$85,15,0))</f>
        <v>0</v>
      </c>
      <c r="W43" s="61">
        <f>IF(ISERROR(VLOOKUP($T$43,'TAR FIN'!$A$1:$O$85,15,0)),0,VLOOKUP($T$43,'TAR FIN'!$A$1:$O$85,15,0))*(1-0.04)</f>
        <v>63.571199999999997</v>
      </c>
      <c r="X43" s="61">
        <f>IF(ISERROR(VLOOKUP($U$43,'TAR FIN'!$A$1:$O$85,15,0)),0,VLOOKUP($U$43,'TAR FIN'!$A$1:$O$85,15,0))*(1-0.04)</f>
        <v>135.66719999999998</v>
      </c>
      <c r="Y43" s="61"/>
      <c r="Z43" s="61">
        <f ca="1">('TUSD BE'!$AM$12+'TUSD BF'!$AM$12+'TUSD CVA'!$AM$12)*1*(1-0.02)</f>
        <v>97.850794719339632</v>
      </c>
      <c r="AA43" s="61">
        <f>('TE BE'!$AB$6+'TE BF'!$AB$6+'TE CVA'!$AB$6)*1*(1-0.02)</f>
        <v>133.0901362797062</v>
      </c>
      <c r="AB43" s="61">
        <f>(SUBSIDIO!$J$43*SUBSIDIO!$V$43)*(0.04)/(1-0.04)</f>
        <v>0</v>
      </c>
      <c r="AC43" s="61">
        <f>((SUBSIDIO!$L$43*SUBSIDIO!$W$43)+(SUBSIDIO!$N$43*SUBSIDIO!$X$43))*(0.04)/(1-0.04)</f>
        <v>269.37031679999996</v>
      </c>
      <c r="AD43" s="61">
        <f>(SUBSIDIO!$J$43*SUBSIDIO!$Y$43)*(0.02)/(1-0.02)</f>
        <v>0</v>
      </c>
      <c r="AE43" s="61">
        <f ca="1">((SUBSIDIO!$L$43*SUBSIDIO!$Z$43)+(SUBSIDIO!$N$43*SUBSIDIO!$AA$43))*(0.02)/(1-0.02)</f>
        <v>152.93002712361309</v>
      </c>
      <c r="AF43" s="4" t="s">
        <v>590</v>
      </c>
    </row>
    <row r="44" spans="1:32" ht="11.25" customHeight="1" x14ac:dyDescent="0.25">
      <c r="A44" s="4" t="s">
        <v>21</v>
      </c>
      <c r="B44" s="4" t="s">
        <v>35</v>
      </c>
      <c r="C44" s="4" t="s">
        <v>36</v>
      </c>
      <c r="D44" s="4" t="s">
        <v>41</v>
      </c>
      <c r="E44" s="4" t="s">
        <v>25</v>
      </c>
      <c r="F44" s="4" t="s">
        <v>25</v>
      </c>
      <c r="G44" s="4" t="s">
        <v>25</v>
      </c>
      <c r="H44" s="4" t="s">
        <v>38</v>
      </c>
      <c r="I44" s="5">
        <v>44531</v>
      </c>
      <c r="J44" s="6">
        <v>0</v>
      </c>
      <c r="K44" s="61">
        <v>0</v>
      </c>
      <c r="L44" s="6">
        <v>1.9530000000000001</v>
      </c>
      <c r="M44" s="61">
        <v>1.9530000000000001</v>
      </c>
      <c r="N44" s="6">
        <v>1.9530000000000001</v>
      </c>
      <c r="O44" s="61">
        <v>1.9530000000000001</v>
      </c>
      <c r="P44" s="6">
        <v>0</v>
      </c>
      <c r="Q44" s="4" t="s">
        <v>26</v>
      </c>
      <c r="R44" s="4">
        <v>0</v>
      </c>
      <c r="S44" s="4">
        <v>0</v>
      </c>
      <c r="T44" s="4">
        <v>23</v>
      </c>
      <c r="U44" s="4">
        <v>51</v>
      </c>
      <c r="V44" s="61">
        <f>IF(ISERROR(VLOOKUP($S$44,'TAR FIN'!$A$1:$O$85,15,0)),0,VLOOKUP($S$44,'TAR FIN'!$A$1:$O$85,15,0))</f>
        <v>0</v>
      </c>
      <c r="W44" s="61">
        <f>IF(ISERROR(VLOOKUP($T$44,'TAR FIN'!$A$1:$O$85,15,0)),0,VLOOKUP($T$44,'TAR FIN'!$A$1:$O$85,15,0))*(1-0.04)</f>
        <v>63.571199999999997</v>
      </c>
      <c r="X44" s="61">
        <f>IF(ISERROR(VLOOKUP($U$44,'TAR FIN'!$A$1:$O$85,15,0)),0,VLOOKUP($U$44,'TAR FIN'!$A$1:$O$85,15,0))*(1-0.04)</f>
        <v>135.66719999999998</v>
      </c>
      <c r="Y44" s="61"/>
      <c r="Z44" s="61">
        <f ca="1">('TUSD BE'!$AM$12+'TUSD BF'!$AM$12+'TUSD CVA'!$AM$12)*1*(1-0.02)</f>
        <v>97.850794719339632</v>
      </c>
      <c r="AA44" s="61">
        <f>('TE BE'!$AB$6+'TE BF'!$AB$6+'TE CVA'!$AB$6)*1*(1-0.02)</f>
        <v>133.0901362797062</v>
      </c>
      <c r="AB44" s="61">
        <f>(SUBSIDIO!$J$44*SUBSIDIO!$V$44)*(0.04)/(1-0.04)</f>
        <v>0</v>
      </c>
      <c r="AC44" s="61">
        <f>((SUBSIDIO!$L$44*SUBSIDIO!$W$44)+(SUBSIDIO!$N$44*SUBSIDIO!$X$44))*(0.04)/(1-0.04)</f>
        <v>16.213024799999999</v>
      </c>
      <c r="AD44" s="61">
        <f>(SUBSIDIO!$J$44*SUBSIDIO!$Y$44)*(0.02)/(1-0.02)</f>
        <v>0</v>
      </c>
      <c r="AE44" s="61">
        <f ca="1">((SUBSIDIO!$L$44*SUBSIDIO!$Z$44)+(SUBSIDIO!$N$44*SUBSIDIO!$AA$44))*(0.02)/(1-0.02)</f>
        <v>9.2046456783905413</v>
      </c>
      <c r="AF44" s="4" t="s">
        <v>590</v>
      </c>
    </row>
    <row r="45" spans="1:32" ht="11.25" customHeight="1" x14ac:dyDescent="0.25">
      <c r="A45" s="4" t="s">
        <v>28</v>
      </c>
      <c r="B45" s="4" t="s">
        <v>35</v>
      </c>
      <c r="C45" s="4" t="s">
        <v>36</v>
      </c>
      <c r="D45" s="4" t="s">
        <v>41</v>
      </c>
      <c r="E45" s="4" t="s">
        <v>25</v>
      </c>
      <c r="F45" s="4" t="s">
        <v>25</v>
      </c>
      <c r="G45" s="4" t="s">
        <v>25</v>
      </c>
      <c r="H45" s="4" t="s">
        <v>38</v>
      </c>
      <c r="I45" s="5">
        <v>44531</v>
      </c>
      <c r="J45" s="6">
        <v>0</v>
      </c>
      <c r="K45" s="61">
        <v>0</v>
      </c>
      <c r="L45" s="6">
        <v>41.04</v>
      </c>
      <c r="M45" s="61">
        <v>41.04</v>
      </c>
      <c r="N45" s="6">
        <v>41.04</v>
      </c>
      <c r="O45" s="61">
        <v>41.04</v>
      </c>
      <c r="P45" s="6">
        <v>0</v>
      </c>
      <c r="Q45" s="4" t="s">
        <v>26</v>
      </c>
      <c r="R45" s="4">
        <v>0</v>
      </c>
      <c r="S45" s="4">
        <v>0</v>
      </c>
      <c r="T45" s="4">
        <v>23</v>
      </c>
      <c r="U45" s="4">
        <v>51</v>
      </c>
      <c r="V45" s="61">
        <f>IF(ISERROR(VLOOKUP($S$45,'TAR FIN'!$A$1:$O$85,15,0)),0,VLOOKUP($S$45,'TAR FIN'!$A$1:$O$85,15,0))</f>
        <v>0</v>
      </c>
      <c r="W45" s="61">
        <f>IF(ISERROR(VLOOKUP($T$45,'TAR FIN'!$A$1:$O$85,15,0)),0,VLOOKUP($T$45,'TAR FIN'!$A$1:$O$85,15,0))*(1-0.04)</f>
        <v>63.571199999999997</v>
      </c>
      <c r="X45" s="61">
        <f>IF(ISERROR(VLOOKUP($U$45,'TAR FIN'!$A$1:$O$85,15,0)),0,VLOOKUP($U$45,'TAR FIN'!$A$1:$O$85,15,0))*(1-0.04)</f>
        <v>135.66719999999998</v>
      </c>
      <c r="Y45" s="61"/>
      <c r="Z45" s="61">
        <f ca="1">('TUSD BE'!$AM$12+'TUSD BF'!$AM$12+'TUSD CVA'!$AM$12)*1*(1-0.02)</f>
        <v>97.850794719339632</v>
      </c>
      <c r="AA45" s="61">
        <f>('TE BE'!$AB$6+'TE BF'!$AB$6+'TE CVA'!$AB$6)*1*(1-0.02)</f>
        <v>133.0901362797062</v>
      </c>
      <c r="AB45" s="61">
        <f>(SUBSIDIO!$J$45*SUBSIDIO!$V$45)*(0.04)/(1-0.04)</f>
        <v>0</v>
      </c>
      <c r="AC45" s="61">
        <f>((SUBSIDIO!$L$45*SUBSIDIO!$W$45)+(SUBSIDIO!$N$45*SUBSIDIO!$X$45))*(0.04)/(1-0.04)</f>
        <v>340.69766399999997</v>
      </c>
      <c r="AD45" s="61">
        <f>(SUBSIDIO!$J$45*SUBSIDIO!$Y$45)*(0.02)/(1-0.02)</f>
        <v>0</v>
      </c>
      <c r="AE45" s="61">
        <f ca="1">((SUBSIDIO!$L$45*SUBSIDIO!$Z$45)+(SUBSIDIO!$N$45*SUBSIDIO!$AA$45))*(0.02)/(1-0.02)</f>
        <v>193.42481241226207</v>
      </c>
      <c r="AF45" s="4" t="s">
        <v>590</v>
      </c>
    </row>
    <row r="46" spans="1:32" ht="11.25" customHeight="1" x14ac:dyDescent="0.25">
      <c r="A46" s="4" t="s">
        <v>21</v>
      </c>
      <c r="B46" s="4" t="s">
        <v>35</v>
      </c>
      <c r="C46" s="4" t="s">
        <v>36</v>
      </c>
      <c r="D46" s="4" t="s">
        <v>41</v>
      </c>
      <c r="E46" s="4" t="s">
        <v>25</v>
      </c>
      <c r="F46" s="4" t="s">
        <v>25</v>
      </c>
      <c r="G46" s="4" t="s">
        <v>25</v>
      </c>
      <c r="H46" s="4" t="s">
        <v>38</v>
      </c>
      <c r="I46" s="5">
        <v>44562</v>
      </c>
      <c r="J46" s="6">
        <v>0</v>
      </c>
      <c r="K46" s="61">
        <v>0</v>
      </c>
      <c r="L46" s="6">
        <v>23.11</v>
      </c>
      <c r="M46" s="61">
        <v>23.11</v>
      </c>
      <c r="N46" s="6">
        <v>23.11</v>
      </c>
      <c r="O46" s="61">
        <v>23.11</v>
      </c>
      <c r="P46" s="6">
        <v>0</v>
      </c>
      <c r="Q46" s="4" t="s">
        <v>26</v>
      </c>
      <c r="R46" s="4">
        <v>0</v>
      </c>
      <c r="S46" s="4">
        <v>0</v>
      </c>
      <c r="T46" s="4">
        <v>23</v>
      </c>
      <c r="U46" s="4">
        <v>51</v>
      </c>
      <c r="V46" s="61">
        <f>IF(ISERROR(VLOOKUP($S$46,'TAR FIN'!$A$1:$O$85,15,0)),0,VLOOKUP($S$46,'TAR FIN'!$A$1:$O$85,15,0))</f>
        <v>0</v>
      </c>
      <c r="W46" s="61">
        <f>IF(ISERROR(VLOOKUP($T$46,'TAR FIN'!$A$1:$O$85,15,0)),0,VLOOKUP($T$46,'TAR FIN'!$A$1:$O$85,15,0))*(1-0.04)</f>
        <v>63.571199999999997</v>
      </c>
      <c r="X46" s="61">
        <f>IF(ISERROR(VLOOKUP($U$46,'TAR FIN'!$A$1:$O$85,15,0)),0,VLOOKUP($U$46,'TAR FIN'!$A$1:$O$85,15,0))*(1-0.04)</f>
        <v>135.66719999999998</v>
      </c>
      <c r="Y46" s="61"/>
      <c r="Z46" s="61">
        <f ca="1">('TUSD BE'!$AM$12+'TUSD BF'!$AM$12+'TUSD CVA'!$AM$12)*1*(1-0.02)</f>
        <v>97.850794719339632</v>
      </c>
      <c r="AA46" s="61">
        <f>('TE BE'!$AB$6+'TE BF'!$AB$6+'TE CVA'!$AB$6)*1*(1-0.02)</f>
        <v>133.0901362797062</v>
      </c>
      <c r="AB46" s="61">
        <f>(SUBSIDIO!$J$46*SUBSIDIO!$V$46)*(0.04)/(1-0.04)</f>
        <v>0</v>
      </c>
      <c r="AC46" s="61">
        <f>((SUBSIDIO!$L$46*SUBSIDIO!$W$46)+(SUBSIDIO!$N$46*SUBSIDIO!$X$46))*(0.04)/(1-0.04)</f>
        <v>191.849976</v>
      </c>
      <c r="AD46" s="61">
        <f>(SUBSIDIO!$J$46*SUBSIDIO!$Y$46)*(0.02)/(1-0.02)</f>
        <v>0</v>
      </c>
      <c r="AE46" s="61">
        <f ca="1">((SUBSIDIO!$L$46*SUBSIDIO!$Z$46)+(SUBSIDIO!$N$46*SUBSIDIO!$AA$46))*(0.02)/(1-0.02)</f>
        <v>108.91928398750916</v>
      </c>
      <c r="AF46" s="4" t="s">
        <v>590</v>
      </c>
    </row>
    <row r="47" spans="1:32" ht="11.25" customHeight="1" x14ac:dyDescent="0.25">
      <c r="A47" s="4" t="s">
        <v>28</v>
      </c>
      <c r="B47" s="4" t="s">
        <v>35</v>
      </c>
      <c r="C47" s="4" t="s">
        <v>36</v>
      </c>
      <c r="D47" s="4" t="s">
        <v>41</v>
      </c>
      <c r="E47" s="4" t="s">
        <v>25</v>
      </c>
      <c r="F47" s="4" t="s">
        <v>25</v>
      </c>
      <c r="G47" s="4" t="s">
        <v>25</v>
      </c>
      <c r="H47" s="4" t="s">
        <v>38</v>
      </c>
      <c r="I47" s="5">
        <v>44562</v>
      </c>
      <c r="J47" s="6">
        <v>0</v>
      </c>
      <c r="K47" s="61">
        <v>0</v>
      </c>
      <c r="L47" s="6">
        <v>38.734999999999999</v>
      </c>
      <c r="M47" s="61">
        <v>38.734999999999999</v>
      </c>
      <c r="N47" s="6">
        <v>38.734999999999999</v>
      </c>
      <c r="O47" s="61">
        <v>38.734999999999999</v>
      </c>
      <c r="P47" s="6">
        <v>0</v>
      </c>
      <c r="Q47" s="4" t="s">
        <v>26</v>
      </c>
      <c r="R47" s="4">
        <v>0</v>
      </c>
      <c r="S47" s="4">
        <v>0</v>
      </c>
      <c r="T47" s="4">
        <v>23</v>
      </c>
      <c r="U47" s="4">
        <v>51</v>
      </c>
      <c r="V47" s="61">
        <f>IF(ISERROR(VLOOKUP($S$47,'TAR FIN'!$A$1:$O$85,15,0)),0,VLOOKUP($S$47,'TAR FIN'!$A$1:$O$85,15,0))</f>
        <v>0</v>
      </c>
      <c r="W47" s="61">
        <f>IF(ISERROR(VLOOKUP($T$47,'TAR FIN'!$A$1:$O$85,15,0)),0,VLOOKUP($T$47,'TAR FIN'!$A$1:$O$85,15,0))*(1-0.04)</f>
        <v>63.571199999999997</v>
      </c>
      <c r="X47" s="61">
        <f>IF(ISERROR(VLOOKUP($U$47,'TAR FIN'!$A$1:$O$85,15,0)),0,VLOOKUP($U$47,'TAR FIN'!$A$1:$O$85,15,0))*(1-0.04)</f>
        <v>135.66719999999998</v>
      </c>
      <c r="Y47" s="61"/>
      <c r="Z47" s="61">
        <f ca="1">('TUSD BE'!$AM$12+'TUSD BF'!$AM$12+'TUSD CVA'!$AM$12)*1*(1-0.02)</f>
        <v>97.850794719339632</v>
      </c>
      <c r="AA47" s="61">
        <f>('TE BE'!$AB$6+'TE BF'!$AB$6+'TE CVA'!$AB$6)*1*(1-0.02)</f>
        <v>133.0901362797062</v>
      </c>
      <c r="AB47" s="61">
        <f>(SUBSIDIO!$J$47*SUBSIDIO!$V$47)*(0.04)/(1-0.04)</f>
        <v>0</v>
      </c>
      <c r="AC47" s="61">
        <f>((SUBSIDIO!$L$47*SUBSIDIO!$W$47)+(SUBSIDIO!$N$47*SUBSIDIO!$X$47))*(0.04)/(1-0.04)</f>
        <v>321.562476</v>
      </c>
      <c r="AD47" s="61">
        <f>(SUBSIDIO!$J$47*SUBSIDIO!$Y$47)*(0.02)/(1-0.02)</f>
        <v>0</v>
      </c>
      <c r="AE47" s="61">
        <f ca="1">((SUBSIDIO!$L$47*SUBSIDIO!$Z$47)+(SUBSIDIO!$N$47*SUBSIDIO!$AA$47))*(0.02)/(1-0.02)</f>
        <v>182.56116249485797</v>
      </c>
      <c r="AF47" s="4" t="s">
        <v>590</v>
      </c>
    </row>
    <row r="48" spans="1:32" ht="11.25" customHeight="1" x14ac:dyDescent="0.25">
      <c r="A48" s="4" t="s">
        <v>21</v>
      </c>
      <c r="B48" s="4" t="s">
        <v>35</v>
      </c>
      <c r="C48" s="4" t="s">
        <v>36</v>
      </c>
      <c r="D48" s="4" t="s">
        <v>41</v>
      </c>
      <c r="E48" s="4" t="s">
        <v>25</v>
      </c>
      <c r="F48" s="4" t="s">
        <v>25</v>
      </c>
      <c r="G48" s="4" t="s">
        <v>25</v>
      </c>
      <c r="H48" s="4" t="s">
        <v>38</v>
      </c>
      <c r="I48" s="5">
        <v>44593</v>
      </c>
      <c r="J48" s="6">
        <v>0</v>
      </c>
      <c r="K48" s="61">
        <v>0</v>
      </c>
      <c r="L48" s="6">
        <v>20.693000000000001</v>
      </c>
      <c r="M48" s="61">
        <v>20.693000000000001</v>
      </c>
      <c r="N48" s="6">
        <v>20.693000000000001</v>
      </c>
      <c r="O48" s="61">
        <v>20.693000000000001</v>
      </c>
      <c r="P48" s="6">
        <v>0</v>
      </c>
      <c r="Q48" s="4" t="s">
        <v>26</v>
      </c>
      <c r="R48" s="4">
        <v>0</v>
      </c>
      <c r="S48" s="4">
        <v>0</v>
      </c>
      <c r="T48" s="4">
        <v>23</v>
      </c>
      <c r="U48" s="4">
        <v>51</v>
      </c>
      <c r="V48" s="61">
        <f>IF(ISERROR(VLOOKUP($S$48,'TAR FIN'!$A$1:$O$85,15,0)),0,VLOOKUP($S$48,'TAR FIN'!$A$1:$O$85,15,0))</f>
        <v>0</v>
      </c>
      <c r="W48" s="61">
        <f>IF(ISERROR(VLOOKUP($T$48,'TAR FIN'!$A$1:$O$85,15,0)),0,VLOOKUP($T$48,'TAR FIN'!$A$1:$O$85,15,0))*(1-0.04)</f>
        <v>63.571199999999997</v>
      </c>
      <c r="X48" s="61">
        <f>IF(ISERROR(VLOOKUP($U$48,'TAR FIN'!$A$1:$O$85,15,0)),0,VLOOKUP($U$48,'TAR FIN'!$A$1:$O$85,15,0))*(1-0.04)</f>
        <v>135.66719999999998</v>
      </c>
      <c r="Y48" s="61"/>
      <c r="Z48" s="61">
        <f ca="1">('TUSD BE'!$AM$12+'TUSD BF'!$AM$12+'TUSD CVA'!$AM$12)*1*(1-0.02)</f>
        <v>97.850794719339632</v>
      </c>
      <c r="AA48" s="61">
        <f>('TE BE'!$AB$6+'TE BF'!$AB$6+'TE CVA'!$AB$6)*1*(1-0.02)</f>
        <v>133.0901362797062</v>
      </c>
      <c r="AB48" s="61">
        <f>(SUBSIDIO!$J$48*SUBSIDIO!$V$48)*(0.04)/(1-0.04)</f>
        <v>0</v>
      </c>
      <c r="AC48" s="61">
        <f>((SUBSIDIO!$L$48*SUBSIDIO!$W$48)+(SUBSIDIO!$N$48*SUBSIDIO!$X$48))*(0.04)/(1-0.04)</f>
        <v>171.78500880000001</v>
      </c>
      <c r="AD48" s="61">
        <f>(SUBSIDIO!$J$48*SUBSIDIO!$Y$48)*(0.02)/(1-0.02)</f>
        <v>0</v>
      </c>
      <c r="AE48" s="61">
        <f ca="1">((SUBSIDIO!$L$48*SUBSIDIO!$Z$48)+(SUBSIDIO!$N$48*SUBSIDIO!$AA$48))*(0.02)/(1-0.02)</f>
        <v>97.527769084964405</v>
      </c>
      <c r="AF48" s="4" t="s">
        <v>590</v>
      </c>
    </row>
    <row r="49" spans="1:32" ht="11.25" customHeight="1" x14ac:dyDescent="0.25">
      <c r="A49" s="4" t="s">
        <v>28</v>
      </c>
      <c r="B49" s="4" t="s">
        <v>35</v>
      </c>
      <c r="C49" s="4" t="s">
        <v>36</v>
      </c>
      <c r="D49" s="4" t="s">
        <v>41</v>
      </c>
      <c r="E49" s="4" t="s">
        <v>25</v>
      </c>
      <c r="F49" s="4" t="s">
        <v>25</v>
      </c>
      <c r="G49" s="4" t="s">
        <v>25</v>
      </c>
      <c r="H49" s="4" t="s">
        <v>38</v>
      </c>
      <c r="I49" s="5">
        <v>44593</v>
      </c>
      <c r="J49" s="6">
        <v>0</v>
      </c>
      <c r="K49" s="61">
        <v>0</v>
      </c>
      <c r="L49" s="6">
        <v>32.728000000000002</v>
      </c>
      <c r="M49" s="61">
        <v>32.728000000000002</v>
      </c>
      <c r="N49" s="6">
        <v>32.728000000000002</v>
      </c>
      <c r="O49" s="61">
        <v>32.728000000000002</v>
      </c>
      <c r="P49" s="6">
        <v>0</v>
      </c>
      <c r="Q49" s="4" t="s">
        <v>26</v>
      </c>
      <c r="R49" s="4">
        <v>0</v>
      </c>
      <c r="S49" s="4">
        <v>0</v>
      </c>
      <c r="T49" s="4">
        <v>23</v>
      </c>
      <c r="U49" s="4">
        <v>51</v>
      </c>
      <c r="V49" s="61">
        <f>IF(ISERROR(VLOOKUP($S$49,'TAR FIN'!$A$1:$O$85,15,0)),0,VLOOKUP($S$49,'TAR FIN'!$A$1:$O$85,15,0))</f>
        <v>0</v>
      </c>
      <c r="W49" s="61">
        <f>IF(ISERROR(VLOOKUP($T$49,'TAR FIN'!$A$1:$O$85,15,0)),0,VLOOKUP($T$49,'TAR FIN'!$A$1:$O$85,15,0))*(1-0.04)</f>
        <v>63.571199999999997</v>
      </c>
      <c r="X49" s="61">
        <f>IF(ISERROR(VLOOKUP($U$49,'TAR FIN'!$A$1:$O$85,15,0)),0,VLOOKUP($U$49,'TAR FIN'!$A$1:$O$85,15,0))*(1-0.04)</f>
        <v>135.66719999999998</v>
      </c>
      <c r="Y49" s="61"/>
      <c r="Z49" s="61">
        <f ca="1">('TUSD BE'!$AM$12+'TUSD BF'!$AM$12+'TUSD CVA'!$AM$12)*1*(1-0.02)</f>
        <v>97.850794719339632</v>
      </c>
      <c r="AA49" s="61">
        <f>('TE BE'!$AB$6+'TE BF'!$AB$6+'TE CVA'!$AB$6)*1*(1-0.02)</f>
        <v>133.0901362797062</v>
      </c>
      <c r="AB49" s="61">
        <f>(SUBSIDIO!$J$49*SUBSIDIO!$V$49)*(0.04)/(1-0.04)</f>
        <v>0</v>
      </c>
      <c r="AC49" s="61">
        <f>((SUBSIDIO!$L$49*SUBSIDIO!$W$49)+(SUBSIDIO!$N$49*SUBSIDIO!$X$49))*(0.04)/(1-0.04)</f>
        <v>271.69476479999997</v>
      </c>
      <c r="AD49" s="61">
        <f>(SUBSIDIO!$J$49*SUBSIDIO!$Y$49)*(0.02)/(1-0.02)</f>
        <v>0</v>
      </c>
      <c r="AE49" s="61">
        <f ca="1">((SUBSIDIO!$L$49*SUBSIDIO!$Z$49)+(SUBSIDIO!$N$49*SUBSIDIO!$AA$49))*(0.02)/(1-0.02)</f>
        <v>154.24968958646474</v>
      </c>
      <c r="AF49" s="4" t="s">
        <v>590</v>
      </c>
    </row>
    <row r="50" spans="1:32" ht="11.25" customHeight="1" x14ac:dyDescent="0.25">
      <c r="A50" s="4" t="s">
        <v>21</v>
      </c>
      <c r="B50" s="4" t="s">
        <v>35</v>
      </c>
      <c r="C50" s="4" t="s">
        <v>36</v>
      </c>
      <c r="D50" s="4" t="s">
        <v>41</v>
      </c>
      <c r="E50" s="4" t="s">
        <v>25</v>
      </c>
      <c r="F50" s="4" t="s">
        <v>25</v>
      </c>
      <c r="G50" s="4" t="s">
        <v>25</v>
      </c>
      <c r="H50" s="4" t="s">
        <v>38</v>
      </c>
      <c r="I50" s="5">
        <v>44621</v>
      </c>
      <c r="J50" s="6">
        <v>0</v>
      </c>
      <c r="K50" s="61">
        <v>0</v>
      </c>
      <c r="L50" s="6">
        <v>18.538</v>
      </c>
      <c r="M50" s="61">
        <v>18.538</v>
      </c>
      <c r="N50" s="6">
        <v>18.538</v>
      </c>
      <c r="O50" s="61">
        <v>18.538</v>
      </c>
      <c r="P50" s="6">
        <v>0</v>
      </c>
      <c r="Q50" s="4" t="s">
        <v>26</v>
      </c>
      <c r="R50" s="4">
        <v>0</v>
      </c>
      <c r="S50" s="4">
        <v>0</v>
      </c>
      <c r="T50" s="4">
        <v>23</v>
      </c>
      <c r="U50" s="4">
        <v>51</v>
      </c>
      <c r="V50" s="61">
        <f>IF(ISERROR(VLOOKUP($S$50,'TAR FIN'!$A$1:$O$85,15,0)),0,VLOOKUP($S$50,'TAR FIN'!$A$1:$O$85,15,0))</f>
        <v>0</v>
      </c>
      <c r="W50" s="61">
        <f>IF(ISERROR(VLOOKUP($T$50,'TAR FIN'!$A$1:$O$85,15,0)),0,VLOOKUP($T$50,'TAR FIN'!$A$1:$O$85,15,0))*(1-0.04)</f>
        <v>63.571199999999997</v>
      </c>
      <c r="X50" s="61">
        <f>IF(ISERROR(VLOOKUP($U$50,'TAR FIN'!$A$1:$O$85,15,0)),0,VLOOKUP($U$50,'TAR FIN'!$A$1:$O$85,15,0))*(1-0.04)</f>
        <v>135.66719999999998</v>
      </c>
      <c r="Y50" s="61"/>
      <c r="Z50" s="61">
        <f ca="1">('TUSD BE'!$AM$12+'TUSD BF'!$AM$12+'TUSD CVA'!$AM$12)*1*(1-0.02)</f>
        <v>97.850794719339632</v>
      </c>
      <c r="AA50" s="61">
        <f>('TE BE'!$AB$6+'TE BF'!$AB$6+'TE CVA'!$AB$6)*1*(1-0.02)</f>
        <v>133.0901362797062</v>
      </c>
      <c r="AB50" s="61">
        <f>(SUBSIDIO!$J$50*SUBSIDIO!$V$50)*(0.04)/(1-0.04)</f>
        <v>0</v>
      </c>
      <c r="AC50" s="61">
        <f>((SUBSIDIO!$L$50*SUBSIDIO!$W$50)+(SUBSIDIO!$N$50*SUBSIDIO!$X$50))*(0.04)/(1-0.04)</f>
        <v>153.89506079999998</v>
      </c>
      <c r="AD50" s="61">
        <f>(SUBSIDIO!$J$50*SUBSIDIO!$Y$50)*(0.02)/(1-0.02)</f>
        <v>0</v>
      </c>
      <c r="AE50" s="61">
        <f ca="1">((SUBSIDIO!$L$50*SUBSIDIO!$Z$50)+(SUBSIDIO!$N$50*SUBSIDIO!$AA$50))*(0.02)/(1-0.02)</f>
        <v>87.371081201230865</v>
      </c>
      <c r="AF50" s="4" t="s">
        <v>590</v>
      </c>
    </row>
    <row r="51" spans="1:32" ht="11.25" customHeight="1" x14ac:dyDescent="0.25">
      <c r="A51" s="4" t="s">
        <v>28</v>
      </c>
      <c r="B51" s="4" t="s">
        <v>35</v>
      </c>
      <c r="C51" s="4" t="s">
        <v>36</v>
      </c>
      <c r="D51" s="4" t="s">
        <v>41</v>
      </c>
      <c r="E51" s="4" t="s">
        <v>25</v>
      </c>
      <c r="F51" s="4" t="s">
        <v>25</v>
      </c>
      <c r="G51" s="4" t="s">
        <v>25</v>
      </c>
      <c r="H51" s="4" t="s">
        <v>38</v>
      </c>
      <c r="I51" s="5">
        <v>44621</v>
      </c>
      <c r="J51" s="6">
        <v>0</v>
      </c>
      <c r="K51" s="61">
        <v>0</v>
      </c>
      <c r="L51" s="6">
        <v>47.869</v>
      </c>
      <c r="M51" s="61">
        <v>47.869</v>
      </c>
      <c r="N51" s="6">
        <v>47.869</v>
      </c>
      <c r="O51" s="61">
        <v>47.869</v>
      </c>
      <c r="P51" s="6">
        <v>0</v>
      </c>
      <c r="Q51" s="4" t="s">
        <v>26</v>
      </c>
      <c r="R51" s="4">
        <v>0</v>
      </c>
      <c r="S51" s="4">
        <v>0</v>
      </c>
      <c r="T51" s="4">
        <v>23</v>
      </c>
      <c r="U51" s="4">
        <v>51</v>
      </c>
      <c r="V51" s="61">
        <f>IF(ISERROR(VLOOKUP($S$51,'TAR FIN'!$A$1:$O$85,15,0)),0,VLOOKUP($S$51,'TAR FIN'!$A$1:$O$85,15,0))</f>
        <v>0</v>
      </c>
      <c r="W51" s="61">
        <f>IF(ISERROR(VLOOKUP($T$51,'TAR FIN'!$A$1:$O$85,15,0)),0,VLOOKUP($T$51,'TAR FIN'!$A$1:$O$85,15,0))*(1-0.04)</f>
        <v>63.571199999999997</v>
      </c>
      <c r="X51" s="61">
        <f>IF(ISERROR(VLOOKUP($U$51,'TAR FIN'!$A$1:$O$85,15,0)),0,VLOOKUP($U$51,'TAR FIN'!$A$1:$O$85,15,0))*(1-0.04)</f>
        <v>135.66719999999998</v>
      </c>
      <c r="Y51" s="61"/>
      <c r="Z51" s="61">
        <f ca="1">('TUSD BE'!$AM$12+'TUSD BF'!$AM$12+'TUSD CVA'!$AM$12)*1*(1-0.02)</f>
        <v>97.850794719339632</v>
      </c>
      <c r="AA51" s="61">
        <f>('TE BE'!$AB$6+'TE BF'!$AB$6+'TE CVA'!$AB$6)*1*(1-0.02)</f>
        <v>133.0901362797062</v>
      </c>
      <c r="AB51" s="61">
        <f>(SUBSIDIO!$J$51*SUBSIDIO!$V$51)*(0.04)/(1-0.04)</f>
        <v>0</v>
      </c>
      <c r="AC51" s="61">
        <f>((SUBSIDIO!$L$51*SUBSIDIO!$W$51)+(SUBSIDIO!$N$51*SUBSIDIO!$X$51))*(0.04)/(1-0.04)</f>
        <v>397.38929039999999</v>
      </c>
      <c r="AD51" s="61">
        <f>(SUBSIDIO!$J$51*SUBSIDIO!$Y$51)*(0.02)/(1-0.02)</f>
        <v>0</v>
      </c>
      <c r="AE51" s="61">
        <f ca="1">((SUBSIDIO!$L$51*SUBSIDIO!$Z$51)+(SUBSIDIO!$N$51*SUBSIDIO!$AA$51))*(0.02)/(1-0.02)</f>
        <v>225.61043726516991</v>
      </c>
      <c r="AF51" s="4" t="s">
        <v>590</v>
      </c>
    </row>
    <row r="52" spans="1:32" ht="11.25" customHeight="1" x14ac:dyDescent="0.25">
      <c r="A52" s="4" t="s">
        <v>21</v>
      </c>
      <c r="B52" s="4" t="s">
        <v>35</v>
      </c>
      <c r="C52" s="4" t="s">
        <v>36</v>
      </c>
      <c r="D52" s="4" t="s">
        <v>41</v>
      </c>
      <c r="E52" s="4" t="s">
        <v>25</v>
      </c>
      <c r="F52" s="4" t="s">
        <v>25</v>
      </c>
      <c r="G52" s="4" t="s">
        <v>25</v>
      </c>
      <c r="H52" s="4" t="s">
        <v>38</v>
      </c>
      <c r="I52" s="5">
        <v>44652</v>
      </c>
      <c r="J52" s="6">
        <v>0</v>
      </c>
      <c r="K52" s="61">
        <v>0</v>
      </c>
      <c r="L52" s="6">
        <v>13.742000000000001</v>
      </c>
      <c r="M52" s="61">
        <v>13.742000000000001</v>
      </c>
      <c r="N52" s="6">
        <v>13.742000000000001</v>
      </c>
      <c r="O52" s="61">
        <v>13.742000000000001</v>
      </c>
      <c r="P52" s="6">
        <v>0</v>
      </c>
      <c r="Q52" s="4" t="s">
        <v>26</v>
      </c>
      <c r="R52" s="4">
        <v>0</v>
      </c>
      <c r="S52" s="4">
        <v>0</v>
      </c>
      <c r="T52" s="4">
        <v>23</v>
      </c>
      <c r="U52" s="4">
        <v>51</v>
      </c>
      <c r="V52" s="61">
        <f>IF(ISERROR(VLOOKUP($S$52,'TAR FIN'!$A$1:$O$85,15,0)),0,VLOOKUP($S$52,'TAR FIN'!$A$1:$O$85,15,0))</f>
        <v>0</v>
      </c>
      <c r="W52" s="61">
        <f>IF(ISERROR(VLOOKUP($T$52,'TAR FIN'!$A$1:$O$85,15,0)),0,VLOOKUP($T$52,'TAR FIN'!$A$1:$O$85,15,0))*(1-0.04)</f>
        <v>63.571199999999997</v>
      </c>
      <c r="X52" s="61">
        <f>IF(ISERROR(VLOOKUP($U$52,'TAR FIN'!$A$1:$O$85,15,0)),0,VLOOKUP($U$52,'TAR FIN'!$A$1:$O$85,15,0))*(1-0.04)</f>
        <v>135.66719999999998</v>
      </c>
      <c r="Y52" s="61"/>
      <c r="Z52" s="61">
        <f ca="1">('TUSD BE'!$AM$12+'TUSD BF'!$AM$12+'TUSD CVA'!$AM$12)*1*(1-0.02)</f>
        <v>97.850794719339632</v>
      </c>
      <c r="AA52" s="61">
        <f>('TE BE'!$AB$6+'TE BF'!$AB$6+'TE CVA'!$AB$6)*1*(1-0.02)</f>
        <v>133.0901362797062</v>
      </c>
      <c r="AB52" s="61">
        <f>(SUBSIDIO!$J$52*SUBSIDIO!$V$52)*(0.04)/(1-0.04)</f>
        <v>0</v>
      </c>
      <c r="AC52" s="61">
        <f>((SUBSIDIO!$L$52*SUBSIDIO!$W$52)+(SUBSIDIO!$N$52*SUBSIDIO!$X$52))*(0.04)/(1-0.04)</f>
        <v>114.0805872</v>
      </c>
      <c r="AD52" s="61">
        <f>(SUBSIDIO!$J$52*SUBSIDIO!$Y$52)*(0.02)/(1-0.02)</f>
        <v>0</v>
      </c>
      <c r="AE52" s="61">
        <f ca="1">((SUBSIDIO!$L$52*SUBSIDIO!$Z$52)+(SUBSIDIO!$N$52*SUBSIDIO!$AA$52))*(0.02)/(1-0.02)</f>
        <v>64.767148444671193</v>
      </c>
      <c r="AF52" s="4" t="s">
        <v>590</v>
      </c>
    </row>
    <row r="53" spans="1:32" ht="11.25" customHeight="1" x14ac:dyDescent="0.25">
      <c r="A53" s="4" t="s">
        <v>28</v>
      </c>
      <c r="B53" s="4" t="s">
        <v>35</v>
      </c>
      <c r="C53" s="4" t="s">
        <v>36</v>
      </c>
      <c r="D53" s="4" t="s">
        <v>41</v>
      </c>
      <c r="E53" s="4" t="s">
        <v>25</v>
      </c>
      <c r="F53" s="4" t="s">
        <v>25</v>
      </c>
      <c r="G53" s="4" t="s">
        <v>25</v>
      </c>
      <c r="H53" s="4" t="s">
        <v>38</v>
      </c>
      <c r="I53" s="5">
        <v>44652</v>
      </c>
      <c r="J53" s="6">
        <v>0</v>
      </c>
      <c r="K53" s="61">
        <v>0</v>
      </c>
      <c r="L53" s="6">
        <v>43.215000000000003</v>
      </c>
      <c r="M53" s="61">
        <v>43.215000000000003</v>
      </c>
      <c r="N53" s="6">
        <v>43.215000000000003</v>
      </c>
      <c r="O53" s="61">
        <v>43.215000000000003</v>
      </c>
      <c r="P53" s="6">
        <v>0</v>
      </c>
      <c r="Q53" s="4" t="s">
        <v>26</v>
      </c>
      <c r="R53" s="4">
        <v>0</v>
      </c>
      <c r="S53" s="4">
        <v>0</v>
      </c>
      <c r="T53" s="4">
        <v>23</v>
      </c>
      <c r="U53" s="4">
        <v>51</v>
      </c>
      <c r="V53" s="61">
        <f>IF(ISERROR(VLOOKUP($S$53,'TAR FIN'!$A$1:$O$85,15,0)),0,VLOOKUP($S$53,'TAR FIN'!$A$1:$O$85,15,0))</f>
        <v>0</v>
      </c>
      <c r="W53" s="61">
        <f>IF(ISERROR(VLOOKUP($T$53,'TAR FIN'!$A$1:$O$85,15,0)),0,VLOOKUP($T$53,'TAR FIN'!$A$1:$O$85,15,0))*(1-0.04)</f>
        <v>63.571199999999997</v>
      </c>
      <c r="X53" s="61">
        <f>IF(ISERROR(VLOOKUP($U$53,'TAR FIN'!$A$1:$O$85,15,0)),0,VLOOKUP($U$53,'TAR FIN'!$A$1:$O$85,15,0))*(1-0.04)</f>
        <v>135.66719999999998</v>
      </c>
      <c r="Y53" s="61"/>
      <c r="Z53" s="61">
        <f ca="1">('TUSD BE'!$AM$12+'TUSD BF'!$AM$12+'TUSD CVA'!$AM$12)*1*(1-0.02)</f>
        <v>97.850794719339632</v>
      </c>
      <c r="AA53" s="61">
        <f>('TE BE'!$AB$6+'TE BF'!$AB$6+'TE CVA'!$AB$6)*1*(1-0.02)</f>
        <v>133.0901362797062</v>
      </c>
      <c r="AB53" s="61">
        <f>(SUBSIDIO!$J$53*SUBSIDIO!$V$53)*(0.04)/(1-0.04)</f>
        <v>0</v>
      </c>
      <c r="AC53" s="61">
        <f>((SUBSIDIO!$L$53*SUBSIDIO!$W$53)+(SUBSIDIO!$N$53*SUBSIDIO!$X$53))*(0.04)/(1-0.04)</f>
        <v>358.75364400000001</v>
      </c>
      <c r="AD53" s="61">
        <f>(SUBSIDIO!$J$53*SUBSIDIO!$Y$53)*(0.02)/(1-0.02)</f>
        <v>0</v>
      </c>
      <c r="AE53" s="61">
        <f ca="1">((SUBSIDIO!$L$53*SUBSIDIO!$Z$53)+(SUBSIDIO!$N$53*SUBSIDIO!$AA$53))*(0.02)/(1-0.02)</f>
        <v>203.67576190048504</v>
      </c>
      <c r="AF53" s="4" t="s">
        <v>590</v>
      </c>
    </row>
    <row r="54" spans="1:32" ht="11.25" customHeight="1" x14ac:dyDescent="0.25">
      <c r="A54" s="4" t="s">
        <v>21</v>
      </c>
      <c r="B54" s="4" t="s">
        <v>35</v>
      </c>
      <c r="C54" s="4" t="s">
        <v>36</v>
      </c>
      <c r="D54" s="4" t="s">
        <v>41</v>
      </c>
      <c r="E54" s="4" t="s">
        <v>25</v>
      </c>
      <c r="F54" s="4" t="s">
        <v>25</v>
      </c>
      <c r="G54" s="4" t="s">
        <v>25</v>
      </c>
      <c r="H54" s="4" t="s">
        <v>38</v>
      </c>
      <c r="I54" s="5">
        <v>44682</v>
      </c>
      <c r="J54" s="6">
        <v>0</v>
      </c>
      <c r="K54" s="61">
        <v>0</v>
      </c>
      <c r="L54" s="6">
        <v>21.577000000000002</v>
      </c>
      <c r="M54" s="61">
        <v>21.577000000000002</v>
      </c>
      <c r="N54" s="6">
        <v>21.577000000000002</v>
      </c>
      <c r="O54" s="61">
        <v>21.577000000000002</v>
      </c>
      <c r="P54" s="6">
        <v>0</v>
      </c>
      <c r="Q54" s="4" t="s">
        <v>26</v>
      </c>
      <c r="R54" s="4">
        <v>0</v>
      </c>
      <c r="S54" s="4">
        <v>0</v>
      </c>
      <c r="T54" s="4">
        <v>23</v>
      </c>
      <c r="U54" s="4">
        <v>51</v>
      </c>
      <c r="V54" s="61">
        <f>IF(ISERROR(VLOOKUP($S$54,'TAR FIN'!$A$1:$O$85,15,0)),0,VLOOKUP($S$54,'TAR FIN'!$A$1:$O$85,15,0))</f>
        <v>0</v>
      </c>
      <c r="W54" s="61">
        <f>IF(ISERROR(VLOOKUP($T$54,'TAR FIN'!$A$1:$O$85,15,0)),0,VLOOKUP($T$54,'TAR FIN'!$A$1:$O$85,15,0))*(1-0.04)</f>
        <v>63.571199999999997</v>
      </c>
      <c r="X54" s="61">
        <f>IF(ISERROR(VLOOKUP($U$54,'TAR FIN'!$A$1:$O$85,15,0)),0,VLOOKUP($U$54,'TAR FIN'!$A$1:$O$85,15,0))*(1-0.04)</f>
        <v>135.66719999999998</v>
      </c>
      <c r="Y54" s="61"/>
      <c r="Z54" s="61">
        <f ca="1">('TUSD BE'!$AM$12+'TUSD BF'!$AM$12+'TUSD CVA'!$AM$12)*1*(1-0.02)</f>
        <v>97.850794719339632</v>
      </c>
      <c r="AA54" s="61">
        <f>('TE BE'!$AB$6+'TE BF'!$AB$6+'TE CVA'!$AB$6)*1*(1-0.02)</f>
        <v>133.0901362797062</v>
      </c>
      <c r="AB54" s="61">
        <f>(SUBSIDIO!$J$54*SUBSIDIO!$V$54)*(0.04)/(1-0.04)</f>
        <v>0</v>
      </c>
      <c r="AC54" s="61">
        <f>((SUBSIDIO!$L$54*SUBSIDIO!$W$54)+(SUBSIDIO!$N$54*SUBSIDIO!$X$54))*(0.04)/(1-0.04)</f>
        <v>179.12362320000003</v>
      </c>
      <c r="AD54" s="61">
        <f>(SUBSIDIO!$J$54*SUBSIDIO!$Y$54)*(0.02)/(1-0.02)</f>
        <v>0</v>
      </c>
      <c r="AE54" s="61">
        <f ca="1">((SUBSIDIO!$L$54*SUBSIDIO!$Z$54)+(SUBSIDIO!$N$54*SUBSIDIO!$AA$54))*(0.02)/(1-0.02)</f>
        <v>101.69413200339619</v>
      </c>
      <c r="AF54" s="4" t="s">
        <v>590</v>
      </c>
    </row>
    <row r="55" spans="1:32" ht="11.25" customHeight="1" x14ac:dyDescent="0.25">
      <c r="A55" s="4" t="s">
        <v>28</v>
      </c>
      <c r="B55" s="4" t="s">
        <v>35</v>
      </c>
      <c r="C55" s="4" t="s">
        <v>36</v>
      </c>
      <c r="D55" s="4" t="s">
        <v>41</v>
      </c>
      <c r="E55" s="4" t="s">
        <v>25</v>
      </c>
      <c r="F55" s="4" t="s">
        <v>25</v>
      </c>
      <c r="G55" s="4" t="s">
        <v>25</v>
      </c>
      <c r="H55" s="4" t="s">
        <v>38</v>
      </c>
      <c r="I55" s="5">
        <v>44682</v>
      </c>
      <c r="J55" s="6">
        <v>0</v>
      </c>
      <c r="K55" s="61">
        <v>0</v>
      </c>
      <c r="L55" s="6">
        <v>23.762</v>
      </c>
      <c r="M55" s="61">
        <v>23.762</v>
      </c>
      <c r="N55" s="6">
        <v>23.762</v>
      </c>
      <c r="O55" s="61">
        <v>23.762</v>
      </c>
      <c r="P55" s="6">
        <v>0</v>
      </c>
      <c r="Q55" s="4" t="s">
        <v>26</v>
      </c>
      <c r="R55" s="4">
        <v>0</v>
      </c>
      <c r="S55" s="4">
        <v>0</v>
      </c>
      <c r="T55" s="4">
        <v>23</v>
      </c>
      <c r="U55" s="4">
        <v>51</v>
      </c>
      <c r="V55" s="61">
        <f>IF(ISERROR(VLOOKUP($S$55,'TAR FIN'!$A$1:$O$85,15,0)),0,VLOOKUP($S$55,'TAR FIN'!$A$1:$O$85,15,0))</f>
        <v>0</v>
      </c>
      <c r="W55" s="61">
        <f>IF(ISERROR(VLOOKUP($T$55,'TAR FIN'!$A$1:$O$85,15,0)),0,VLOOKUP($T$55,'TAR FIN'!$A$1:$O$85,15,0))*(1-0.04)</f>
        <v>63.571199999999997</v>
      </c>
      <c r="X55" s="61">
        <f>IF(ISERROR(VLOOKUP($U$55,'TAR FIN'!$A$1:$O$85,15,0)),0,VLOOKUP($U$55,'TAR FIN'!$A$1:$O$85,15,0))*(1-0.04)</f>
        <v>135.66719999999998</v>
      </c>
      <c r="Y55" s="61"/>
      <c r="Z55" s="61">
        <f ca="1">('TUSD BE'!$AM$12+'TUSD BF'!$AM$12+'TUSD CVA'!$AM$12)*1*(1-0.02)</f>
        <v>97.850794719339632</v>
      </c>
      <c r="AA55" s="61">
        <f>('TE BE'!$AB$6+'TE BF'!$AB$6+'TE CVA'!$AB$6)*1*(1-0.02)</f>
        <v>133.0901362797062</v>
      </c>
      <c r="AB55" s="61">
        <f>(SUBSIDIO!$J$55*SUBSIDIO!$V$55)*(0.04)/(1-0.04)</f>
        <v>0</v>
      </c>
      <c r="AC55" s="61">
        <f>((SUBSIDIO!$L$55*SUBSIDIO!$W$55)+(SUBSIDIO!$N$55*SUBSIDIO!$X$55))*(0.04)/(1-0.04)</f>
        <v>197.26261919999999</v>
      </c>
      <c r="AD55" s="61">
        <f>(SUBSIDIO!$J$55*SUBSIDIO!$Y$55)*(0.02)/(1-0.02)</f>
        <v>0</v>
      </c>
      <c r="AE55" s="61">
        <f ca="1">((SUBSIDIO!$L$55*SUBSIDIO!$Z$55)+(SUBSIDIO!$N$55*SUBSIDIO!$AA$55))*(0.02)/(1-0.02)</f>
        <v>111.99221229386382</v>
      </c>
      <c r="AF55" s="4" t="s">
        <v>590</v>
      </c>
    </row>
    <row r="56" spans="1:32" ht="11.25" customHeight="1" x14ac:dyDescent="0.25">
      <c r="A56" s="4" t="s">
        <v>21</v>
      </c>
      <c r="B56" s="4" t="s">
        <v>35</v>
      </c>
      <c r="C56" s="4" t="s">
        <v>36</v>
      </c>
      <c r="D56" s="4" t="s">
        <v>41</v>
      </c>
      <c r="E56" s="4" t="s">
        <v>25</v>
      </c>
      <c r="F56" s="4" t="s">
        <v>25</v>
      </c>
      <c r="G56" s="4" t="s">
        <v>25</v>
      </c>
      <c r="H56" s="4" t="s">
        <v>38</v>
      </c>
      <c r="I56" s="5">
        <v>44713</v>
      </c>
      <c r="J56" s="6">
        <v>0</v>
      </c>
      <c r="K56" s="61">
        <v>0</v>
      </c>
      <c r="L56" s="6">
        <v>2.1389999999999998</v>
      </c>
      <c r="M56" s="61">
        <v>2.1389999999999998</v>
      </c>
      <c r="N56" s="6">
        <v>2.1389999999999998</v>
      </c>
      <c r="O56" s="61">
        <v>2.1389999999999998</v>
      </c>
      <c r="P56" s="6">
        <v>0</v>
      </c>
      <c r="Q56" s="4" t="s">
        <v>26</v>
      </c>
      <c r="R56" s="4">
        <v>0</v>
      </c>
      <c r="S56" s="4">
        <v>0</v>
      </c>
      <c r="T56" s="4">
        <v>23</v>
      </c>
      <c r="U56" s="4">
        <v>51</v>
      </c>
      <c r="V56" s="61">
        <f>IF(ISERROR(VLOOKUP($S$56,'TAR FIN'!$A$1:$O$85,15,0)),0,VLOOKUP($S$56,'TAR FIN'!$A$1:$O$85,15,0))</f>
        <v>0</v>
      </c>
      <c r="W56" s="61">
        <f>IF(ISERROR(VLOOKUP($T$56,'TAR FIN'!$A$1:$O$85,15,0)),0,VLOOKUP($T$56,'TAR FIN'!$A$1:$O$85,15,0))*(1-0.04)</f>
        <v>63.571199999999997</v>
      </c>
      <c r="X56" s="61">
        <f>IF(ISERROR(VLOOKUP($U$56,'TAR FIN'!$A$1:$O$85,15,0)),0,VLOOKUP($U$56,'TAR FIN'!$A$1:$O$85,15,0))*(1-0.04)</f>
        <v>135.66719999999998</v>
      </c>
      <c r="Y56" s="61"/>
      <c r="Z56" s="61">
        <f ca="1">('TUSD BE'!$AM$12+'TUSD BF'!$AM$12+'TUSD CVA'!$AM$12)*1*(1-0.02)</f>
        <v>97.850794719339632</v>
      </c>
      <c r="AA56" s="61">
        <f>('TE BE'!$AB$6+'TE BF'!$AB$6+'TE CVA'!$AB$6)*1*(1-0.02)</f>
        <v>133.0901362797062</v>
      </c>
      <c r="AB56" s="61">
        <f>(SUBSIDIO!$J$56*SUBSIDIO!$V$56)*(0.04)/(1-0.04)</f>
        <v>0</v>
      </c>
      <c r="AC56" s="61">
        <f>((SUBSIDIO!$L$56*SUBSIDIO!$W$56)+(SUBSIDIO!$N$56*SUBSIDIO!$X$56))*(0.04)/(1-0.04)</f>
        <v>17.757122399999997</v>
      </c>
      <c r="AD56" s="61">
        <f>(SUBSIDIO!$J$56*SUBSIDIO!$Y$56)*(0.02)/(1-0.02)</f>
        <v>0</v>
      </c>
      <c r="AE56" s="61">
        <f ca="1">((SUBSIDIO!$L$56*SUBSIDIO!$Z$56)+(SUBSIDIO!$N$56*SUBSIDIO!$AA$56))*(0.02)/(1-0.02)</f>
        <v>10.081278600142022</v>
      </c>
      <c r="AF56" s="4" t="s">
        <v>590</v>
      </c>
    </row>
    <row r="57" spans="1:32" ht="11.25" customHeight="1" x14ac:dyDescent="0.25">
      <c r="A57" s="4" t="s">
        <v>28</v>
      </c>
      <c r="B57" s="4" t="s">
        <v>35</v>
      </c>
      <c r="C57" s="4" t="s">
        <v>36</v>
      </c>
      <c r="D57" s="4" t="s">
        <v>41</v>
      </c>
      <c r="E57" s="4" t="s">
        <v>25</v>
      </c>
      <c r="F57" s="4" t="s">
        <v>25</v>
      </c>
      <c r="G57" s="4" t="s">
        <v>25</v>
      </c>
      <c r="H57" s="4" t="s">
        <v>38</v>
      </c>
      <c r="I57" s="5">
        <v>44713</v>
      </c>
      <c r="J57" s="6">
        <v>0</v>
      </c>
      <c r="K57" s="61">
        <v>0</v>
      </c>
      <c r="L57" s="6">
        <v>35.104999999999997</v>
      </c>
      <c r="M57" s="61">
        <v>35.104999999999997</v>
      </c>
      <c r="N57" s="6">
        <v>35.104999999999997</v>
      </c>
      <c r="O57" s="61">
        <v>35.104999999999997</v>
      </c>
      <c r="P57" s="6">
        <v>0</v>
      </c>
      <c r="Q57" s="4" t="s">
        <v>26</v>
      </c>
      <c r="R57" s="4">
        <v>0</v>
      </c>
      <c r="S57" s="4">
        <v>0</v>
      </c>
      <c r="T57" s="4">
        <v>23</v>
      </c>
      <c r="U57" s="4">
        <v>51</v>
      </c>
      <c r="V57" s="61">
        <f>IF(ISERROR(VLOOKUP($S$57,'TAR FIN'!$A$1:$O$85,15,0)),0,VLOOKUP($S$57,'TAR FIN'!$A$1:$O$85,15,0))</f>
        <v>0</v>
      </c>
      <c r="W57" s="61">
        <f>IF(ISERROR(VLOOKUP($T$57,'TAR FIN'!$A$1:$O$85,15,0)),0,VLOOKUP($T$57,'TAR FIN'!$A$1:$O$85,15,0))*(1-0.04)</f>
        <v>63.571199999999997</v>
      </c>
      <c r="X57" s="61">
        <f>IF(ISERROR(VLOOKUP($U$57,'TAR FIN'!$A$1:$O$85,15,0)),0,VLOOKUP($U$57,'TAR FIN'!$A$1:$O$85,15,0))*(1-0.04)</f>
        <v>135.66719999999998</v>
      </c>
      <c r="Y57" s="61"/>
      <c r="Z57" s="61">
        <f ca="1">('TUSD BE'!$AM$12+'TUSD BF'!$AM$12+'TUSD CVA'!$AM$12)*1*(1-0.02)</f>
        <v>97.850794719339632</v>
      </c>
      <c r="AA57" s="61">
        <f>('TE BE'!$AB$6+'TE BF'!$AB$6+'TE CVA'!$AB$6)*1*(1-0.02)</f>
        <v>133.0901362797062</v>
      </c>
      <c r="AB57" s="61">
        <f>(SUBSIDIO!$J$57*SUBSIDIO!$V$57)*(0.04)/(1-0.04)</f>
        <v>0</v>
      </c>
      <c r="AC57" s="61">
        <f>((SUBSIDIO!$L$57*SUBSIDIO!$W$57)+(SUBSIDIO!$N$57*SUBSIDIO!$X$57))*(0.04)/(1-0.04)</f>
        <v>291.42766799999993</v>
      </c>
      <c r="AD57" s="61">
        <f>(SUBSIDIO!$J$57*SUBSIDIO!$Y$57)*(0.02)/(1-0.02)</f>
        <v>0</v>
      </c>
      <c r="AE57" s="61">
        <f ca="1">((SUBSIDIO!$L$57*SUBSIDIO!$Z$57)+(SUBSIDIO!$N$57*SUBSIDIO!$AA$57))*(0.02)/(1-0.02)</f>
        <v>165.45268128003067</v>
      </c>
      <c r="AF57" s="4" t="s">
        <v>590</v>
      </c>
    </row>
    <row r="58" spans="1:32" ht="11.25" customHeight="1" x14ac:dyDescent="0.25">
      <c r="A58" s="4" t="s">
        <v>21</v>
      </c>
      <c r="B58" s="4" t="s">
        <v>35</v>
      </c>
      <c r="C58" s="4" t="s">
        <v>36</v>
      </c>
      <c r="D58" s="4" t="s">
        <v>41</v>
      </c>
      <c r="E58" s="4" t="s">
        <v>25</v>
      </c>
      <c r="F58" s="4" t="s">
        <v>25</v>
      </c>
      <c r="G58" s="4" t="s">
        <v>25</v>
      </c>
      <c r="H58" s="4" t="s">
        <v>38</v>
      </c>
      <c r="I58" s="5">
        <v>44743</v>
      </c>
      <c r="J58" s="6">
        <v>0</v>
      </c>
      <c r="K58" s="61">
        <v>0</v>
      </c>
      <c r="L58" s="6">
        <v>0.872</v>
      </c>
      <c r="M58" s="61">
        <v>0.872</v>
      </c>
      <c r="N58" s="6">
        <v>0.872</v>
      </c>
      <c r="O58" s="61">
        <v>0.872</v>
      </c>
      <c r="P58" s="6">
        <v>0</v>
      </c>
      <c r="Q58" s="4" t="s">
        <v>26</v>
      </c>
      <c r="R58" s="4">
        <v>0</v>
      </c>
      <c r="S58" s="4">
        <v>0</v>
      </c>
      <c r="T58" s="4">
        <v>23</v>
      </c>
      <c r="U58" s="4">
        <v>51</v>
      </c>
      <c r="V58" s="61">
        <f>IF(ISERROR(VLOOKUP($S$58,'TAR FIN'!$A$1:$O$85,15,0)),0,VLOOKUP($S$58,'TAR FIN'!$A$1:$O$85,15,0))</f>
        <v>0</v>
      </c>
      <c r="W58" s="61">
        <f>IF(ISERROR(VLOOKUP($T$58,'TAR FIN'!$A$1:$O$85,15,0)),0,VLOOKUP($T$58,'TAR FIN'!$A$1:$O$85,15,0))*(1-0.04)</f>
        <v>63.571199999999997</v>
      </c>
      <c r="X58" s="61">
        <f>IF(ISERROR(VLOOKUP($U$58,'TAR FIN'!$A$1:$O$85,15,0)),0,VLOOKUP($U$58,'TAR FIN'!$A$1:$O$85,15,0))*(1-0.04)</f>
        <v>135.66719999999998</v>
      </c>
      <c r="Y58" s="61"/>
      <c r="Z58" s="61">
        <f ca="1">('TUSD BE'!$AM$12+'TUSD BF'!$AM$12+'TUSD CVA'!$AM$12)*1*(1-0.02)</f>
        <v>97.850794719339632</v>
      </c>
      <c r="AA58" s="61">
        <f>('TE BE'!$AB$6+'TE BF'!$AB$6+'TE CVA'!$AB$6)*1*(1-0.02)</f>
        <v>133.0901362797062</v>
      </c>
      <c r="AB58" s="61">
        <f>(SUBSIDIO!$J$58*SUBSIDIO!$V$58)*(0.04)/(1-0.04)</f>
        <v>0</v>
      </c>
      <c r="AC58" s="61">
        <f>((SUBSIDIO!$L$58*SUBSIDIO!$W$58)+(SUBSIDIO!$N$58*SUBSIDIO!$X$58))*(0.04)/(1-0.04)</f>
        <v>7.2389951999999989</v>
      </c>
      <c r="AD58" s="61">
        <f>(SUBSIDIO!$J$58*SUBSIDIO!$Y$58)*(0.02)/(1-0.02)</f>
        <v>0</v>
      </c>
      <c r="AE58" s="61">
        <f ca="1">((SUBSIDIO!$L$58*SUBSIDIO!$Z$58)+(SUBSIDIO!$N$58*SUBSIDIO!$AA$58))*(0.02)/(1-0.02)</f>
        <v>4.1098059557381212</v>
      </c>
      <c r="AF58" s="4" t="s">
        <v>590</v>
      </c>
    </row>
    <row r="59" spans="1:32" ht="11.25" customHeight="1" x14ac:dyDescent="0.25">
      <c r="A59" s="4" t="s">
        <v>21</v>
      </c>
      <c r="B59" s="4" t="s">
        <v>35</v>
      </c>
      <c r="C59" s="4" t="s">
        <v>36</v>
      </c>
      <c r="D59" s="4" t="s">
        <v>41</v>
      </c>
      <c r="E59" s="4" t="s">
        <v>25</v>
      </c>
      <c r="F59" s="4" t="s">
        <v>25</v>
      </c>
      <c r="G59" s="4" t="s">
        <v>25</v>
      </c>
      <c r="H59" s="4" t="s">
        <v>38</v>
      </c>
      <c r="I59" s="5">
        <v>44774</v>
      </c>
      <c r="J59" s="6">
        <v>0</v>
      </c>
      <c r="K59" s="61">
        <v>0</v>
      </c>
      <c r="L59" s="6">
        <v>15.085000000000001</v>
      </c>
      <c r="M59" s="61">
        <v>15.085000000000001</v>
      </c>
      <c r="N59" s="6">
        <v>15.085000000000001</v>
      </c>
      <c r="O59" s="61">
        <v>15.085000000000001</v>
      </c>
      <c r="P59" s="6">
        <v>0</v>
      </c>
      <c r="Q59" s="4" t="s">
        <v>26</v>
      </c>
      <c r="R59" s="4">
        <v>0</v>
      </c>
      <c r="S59" s="4">
        <v>0</v>
      </c>
      <c r="T59" s="4">
        <v>23</v>
      </c>
      <c r="U59" s="4">
        <v>51</v>
      </c>
      <c r="V59" s="61">
        <f>IF(ISERROR(VLOOKUP($S$59,'TAR FIN'!$A$1:$O$85,15,0)),0,VLOOKUP($S$59,'TAR FIN'!$A$1:$O$85,15,0))</f>
        <v>0</v>
      </c>
      <c r="W59" s="61">
        <f>IF(ISERROR(VLOOKUP($T$59,'TAR FIN'!$A$1:$O$85,15,0)),0,VLOOKUP($T$59,'TAR FIN'!$A$1:$O$85,15,0))*(1-0.04)</f>
        <v>63.571199999999997</v>
      </c>
      <c r="X59" s="61">
        <f>IF(ISERROR(VLOOKUP($U$59,'TAR FIN'!$A$1:$O$85,15,0)),0,VLOOKUP($U$59,'TAR FIN'!$A$1:$O$85,15,0))*(1-0.04)</f>
        <v>135.66719999999998</v>
      </c>
      <c r="Y59" s="61"/>
      <c r="Z59" s="61">
        <f ca="1">('TUSD BE'!$AM$12+'TUSD BF'!$AM$12+'TUSD CVA'!$AM$12)*1*(1-0.02)</f>
        <v>97.850794719339632</v>
      </c>
      <c r="AA59" s="61">
        <f>('TE BE'!$AB$6+'TE BF'!$AB$6+'TE CVA'!$AB$6)*1*(1-0.02)</f>
        <v>133.0901362797062</v>
      </c>
      <c r="AB59" s="61">
        <f>(SUBSIDIO!$J$59*SUBSIDIO!$V$59)*(0.04)/(1-0.04)</f>
        <v>0</v>
      </c>
      <c r="AC59" s="61">
        <f>((SUBSIDIO!$L$59*SUBSIDIO!$W$59)+(SUBSIDIO!$N$59*SUBSIDIO!$X$59))*(0.04)/(1-0.04)</f>
        <v>125.229636</v>
      </c>
      <c r="AD59" s="61">
        <f>(SUBSIDIO!$J$59*SUBSIDIO!$Y$59)*(0.02)/(1-0.02)</f>
        <v>0</v>
      </c>
      <c r="AE59" s="61">
        <f ca="1">((SUBSIDIO!$L$59*SUBSIDIO!$Z$59)+(SUBSIDIO!$N$59*SUBSIDIO!$AA$59))*(0.02)/(1-0.02)</f>
        <v>71.096815186134833</v>
      </c>
      <c r="AF59" s="4" t="s">
        <v>590</v>
      </c>
    </row>
    <row r="60" spans="1:32" ht="11.25" customHeight="1" x14ac:dyDescent="0.25">
      <c r="A60" s="4" t="s">
        <v>28</v>
      </c>
      <c r="B60" s="4" t="s">
        <v>35</v>
      </c>
      <c r="C60" s="4" t="s">
        <v>36</v>
      </c>
      <c r="D60" s="4" t="s">
        <v>41</v>
      </c>
      <c r="E60" s="4" t="s">
        <v>25</v>
      </c>
      <c r="F60" s="4" t="s">
        <v>25</v>
      </c>
      <c r="G60" s="4" t="s">
        <v>25</v>
      </c>
      <c r="H60" s="4" t="s">
        <v>38</v>
      </c>
      <c r="I60" s="5">
        <v>44774</v>
      </c>
      <c r="J60" s="6">
        <v>0</v>
      </c>
      <c r="K60" s="61">
        <v>0</v>
      </c>
      <c r="L60" s="6">
        <v>56.241</v>
      </c>
      <c r="M60" s="61">
        <v>56.241</v>
      </c>
      <c r="N60" s="6">
        <v>56.241</v>
      </c>
      <c r="O60" s="61">
        <v>56.241</v>
      </c>
      <c r="P60" s="6">
        <v>0</v>
      </c>
      <c r="Q60" s="4" t="s">
        <v>26</v>
      </c>
      <c r="R60" s="4">
        <v>0</v>
      </c>
      <c r="S60" s="4">
        <v>0</v>
      </c>
      <c r="T60" s="4">
        <v>23</v>
      </c>
      <c r="U60" s="4">
        <v>51</v>
      </c>
      <c r="V60" s="61">
        <f>IF(ISERROR(VLOOKUP($S$60,'TAR FIN'!$A$1:$O$85,15,0)),0,VLOOKUP($S$60,'TAR FIN'!$A$1:$O$85,15,0))</f>
        <v>0</v>
      </c>
      <c r="W60" s="61">
        <f>IF(ISERROR(VLOOKUP($T$60,'TAR FIN'!$A$1:$O$85,15,0)),0,VLOOKUP($T$60,'TAR FIN'!$A$1:$O$85,15,0))*(1-0.04)</f>
        <v>63.571199999999997</v>
      </c>
      <c r="X60" s="61">
        <f>IF(ISERROR(VLOOKUP($U$60,'TAR FIN'!$A$1:$O$85,15,0)),0,VLOOKUP($U$60,'TAR FIN'!$A$1:$O$85,15,0))*(1-0.04)</f>
        <v>135.66719999999998</v>
      </c>
      <c r="Y60" s="61"/>
      <c r="Z60" s="61">
        <f ca="1">('TUSD BE'!$AM$12+'TUSD BF'!$AM$12+'TUSD CVA'!$AM$12)*1*(1-0.02)</f>
        <v>97.850794719339632</v>
      </c>
      <c r="AA60" s="61">
        <f>('TE BE'!$AB$6+'TE BF'!$AB$6+'TE CVA'!$AB$6)*1*(1-0.02)</f>
        <v>133.0901362797062</v>
      </c>
      <c r="AB60" s="61">
        <f>(SUBSIDIO!$J$60*SUBSIDIO!$V$60)*(0.04)/(1-0.04)</f>
        <v>0</v>
      </c>
      <c r="AC60" s="61">
        <f>((SUBSIDIO!$L$60*SUBSIDIO!$W$60)+(SUBSIDIO!$N$60*SUBSIDIO!$X$60))*(0.04)/(1-0.04)</f>
        <v>466.89028559999997</v>
      </c>
      <c r="AD60" s="61">
        <f>(SUBSIDIO!$J$60*SUBSIDIO!$Y$60)*(0.02)/(1-0.02)</f>
        <v>0</v>
      </c>
      <c r="AE60" s="61">
        <f ca="1">((SUBSIDIO!$L$60*SUBSIDIO!$Z$60)+(SUBSIDIO!$N$60*SUBSIDIO!$AA$60))*(0.02)/(1-0.02)</f>
        <v>265.06834490443543</v>
      </c>
      <c r="AF60" s="4" t="s">
        <v>590</v>
      </c>
    </row>
    <row r="61" spans="1:32" ht="11.25" customHeight="1" x14ac:dyDescent="0.25">
      <c r="A61" s="4" t="s">
        <v>21</v>
      </c>
      <c r="B61" s="4" t="s">
        <v>35</v>
      </c>
      <c r="C61" s="4" t="s">
        <v>36</v>
      </c>
      <c r="D61" s="4" t="s">
        <v>41</v>
      </c>
      <c r="E61" s="4" t="s">
        <v>25</v>
      </c>
      <c r="F61" s="4" t="s">
        <v>25</v>
      </c>
      <c r="G61" s="4" t="s">
        <v>25</v>
      </c>
      <c r="H61" s="4" t="s">
        <v>25</v>
      </c>
      <c r="I61" s="5">
        <v>44440</v>
      </c>
      <c r="J61" s="6">
        <v>90</v>
      </c>
      <c r="K61" s="61">
        <v>90</v>
      </c>
      <c r="L61" s="6">
        <v>0</v>
      </c>
      <c r="M61" s="61">
        <v>0</v>
      </c>
      <c r="N61" s="6">
        <v>0</v>
      </c>
      <c r="O61" s="61">
        <v>0</v>
      </c>
      <c r="P61" s="6">
        <v>1</v>
      </c>
      <c r="Q61" s="4" t="s">
        <v>26</v>
      </c>
      <c r="R61" s="4">
        <v>0</v>
      </c>
      <c r="S61" s="4">
        <v>16</v>
      </c>
      <c r="T61" s="4">
        <v>0</v>
      </c>
      <c r="U61" s="4">
        <v>0</v>
      </c>
      <c r="V61" s="61">
        <f>IF(ISERROR(VLOOKUP($S$61,'TAR FIN'!$A$1:$O$85,15,0)),0,VLOOKUP($S$61,'TAR FIN'!$A$1:$O$85,15,0))*(1-0.04)</f>
        <v>24.633599999999998</v>
      </c>
      <c r="W61" s="61">
        <f>IF(ISERROR(VLOOKUP($T$61,'TAR FIN'!$A$1:$O$85,15,0)),0,VLOOKUP($T$61,'TAR FIN'!$A$1:$O$85,15,0))</f>
        <v>0</v>
      </c>
      <c r="X61" s="61">
        <f>IF(ISERROR(VLOOKUP($U$61,'TAR FIN'!$A$1:$O$85,15,0)),0,VLOOKUP($U$61,'TAR FIN'!$A$1:$O$85,15,0))</f>
        <v>0</v>
      </c>
      <c r="Y61" s="61">
        <f ca="1">('TUSD BE'!$AM$10+'TUSD BF'!$AM$10+'TUSD CVA'!$AM$10)*1*(1-0.02)</f>
        <v>24.68581629644903</v>
      </c>
      <c r="Z61" s="61"/>
      <c r="AA61" s="61"/>
      <c r="AB61" s="61">
        <f>(SUBSIDIO!$J$61*SUBSIDIO!$V$61)*(0.04)/(1-0.04)</f>
        <v>92.376000000000005</v>
      </c>
      <c r="AC61" s="61">
        <f>((SUBSIDIO!$L$61*SUBSIDIO!$W$61)+(SUBSIDIO!$N$61*SUBSIDIO!$X$61))*(0.04)/(1-0.04)</f>
        <v>0</v>
      </c>
      <c r="AD61" s="61">
        <f ca="1">(SUBSIDIO!$J$61*SUBSIDIO!$Y$61)*(0.02)/(1-0.02)</f>
        <v>45.341295238375764</v>
      </c>
      <c r="AE61" s="61">
        <f>((SUBSIDIO!$L$61*SUBSIDIO!$Z$61)+(SUBSIDIO!$N$61*SUBSIDIO!$AA$61))*(0.02)/(1-0.02)</f>
        <v>0</v>
      </c>
      <c r="AF61" s="4" t="s">
        <v>590</v>
      </c>
    </row>
    <row r="62" spans="1:32" ht="11.25" customHeight="1" x14ac:dyDescent="0.25">
      <c r="A62" s="4" t="s">
        <v>28</v>
      </c>
      <c r="B62" s="4" t="s">
        <v>35</v>
      </c>
      <c r="C62" s="4" t="s">
        <v>36</v>
      </c>
      <c r="D62" s="4" t="s">
        <v>41</v>
      </c>
      <c r="E62" s="4" t="s">
        <v>25</v>
      </c>
      <c r="F62" s="4" t="s">
        <v>25</v>
      </c>
      <c r="G62" s="4" t="s">
        <v>25</v>
      </c>
      <c r="H62" s="4" t="s">
        <v>25</v>
      </c>
      <c r="I62" s="5">
        <v>44440</v>
      </c>
      <c r="J62" s="6">
        <v>264</v>
      </c>
      <c r="K62" s="61">
        <v>264</v>
      </c>
      <c r="L62" s="6">
        <v>0</v>
      </c>
      <c r="M62" s="61">
        <v>0</v>
      </c>
      <c r="N62" s="6">
        <v>0</v>
      </c>
      <c r="O62" s="61">
        <v>0</v>
      </c>
      <c r="P62" s="6">
        <v>2</v>
      </c>
      <c r="Q62" s="4" t="s">
        <v>26</v>
      </c>
      <c r="R62" s="4">
        <v>0</v>
      </c>
      <c r="S62" s="4">
        <v>16</v>
      </c>
      <c r="T62" s="4">
        <v>0</v>
      </c>
      <c r="U62" s="4">
        <v>0</v>
      </c>
      <c r="V62" s="61">
        <f>IF(ISERROR(VLOOKUP($S$62,'TAR FIN'!$A$1:$O$85,15,0)),0,VLOOKUP($S$62,'TAR FIN'!$A$1:$O$85,15,0))*(1-0.04)</f>
        <v>24.633599999999998</v>
      </c>
      <c r="W62" s="61">
        <f>IF(ISERROR(VLOOKUP($T$62,'TAR FIN'!$A$1:$O$85,15,0)),0,VLOOKUP($T$62,'TAR FIN'!$A$1:$O$85,15,0))</f>
        <v>0</v>
      </c>
      <c r="X62" s="61">
        <f>IF(ISERROR(VLOOKUP($U$62,'TAR FIN'!$A$1:$O$85,15,0)),0,VLOOKUP($U$62,'TAR FIN'!$A$1:$O$85,15,0))</f>
        <v>0</v>
      </c>
      <c r="Y62" s="61">
        <f ca="1">('TUSD BE'!$AM$10+'TUSD BF'!$AM$10+'TUSD CVA'!$AM$10)*1*(1-0.02)</f>
        <v>24.68581629644903</v>
      </c>
      <c r="Z62" s="61"/>
      <c r="AA62" s="61"/>
      <c r="AB62" s="61">
        <f>(SUBSIDIO!$J$62*SUBSIDIO!$V$62)*(0.04)/(1-0.04)</f>
        <v>270.96960000000001</v>
      </c>
      <c r="AC62" s="61">
        <f>((SUBSIDIO!$L$62*SUBSIDIO!$W$62)+(SUBSIDIO!$N$62*SUBSIDIO!$X$62))*(0.04)/(1-0.04)</f>
        <v>0</v>
      </c>
      <c r="AD62" s="61">
        <f ca="1">(SUBSIDIO!$J$62*SUBSIDIO!$Y$62)*(0.02)/(1-0.02)</f>
        <v>133.0011326992356</v>
      </c>
      <c r="AE62" s="61">
        <f>((SUBSIDIO!$L$62*SUBSIDIO!$Z$62)+(SUBSIDIO!$N$62*SUBSIDIO!$AA$62))*(0.02)/(1-0.02)</f>
        <v>0</v>
      </c>
      <c r="AF62" s="4" t="s">
        <v>590</v>
      </c>
    </row>
    <row r="63" spans="1:32" ht="11.25" customHeight="1" x14ac:dyDescent="0.25">
      <c r="A63" s="4" t="s">
        <v>21</v>
      </c>
      <c r="B63" s="4" t="s">
        <v>35</v>
      </c>
      <c r="C63" s="4" t="s">
        <v>36</v>
      </c>
      <c r="D63" s="4" t="s">
        <v>41</v>
      </c>
      <c r="E63" s="4" t="s">
        <v>25</v>
      </c>
      <c r="F63" s="4" t="s">
        <v>25</v>
      </c>
      <c r="G63" s="4" t="s">
        <v>25</v>
      </c>
      <c r="H63" s="4" t="s">
        <v>25</v>
      </c>
      <c r="I63" s="5">
        <v>44470</v>
      </c>
      <c r="J63" s="6">
        <v>90</v>
      </c>
      <c r="K63" s="61">
        <v>90</v>
      </c>
      <c r="L63" s="6">
        <v>0</v>
      </c>
      <c r="M63" s="61">
        <v>0</v>
      </c>
      <c r="N63" s="6">
        <v>0</v>
      </c>
      <c r="O63" s="61">
        <v>0</v>
      </c>
      <c r="P63" s="6">
        <v>1</v>
      </c>
      <c r="Q63" s="4" t="s">
        <v>26</v>
      </c>
      <c r="R63" s="4">
        <v>0</v>
      </c>
      <c r="S63" s="4">
        <v>16</v>
      </c>
      <c r="T63" s="4">
        <v>0</v>
      </c>
      <c r="U63" s="4">
        <v>0</v>
      </c>
      <c r="V63" s="61">
        <f>IF(ISERROR(VLOOKUP($S$63,'TAR FIN'!$A$1:$O$85,15,0)),0,VLOOKUP($S$63,'TAR FIN'!$A$1:$O$85,15,0))*(1-0.04)</f>
        <v>24.633599999999998</v>
      </c>
      <c r="W63" s="61">
        <f>IF(ISERROR(VLOOKUP($T$63,'TAR FIN'!$A$1:$O$85,15,0)),0,VLOOKUP($T$63,'TAR FIN'!$A$1:$O$85,15,0))</f>
        <v>0</v>
      </c>
      <c r="X63" s="61">
        <f>IF(ISERROR(VLOOKUP($U$63,'TAR FIN'!$A$1:$O$85,15,0)),0,VLOOKUP($U$63,'TAR FIN'!$A$1:$O$85,15,0))</f>
        <v>0</v>
      </c>
      <c r="Y63" s="61">
        <f ca="1">('TUSD BE'!$AM$10+'TUSD BF'!$AM$10+'TUSD CVA'!$AM$10)*1*(1-0.02)</f>
        <v>24.68581629644903</v>
      </c>
      <c r="Z63" s="61"/>
      <c r="AA63" s="61"/>
      <c r="AB63" s="61">
        <f>(SUBSIDIO!$J$63*SUBSIDIO!$V$63)*(0.04)/(1-0.04)</f>
        <v>92.376000000000005</v>
      </c>
      <c r="AC63" s="61">
        <f>((SUBSIDIO!$L$63*SUBSIDIO!$W$63)+(SUBSIDIO!$N$63*SUBSIDIO!$X$63))*(0.04)/(1-0.04)</f>
        <v>0</v>
      </c>
      <c r="AD63" s="61">
        <f ca="1">(SUBSIDIO!$J$63*SUBSIDIO!$Y$63)*(0.02)/(1-0.02)</f>
        <v>45.341295238375764</v>
      </c>
      <c r="AE63" s="61">
        <f>((SUBSIDIO!$L$63*SUBSIDIO!$Z$63)+(SUBSIDIO!$N$63*SUBSIDIO!$AA$63))*(0.02)/(1-0.02)</f>
        <v>0</v>
      </c>
      <c r="AF63" s="4" t="s">
        <v>590</v>
      </c>
    </row>
    <row r="64" spans="1:32" ht="11.25" customHeight="1" x14ac:dyDescent="0.25">
      <c r="A64" s="4" t="s">
        <v>28</v>
      </c>
      <c r="B64" s="4" t="s">
        <v>35</v>
      </c>
      <c r="C64" s="4" t="s">
        <v>36</v>
      </c>
      <c r="D64" s="4" t="s">
        <v>41</v>
      </c>
      <c r="E64" s="4" t="s">
        <v>25</v>
      </c>
      <c r="F64" s="4" t="s">
        <v>25</v>
      </c>
      <c r="G64" s="4" t="s">
        <v>25</v>
      </c>
      <c r="H64" s="4" t="s">
        <v>25</v>
      </c>
      <c r="I64" s="5">
        <v>44470</v>
      </c>
      <c r="J64" s="6">
        <v>254</v>
      </c>
      <c r="K64" s="61">
        <v>254</v>
      </c>
      <c r="L64" s="6">
        <v>0</v>
      </c>
      <c r="M64" s="61">
        <v>0</v>
      </c>
      <c r="N64" s="6">
        <v>0</v>
      </c>
      <c r="O64" s="61">
        <v>0</v>
      </c>
      <c r="P64" s="6">
        <v>2</v>
      </c>
      <c r="Q64" s="4" t="s">
        <v>26</v>
      </c>
      <c r="R64" s="4">
        <v>0</v>
      </c>
      <c r="S64" s="4">
        <v>16</v>
      </c>
      <c r="T64" s="4">
        <v>0</v>
      </c>
      <c r="U64" s="4">
        <v>0</v>
      </c>
      <c r="V64" s="61">
        <f>IF(ISERROR(VLOOKUP($S$64,'TAR FIN'!$A$1:$O$85,15,0)),0,VLOOKUP($S$64,'TAR FIN'!$A$1:$O$85,15,0))*(1-0.04)</f>
        <v>24.633599999999998</v>
      </c>
      <c r="W64" s="61">
        <f>IF(ISERROR(VLOOKUP($T$64,'TAR FIN'!$A$1:$O$85,15,0)),0,VLOOKUP($T$64,'TAR FIN'!$A$1:$O$85,15,0))</f>
        <v>0</v>
      </c>
      <c r="X64" s="61">
        <f>IF(ISERROR(VLOOKUP($U$64,'TAR FIN'!$A$1:$O$85,15,0)),0,VLOOKUP($U$64,'TAR FIN'!$A$1:$O$85,15,0))</f>
        <v>0</v>
      </c>
      <c r="Y64" s="61">
        <f ca="1">('TUSD BE'!$AM$10+'TUSD BF'!$AM$10+'TUSD CVA'!$AM$10)*1*(1-0.02)</f>
        <v>24.68581629644903</v>
      </c>
      <c r="Z64" s="61"/>
      <c r="AA64" s="61"/>
      <c r="AB64" s="61">
        <f>(SUBSIDIO!$J$64*SUBSIDIO!$V$64)*(0.04)/(1-0.04)</f>
        <v>260.7056</v>
      </c>
      <c r="AC64" s="61">
        <f>((SUBSIDIO!$L$64*SUBSIDIO!$W$64)+(SUBSIDIO!$N$64*SUBSIDIO!$X$64))*(0.04)/(1-0.04)</f>
        <v>0</v>
      </c>
      <c r="AD64" s="61">
        <f ca="1">(SUBSIDIO!$J$64*SUBSIDIO!$Y$64)*(0.02)/(1-0.02)</f>
        <v>127.96321100608273</v>
      </c>
      <c r="AE64" s="61">
        <f>((SUBSIDIO!$L$64*SUBSIDIO!$Z$64)+(SUBSIDIO!$N$64*SUBSIDIO!$AA$64))*(0.02)/(1-0.02)</f>
        <v>0</v>
      </c>
      <c r="AF64" s="4" t="s">
        <v>590</v>
      </c>
    </row>
    <row r="65" spans="1:32" ht="11.25" customHeight="1" x14ac:dyDescent="0.25">
      <c r="A65" s="4" t="s">
        <v>21</v>
      </c>
      <c r="B65" s="4" t="s">
        <v>35</v>
      </c>
      <c r="C65" s="4" t="s">
        <v>36</v>
      </c>
      <c r="D65" s="4" t="s">
        <v>41</v>
      </c>
      <c r="E65" s="4" t="s">
        <v>25</v>
      </c>
      <c r="F65" s="4" t="s">
        <v>25</v>
      </c>
      <c r="G65" s="4" t="s">
        <v>25</v>
      </c>
      <c r="H65" s="4" t="s">
        <v>25</v>
      </c>
      <c r="I65" s="5">
        <v>44501</v>
      </c>
      <c r="J65" s="6">
        <v>90</v>
      </c>
      <c r="K65" s="61">
        <v>90</v>
      </c>
      <c r="L65" s="6">
        <v>0</v>
      </c>
      <c r="M65" s="61">
        <v>0</v>
      </c>
      <c r="N65" s="6">
        <v>0</v>
      </c>
      <c r="O65" s="61">
        <v>0</v>
      </c>
      <c r="P65" s="6">
        <v>1</v>
      </c>
      <c r="Q65" s="4" t="s">
        <v>26</v>
      </c>
      <c r="R65" s="4">
        <v>0</v>
      </c>
      <c r="S65" s="4">
        <v>16</v>
      </c>
      <c r="T65" s="4">
        <v>0</v>
      </c>
      <c r="U65" s="4">
        <v>0</v>
      </c>
      <c r="V65" s="61">
        <f>IF(ISERROR(VLOOKUP($S$65,'TAR FIN'!$A$1:$O$85,15,0)),0,VLOOKUP($S$65,'TAR FIN'!$A$1:$O$85,15,0))*(1-0.04)</f>
        <v>24.633599999999998</v>
      </c>
      <c r="W65" s="61">
        <f>IF(ISERROR(VLOOKUP($T$65,'TAR FIN'!$A$1:$O$85,15,0)),0,VLOOKUP($T$65,'TAR FIN'!$A$1:$O$85,15,0))</f>
        <v>0</v>
      </c>
      <c r="X65" s="61">
        <f>IF(ISERROR(VLOOKUP($U$65,'TAR FIN'!$A$1:$O$85,15,0)),0,VLOOKUP($U$65,'TAR FIN'!$A$1:$O$85,15,0))</f>
        <v>0</v>
      </c>
      <c r="Y65" s="61">
        <f ca="1">('TUSD BE'!$AM$10+'TUSD BF'!$AM$10+'TUSD CVA'!$AM$10)*1*(1-0.02)</f>
        <v>24.68581629644903</v>
      </c>
      <c r="Z65" s="61"/>
      <c r="AA65" s="61"/>
      <c r="AB65" s="61">
        <f>(SUBSIDIO!$J$65*SUBSIDIO!$V$65)*(0.04)/(1-0.04)</f>
        <v>92.376000000000005</v>
      </c>
      <c r="AC65" s="61">
        <f>((SUBSIDIO!$L$65*SUBSIDIO!$W$65)+(SUBSIDIO!$N$65*SUBSIDIO!$X$65))*(0.04)/(1-0.04)</f>
        <v>0</v>
      </c>
      <c r="AD65" s="61">
        <f ca="1">(SUBSIDIO!$J$65*SUBSIDIO!$Y$65)*(0.02)/(1-0.02)</f>
        <v>45.341295238375764</v>
      </c>
      <c r="AE65" s="61">
        <f>((SUBSIDIO!$L$65*SUBSIDIO!$Z$65)+(SUBSIDIO!$N$65*SUBSIDIO!$AA$65))*(0.02)/(1-0.02)</f>
        <v>0</v>
      </c>
      <c r="AF65" s="4" t="s">
        <v>590</v>
      </c>
    </row>
    <row r="66" spans="1:32" ht="11.25" customHeight="1" x14ac:dyDescent="0.25">
      <c r="A66" s="4" t="s">
        <v>28</v>
      </c>
      <c r="B66" s="4" t="s">
        <v>35</v>
      </c>
      <c r="C66" s="4" t="s">
        <v>36</v>
      </c>
      <c r="D66" s="4" t="s">
        <v>41</v>
      </c>
      <c r="E66" s="4" t="s">
        <v>25</v>
      </c>
      <c r="F66" s="4" t="s">
        <v>25</v>
      </c>
      <c r="G66" s="4" t="s">
        <v>25</v>
      </c>
      <c r="H66" s="4" t="s">
        <v>25</v>
      </c>
      <c r="I66" s="5">
        <v>44501</v>
      </c>
      <c r="J66" s="6">
        <v>259</v>
      </c>
      <c r="K66" s="61">
        <v>259</v>
      </c>
      <c r="L66" s="6">
        <v>0</v>
      </c>
      <c r="M66" s="61">
        <v>0</v>
      </c>
      <c r="N66" s="6">
        <v>0</v>
      </c>
      <c r="O66" s="61">
        <v>0</v>
      </c>
      <c r="P66" s="6">
        <v>2</v>
      </c>
      <c r="Q66" s="4" t="s">
        <v>26</v>
      </c>
      <c r="R66" s="4">
        <v>0</v>
      </c>
      <c r="S66" s="4">
        <v>16</v>
      </c>
      <c r="T66" s="4">
        <v>0</v>
      </c>
      <c r="U66" s="4">
        <v>0</v>
      </c>
      <c r="V66" s="61">
        <f>IF(ISERROR(VLOOKUP($S$66,'TAR FIN'!$A$1:$O$85,15,0)),0,VLOOKUP($S$66,'TAR FIN'!$A$1:$O$85,15,0))*(1-0.04)</f>
        <v>24.633599999999998</v>
      </c>
      <c r="W66" s="61">
        <f>IF(ISERROR(VLOOKUP($T$66,'TAR FIN'!$A$1:$O$85,15,0)),0,VLOOKUP($T$66,'TAR FIN'!$A$1:$O$85,15,0))</f>
        <v>0</v>
      </c>
      <c r="X66" s="61">
        <f>IF(ISERROR(VLOOKUP($U$66,'TAR FIN'!$A$1:$O$85,15,0)),0,VLOOKUP($U$66,'TAR FIN'!$A$1:$O$85,15,0))</f>
        <v>0</v>
      </c>
      <c r="Y66" s="61">
        <f ca="1">('TUSD BE'!$AM$10+'TUSD BF'!$AM$10+'TUSD CVA'!$AM$10)*1*(1-0.02)</f>
        <v>24.68581629644903</v>
      </c>
      <c r="Z66" s="61"/>
      <c r="AA66" s="61"/>
      <c r="AB66" s="61">
        <f>(SUBSIDIO!$J$66*SUBSIDIO!$V$66)*(0.04)/(1-0.04)</f>
        <v>265.83760000000001</v>
      </c>
      <c r="AC66" s="61">
        <f>((SUBSIDIO!$L$66*SUBSIDIO!$W$66)+(SUBSIDIO!$N$66*SUBSIDIO!$X$66))*(0.04)/(1-0.04)</f>
        <v>0</v>
      </c>
      <c r="AD66" s="61">
        <f ca="1">(SUBSIDIO!$J$66*SUBSIDIO!$Y$66)*(0.02)/(1-0.02)</f>
        <v>130.48217185265918</v>
      </c>
      <c r="AE66" s="61">
        <f>((SUBSIDIO!$L$66*SUBSIDIO!$Z$66)+(SUBSIDIO!$N$66*SUBSIDIO!$AA$66))*(0.02)/(1-0.02)</f>
        <v>0</v>
      </c>
      <c r="AF66" s="4" t="s">
        <v>590</v>
      </c>
    </row>
    <row r="67" spans="1:32" ht="11.25" customHeight="1" x14ac:dyDescent="0.25">
      <c r="A67" s="4" t="s">
        <v>21</v>
      </c>
      <c r="B67" s="4" t="s">
        <v>35</v>
      </c>
      <c r="C67" s="4" t="s">
        <v>36</v>
      </c>
      <c r="D67" s="4" t="s">
        <v>41</v>
      </c>
      <c r="E67" s="4" t="s">
        <v>25</v>
      </c>
      <c r="F67" s="4" t="s">
        <v>25</v>
      </c>
      <c r="G67" s="4" t="s">
        <v>25</v>
      </c>
      <c r="H67" s="4" t="s">
        <v>25</v>
      </c>
      <c r="I67" s="5">
        <v>44531</v>
      </c>
      <c r="J67" s="6">
        <v>90</v>
      </c>
      <c r="K67" s="61">
        <v>90</v>
      </c>
      <c r="L67" s="6">
        <v>0</v>
      </c>
      <c r="M67" s="61">
        <v>0</v>
      </c>
      <c r="N67" s="6">
        <v>0</v>
      </c>
      <c r="O67" s="61">
        <v>0</v>
      </c>
      <c r="P67" s="6">
        <v>1</v>
      </c>
      <c r="Q67" s="4" t="s">
        <v>26</v>
      </c>
      <c r="R67" s="4">
        <v>0</v>
      </c>
      <c r="S67" s="4">
        <v>16</v>
      </c>
      <c r="T67" s="4">
        <v>0</v>
      </c>
      <c r="U67" s="4">
        <v>0</v>
      </c>
      <c r="V67" s="61">
        <f>IF(ISERROR(VLOOKUP($S$67,'TAR FIN'!$A$1:$O$85,15,0)),0,VLOOKUP($S$67,'TAR FIN'!$A$1:$O$85,15,0))*(1-0.04)</f>
        <v>24.633599999999998</v>
      </c>
      <c r="W67" s="61">
        <f>IF(ISERROR(VLOOKUP($T$67,'TAR FIN'!$A$1:$O$85,15,0)),0,VLOOKUP($T$67,'TAR FIN'!$A$1:$O$85,15,0))</f>
        <v>0</v>
      </c>
      <c r="X67" s="61">
        <f>IF(ISERROR(VLOOKUP($U$67,'TAR FIN'!$A$1:$O$85,15,0)),0,VLOOKUP($U$67,'TAR FIN'!$A$1:$O$85,15,0))</f>
        <v>0</v>
      </c>
      <c r="Y67" s="61">
        <f ca="1">('TUSD BE'!$AM$10+'TUSD BF'!$AM$10+'TUSD CVA'!$AM$10)*1*(1-0.02)</f>
        <v>24.68581629644903</v>
      </c>
      <c r="Z67" s="61"/>
      <c r="AA67" s="61"/>
      <c r="AB67" s="61">
        <f>(SUBSIDIO!$J$67*SUBSIDIO!$V$67)*(0.04)/(1-0.04)</f>
        <v>92.376000000000005</v>
      </c>
      <c r="AC67" s="61">
        <f>((SUBSIDIO!$L$67*SUBSIDIO!$W$67)+(SUBSIDIO!$N$67*SUBSIDIO!$X$67))*(0.04)/(1-0.04)</f>
        <v>0</v>
      </c>
      <c r="AD67" s="61">
        <f ca="1">(SUBSIDIO!$J$67*SUBSIDIO!$Y$67)*(0.02)/(1-0.02)</f>
        <v>45.341295238375764</v>
      </c>
      <c r="AE67" s="61">
        <f>((SUBSIDIO!$L$67*SUBSIDIO!$Z$67)+(SUBSIDIO!$N$67*SUBSIDIO!$AA$67))*(0.02)/(1-0.02)</f>
        <v>0</v>
      </c>
      <c r="AF67" s="4" t="s">
        <v>590</v>
      </c>
    </row>
    <row r="68" spans="1:32" ht="11.25" customHeight="1" x14ac:dyDescent="0.25">
      <c r="A68" s="4" t="s">
        <v>28</v>
      </c>
      <c r="B68" s="4" t="s">
        <v>35</v>
      </c>
      <c r="C68" s="4" t="s">
        <v>36</v>
      </c>
      <c r="D68" s="4" t="s">
        <v>41</v>
      </c>
      <c r="E68" s="4" t="s">
        <v>25</v>
      </c>
      <c r="F68" s="4" t="s">
        <v>25</v>
      </c>
      <c r="G68" s="4" t="s">
        <v>25</v>
      </c>
      <c r="H68" s="4" t="s">
        <v>25</v>
      </c>
      <c r="I68" s="5">
        <v>44531</v>
      </c>
      <c r="J68" s="6">
        <v>279</v>
      </c>
      <c r="K68" s="61">
        <v>279</v>
      </c>
      <c r="L68" s="6">
        <v>0</v>
      </c>
      <c r="M68" s="61">
        <v>0</v>
      </c>
      <c r="N68" s="6">
        <v>0</v>
      </c>
      <c r="O68" s="61">
        <v>0</v>
      </c>
      <c r="P68" s="6">
        <v>2</v>
      </c>
      <c r="Q68" s="4" t="s">
        <v>26</v>
      </c>
      <c r="R68" s="4">
        <v>0</v>
      </c>
      <c r="S68" s="4">
        <v>16</v>
      </c>
      <c r="T68" s="4">
        <v>0</v>
      </c>
      <c r="U68" s="4">
        <v>0</v>
      </c>
      <c r="V68" s="61">
        <f>IF(ISERROR(VLOOKUP($S$68,'TAR FIN'!$A$1:$O$85,15,0)),0,VLOOKUP($S$68,'TAR FIN'!$A$1:$O$85,15,0))*(1-0.04)</f>
        <v>24.633599999999998</v>
      </c>
      <c r="W68" s="61">
        <f>IF(ISERROR(VLOOKUP($T$68,'TAR FIN'!$A$1:$O$85,15,0)),0,VLOOKUP($T$68,'TAR FIN'!$A$1:$O$85,15,0))</f>
        <v>0</v>
      </c>
      <c r="X68" s="61">
        <f>IF(ISERROR(VLOOKUP($U$68,'TAR FIN'!$A$1:$O$85,15,0)),0,VLOOKUP($U$68,'TAR FIN'!$A$1:$O$85,15,0))</f>
        <v>0</v>
      </c>
      <c r="Y68" s="61">
        <f ca="1">('TUSD BE'!$AM$10+'TUSD BF'!$AM$10+'TUSD CVA'!$AM$10)*1*(1-0.02)</f>
        <v>24.68581629644903</v>
      </c>
      <c r="Z68" s="61"/>
      <c r="AA68" s="61"/>
      <c r="AB68" s="61">
        <f>(SUBSIDIO!$J$68*SUBSIDIO!$V$68)*(0.04)/(1-0.04)</f>
        <v>286.36560000000003</v>
      </c>
      <c r="AC68" s="61">
        <f>((SUBSIDIO!$L$68*SUBSIDIO!$W$68)+(SUBSIDIO!$N$68*SUBSIDIO!$X$68))*(0.04)/(1-0.04)</f>
        <v>0</v>
      </c>
      <c r="AD68" s="61">
        <f ca="1">(SUBSIDIO!$J$68*SUBSIDIO!$Y$68)*(0.02)/(1-0.02)</f>
        <v>140.55801523896488</v>
      </c>
      <c r="AE68" s="61">
        <f>((SUBSIDIO!$L$68*SUBSIDIO!$Z$68)+(SUBSIDIO!$N$68*SUBSIDIO!$AA$68))*(0.02)/(1-0.02)</f>
        <v>0</v>
      </c>
      <c r="AF68" s="4" t="s">
        <v>590</v>
      </c>
    </row>
    <row r="69" spans="1:32" ht="11.25" customHeight="1" x14ac:dyDescent="0.25">
      <c r="A69" s="4" t="s">
        <v>21</v>
      </c>
      <c r="B69" s="4" t="s">
        <v>35</v>
      </c>
      <c r="C69" s="4" t="s">
        <v>36</v>
      </c>
      <c r="D69" s="4" t="s">
        <v>41</v>
      </c>
      <c r="E69" s="4" t="s">
        <v>25</v>
      </c>
      <c r="F69" s="4" t="s">
        <v>25</v>
      </c>
      <c r="G69" s="4" t="s">
        <v>25</v>
      </c>
      <c r="H69" s="4" t="s">
        <v>25</v>
      </c>
      <c r="I69" s="5">
        <v>44562</v>
      </c>
      <c r="J69" s="6">
        <v>90</v>
      </c>
      <c r="K69" s="61">
        <v>90</v>
      </c>
      <c r="L69" s="6">
        <v>0</v>
      </c>
      <c r="M69" s="61">
        <v>0</v>
      </c>
      <c r="N69" s="6">
        <v>0</v>
      </c>
      <c r="O69" s="61">
        <v>0</v>
      </c>
      <c r="P69" s="6">
        <v>1</v>
      </c>
      <c r="Q69" s="4" t="s">
        <v>26</v>
      </c>
      <c r="R69" s="4">
        <v>0</v>
      </c>
      <c r="S69" s="4">
        <v>16</v>
      </c>
      <c r="T69" s="4">
        <v>0</v>
      </c>
      <c r="U69" s="4">
        <v>0</v>
      </c>
      <c r="V69" s="61">
        <f>IF(ISERROR(VLOOKUP($S$69,'TAR FIN'!$A$1:$O$85,15,0)),0,VLOOKUP($S$69,'TAR FIN'!$A$1:$O$85,15,0))*(1-0.04)</f>
        <v>24.633599999999998</v>
      </c>
      <c r="W69" s="61">
        <f>IF(ISERROR(VLOOKUP($T$69,'TAR FIN'!$A$1:$O$85,15,0)),0,VLOOKUP($T$69,'TAR FIN'!$A$1:$O$85,15,0))</f>
        <v>0</v>
      </c>
      <c r="X69" s="61">
        <f>IF(ISERROR(VLOOKUP($U$69,'TAR FIN'!$A$1:$O$85,15,0)),0,VLOOKUP($U$69,'TAR FIN'!$A$1:$O$85,15,0))</f>
        <v>0</v>
      </c>
      <c r="Y69" s="61">
        <f ca="1">('TUSD BE'!$AM$10+'TUSD BF'!$AM$10+'TUSD CVA'!$AM$10)*1*(1-0.02)</f>
        <v>24.68581629644903</v>
      </c>
      <c r="Z69" s="61"/>
      <c r="AA69" s="61"/>
      <c r="AB69" s="61">
        <f>(SUBSIDIO!$J$69*SUBSIDIO!$V$69)*(0.04)/(1-0.04)</f>
        <v>92.376000000000005</v>
      </c>
      <c r="AC69" s="61">
        <f>((SUBSIDIO!$L$69*SUBSIDIO!$W$69)+(SUBSIDIO!$N$69*SUBSIDIO!$X$69))*(0.04)/(1-0.04)</f>
        <v>0</v>
      </c>
      <c r="AD69" s="61">
        <f ca="1">(SUBSIDIO!$J$69*SUBSIDIO!$Y$69)*(0.02)/(1-0.02)</f>
        <v>45.341295238375764</v>
      </c>
      <c r="AE69" s="61">
        <f>((SUBSIDIO!$L$69*SUBSIDIO!$Z$69)+(SUBSIDIO!$N$69*SUBSIDIO!$AA$69))*(0.02)/(1-0.02)</f>
        <v>0</v>
      </c>
      <c r="AF69" s="4" t="s">
        <v>590</v>
      </c>
    </row>
    <row r="70" spans="1:32" ht="11.25" customHeight="1" x14ac:dyDescent="0.25">
      <c r="A70" s="4" t="s">
        <v>28</v>
      </c>
      <c r="B70" s="4" t="s">
        <v>35</v>
      </c>
      <c r="C70" s="4" t="s">
        <v>36</v>
      </c>
      <c r="D70" s="4" t="s">
        <v>41</v>
      </c>
      <c r="E70" s="4" t="s">
        <v>25</v>
      </c>
      <c r="F70" s="4" t="s">
        <v>25</v>
      </c>
      <c r="G70" s="4" t="s">
        <v>25</v>
      </c>
      <c r="H70" s="4" t="s">
        <v>25</v>
      </c>
      <c r="I70" s="5">
        <v>44562</v>
      </c>
      <c r="J70" s="6">
        <v>255</v>
      </c>
      <c r="K70" s="61">
        <v>255</v>
      </c>
      <c r="L70" s="6">
        <v>0</v>
      </c>
      <c r="M70" s="61">
        <v>0</v>
      </c>
      <c r="N70" s="6">
        <v>0</v>
      </c>
      <c r="O70" s="61">
        <v>0</v>
      </c>
      <c r="P70" s="6">
        <v>2</v>
      </c>
      <c r="Q70" s="4" t="s">
        <v>26</v>
      </c>
      <c r="R70" s="4">
        <v>0</v>
      </c>
      <c r="S70" s="4">
        <v>16</v>
      </c>
      <c r="T70" s="4">
        <v>0</v>
      </c>
      <c r="U70" s="4">
        <v>0</v>
      </c>
      <c r="V70" s="61">
        <f>IF(ISERROR(VLOOKUP($S$70,'TAR FIN'!$A$1:$O$85,15,0)),0,VLOOKUP($S$70,'TAR FIN'!$A$1:$O$85,15,0))*(1-0.04)</f>
        <v>24.633599999999998</v>
      </c>
      <c r="W70" s="61">
        <f>IF(ISERROR(VLOOKUP($T$70,'TAR FIN'!$A$1:$O$85,15,0)),0,VLOOKUP($T$70,'TAR FIN'!$A$1:$O$85,15,0))</f>
        <v>0</v>
      </c>
      <c r="X70" s="61">
        <f>IF(ISERROR(VLOOKUP($U$70,'TAR FIN'!$A$1:$O$85,15,0)),0,VLOOKUP($U$70,'TAR FIN'!$A$1:$O$85,15,0))</f>
        <v>0</v>
      </c>
      <c r="Y70" s="61">
        <f ca="1">('TUSD BE'!$AM$10+'TUSD BF'!$AM$10+'TUSD CVA'!$AM$10)*1*(1-0.02)</f>
        <v>24.68581629644903</v>
      </c>
      <c r="Z70" s="61"/>
      <c r="AA70" s="61"/>
      <c r="AB70" s="61">
        <f>(SUBSIDIO!$J$70*SUBSIDIO!$V$70)*(0.04)/(1-0.04)</f>
        <v>261.73199999999997</v>
      </c>
      <c r="AC70" s="61">
        <f>((SUBSIDIO!$L$70*SUBSIDIO!$W$70)+(SUBSIDIO!$N$70*SUBSIDIO!$X$70))*(0.04)/(1-0.04)</f>
        <v>0</v>
      </c>
      <c r="AD70" s="61">
        <f ca="1">(SUBSIDIO!$J$70*SUBSIDIO!$Y$70)*(0.02)/(1-0.02)</f>
        <v>128.46700317539802</v>
      </c>
      <c r="AE70" s="61">
        <f>((SUBSIDIO!$L$70*SUBSIDIO!$Z$70)+(SUBSIDIO!$N$70*SUBSIDIO!$AA$70))*(0.02)/(1-0.02)</f>
        <v>0</v>
      </c>
      <c r="AF70" s="4" t="s">
        <v>590</v>
      </c>
    </row>
    <row r="71" spans="1:32" ht="11.25" customHeight="1" x14ac:dyDescent="0.25">
      <c r="A71" s="4" t="s">
        <v>21</v>
      </c>
      <c r="B71" s="4" t="s">
        <v>35</v>
      </c>
      <c r="C71" s="4" t="s">
        <v>36</v>
      </c>
      <c r="D71" s="4" t="s">
        <v>41</v>
      </c>
      <c r="E71" s="4" t="s">
        <v>25</v>
      </c>
      <c r="F71" s="4" t="s">
        <v>25</v>
      </c>
      <c r="G71" s="4" t="s">
        <v>25</v>
      </c>
      <c r="H71" s="4" t="s">
        <v>25</v>
      </c>
      <c r="I71" s="5">
        <v>44593</v>
      </c>
      <c r="J71" s="6">
        <v>90</v>
      </c>
      <c r="K71" s="61">
        <v>90</v>
      </c>
      <c r="L71" s="6">
        <v>0</v>
      </c>
      <c r="M71" s="61">
        <v>0</v>
      </c>
      <c r="N71" s="6">
        <v>0</v>
      </c>
      <c r="O71" s="61">
        <v>0</v>
      </c>
      <c r="P71" s="6">
        <v>1</v>
      </c>
      <c r="Q71" s="4" t="s">
        <v>26</v>
      </c>
      <c r="R71" s="4">
        <v>0</v>
      </c>
      <c r="S71" s="4">
        <v>16</v>
      </c>
      <c r="T71" s="4">
        <v>0</v>
      </c>
      <c r="U71" s="4">
        <v>0</v>
      </c>
      <c r="V71" s="61">
        <f>IF(ISERROR(VLOOKUP($S$71,'TAR FIN'!$A$1:$O$85,15,0)),0,VLOOKUP($S$71,'TAR FIN'!$A$1:$O$85,15,0))*(1-0.04)</f>
        <v>24.633599999999998</v>
      </c>
      <c r="W71" s="61">
        <f>IF(ISERROR(VLOOKUP($T$71,'TAR FIN'!$A$1:$O$85,15,0)),0,VLOOKUP($T$71,'TAR FIN'!$A$1:$O$85,15,0))</f>
        <v>0</v>
      </c>
      <c r="X71" s="61">
        <f>IF(ISERROR(VLOOKUP($U$71,'TAR FIN'!$A$1:$O$85,15,0)),0,VLOOKUP($U$71,'TAR FIN'!$A$1:$O$85,15,0))</f>
        <v>0</v>
      </c>
      <c r="Y71" s="61">
        <f ca="1">('TUSD BE'!$AM$10+'TUSD BF'!$AM$10+'TUSD CVA'!$AM$10)*1*(1-0.02)</f>
        <v>24.68581629644903</v>
      </c>
      <c r="Z71" s="61"/>
      <c r="AA71" s="61"/>
      <c r="AB71" s="61">
        <f>(SUBSIDIO!$J$71*SUBSIDIO!$V$71)*(0.04)/(1-0.04)</f>
        <v>92.376000000000005</v>
      </c>
      <c r="AC71" s="61">
        <f>((SUBSIDIO!$L$71*SUBSIDIO!$W$71)+(SUBSIDIO!$N$71*SUBSIDIO!$X$71))*(0.04)/(1-0.04)</f>
        <v>0</v>
      </c>
      <c r="AD71" s="61">
        <f ca="1">(SUBSIDIO!$J$71*SUBSIDIO!$Y$71)*(0.02)/(1-0.02)</f>
        <v>45.341295238375764</v>
      </c>
      <c r="AE71" s="61">
        <f>((SUBSIDIO!$L$71*SUBSIDIO!$Z$71)+(SUBSIDIO!$N$71*SUBSIDIO!$AA$71))*(0.02)/(1-0.02)</f>
        <v>0</v>
      </c>
      <c r="AF71" s="4" t="s">
        <v>590</v>
      </c>
    </row>
    <row r="72" spans="1:32" ht="11.25" customHeight="1" x14ac:dyDescent="0.25">
      <c r="A72" s="4" t="s">
        <v>28</v>
      </c>
      <c r="B72" s="4" t="s">
        <v>35</v>
      </c>
      <c r="C72" s="4" t="s">
        <v>36</v>
      </c>
      <c r="D72" s="4" t="s">
        <v>41</v>
      </c>
      <c r="E72" s="4" t="s">
        <v>25</v>
      </c>
      <c r="F72" s="4" t="s">
        <v>25</v>
      </c>
      <c r="G72" s="4" t="s">
        <v>25</v>
      </c>
      <c r="H72" s="4" t="s">
        <v>25</v>
      </c>
      <c r="I72" s="5">
        <v>44593</v>
      </c>
      <c r="J72" s="6">
        <v>269</v>
      </c>
      <c r="K72" s="61">
        <v>269</v>
      </c>
      <c r="L72" s="6">
        <v>0</v>
      </c>
      <c r="M72" s="61">
        <v>0</v>
      </c>
      <c r="N72" s="6">
        <v>0</v>
      </c>
      <c r="O72" s="61">
        <v>0</v>
      </c>
      <c r="P72" s="6">
        <v>2</v>
      </c>
      <c r="Q72" s="4" t="s">
        <v>26</v>
      </c>
      <c r="R72" s="4">
        <v>0</v>
      </c>
      <c r="S72" s="4">
        <v>16</v>
      </c>
      <c r="T72" s="4">
        <v>0</v>
      </c>
      <c r="U72" s="4">
        <v>0</v>
      </c>
      <c r="V72" s="61">
        <f>IF(ISERROR(VLOOKUP($S$72,'TAR FIN'!$A$1:$O$85,15,0)),0,VLOOKUP($S$72,'TAR FIN'!$A$1:$O$85,15,0))*(1-0.04)</f>
        <v>24.633599999999998</v>
      </c>
      <c r="W72" s="61">
        <f>IF(ISERROR(VLOOKUP($T$72,'TAR FIN'!$A$1:$O$85,15,0)),0,VLOOKUP($T$72,'TAR FIN'!$A$1:$O$85,15,0))</f>
        <v>0</v>
      </c>
      <c r="X72" s="61">
        <f>IF(ISERROR(VLOOKUP($U$72,'TAR FIN'!$A$1:$O$85,15,0)),0,VLOOKUP($U$72,'TAR FIN'!$A$1:$O$85,15,0))</f>
        <v>0</v>
      </c>
      <c r="Y72" s="61">
        <f ca="1">('TUSD BE'!$AM$10+'TUSD BF'!$AM$10+'TUSD CVA'!$AM$10)*1*(1-0.02)</f>
        <v>24.68581629644903</v>
      </c>
      <c r="Z72" s="61"/>
      <c r="AA72" s="61"/>
      <c r="AB72" s="61">
        <f>(SUBSIDIO!$J$72*SUBSIDIO!$V$72)*(0.04)/(1-0.04)</f>
        <v>276.10159999999996</v>
      </c>
      <c r="AC72" s="61">
        <f>((SUBSIDIO!$L$72*SUBSIDIO!$W$72)+(SUBSIDIO!$N$72*SUBSIDIO!$X$72))*(0.04)/(1-0.04)</f>
        <v>0</v>
      </c>
      <c r="AD72" s="61">
        <f ca="1">(SUBSIDIO!$J$72*SUBSIDIO!$Y$72)*(0.02)/(1-0.02)</f>
        <v>135.52009354581202</v>
      </c>
      <c r="AE72" s="61">
        <f>((SUBSIDIO!$L$72*SUBSIDIO!$Z$72)+(SUBSIDIO!$N$72*SUBSIDIO!$AA$72))*(0.02)/(1-0.02)</f>
        <v>0</v>
      </c>
      <c r="AF72" s="4" t="s">
        <v>590</v>
      </c>
    </row>
    <row r="73" spans="1:32" ht="11.25" customHeight="1" x14ac:dyDescent="0.25">
      <c r="A73" s="4" t="s">
        <v>21</v>
      </c>
      <c r="B73" s="4" t="s">
        <v>35</v>
      </c>
      <c r="C73" s="4" t="s">
        <v>36</v>
      </c>
      <c r="D73" s="4" t="s">
        <v>41</v>
      </c>
      <c r="E73" s="4" t="s">
        <v>25</v>
      </c>
      <c r="F73" s="4" t="s">
        <v>25</v>
      </c>
      <c r="G73" s="4" t="s">
        <v>25</v>
      </c>
      <c r="H73" s="4" t="s">
        <v>25</v>
      </c>
      <c r="I73" s="5">
        <v>44621</v>
      </c>
      <c r="J73" s="6">
        <v>90</v>
      </c>
      <c r="K73" s="61">
        <v>90</v>
      </c>
      <c r="L73" s="6">
        <v>0</v>
      </c>
      <c r="M73" s="61">
        <v>0</v>
      </c>
      <c r="N73" s="6">
        <v>0</v>
      </c>
      <c r="O73" s="61">
        <v>0</v>
      </c>
      <c r="P73" s="6">
        <v>1</v>
      </c>
      <c r="Q73" s="4" t="s">
        <v>26</v>
      </c>
      <c r="R73" s="4">
        <v>0</v>
      </c>
      <c r="S73" s="4">
        <v>16</v>
      </c>
      <c r="T73" s="4">
        <v>0</v>
      </c>
      <c r="U73" s="4">
        <v>0</v>
      </c>
      <c r="V73" s="61">
        <f>IF(ISERROR(VLOOKUP($S$73,'TAR FIN'!$A$1:$O$85,15,0)),0,VLOOKUP($S$73,'TAR FIN'!$A$1:$O$85,15,0))*(1-0.04)</f>
        <v>24.633599999999998</v>
      </c>
      <c r="W73" s="61">
        <f>IF(ISERROR(VLOOKUP($T$73,'TAR FIN'!$A$1:$O$85,15,0)),0,VLOOKUP($T$73,'TAR FIN'!$A$1:$O$85,15,0))</f>
        <v>0</v>
      </c>
      <c r="X73" s="61">
        <f>IF(ISERROR(VLOOKUP($U$73,'TAR FIN'!$A$1:$O$85,15,0)),0,VLOOKUP($U$73,'TAR FIN'!$A$1:$O$85,15,0))</f>
        <v>0</v>
      </c>
      <c r="Y73" s="61">
        <f ca="1">('TUSD BE'!$AM$10+'TUSD BF'!$AM$10+'TUSD CVA'!$AM$10)*1*(1-0.02)</f>
        <v>24.68581629644903</v>
      </c>
      <c r="Z73" s="61"/>
      <c r="AA73" s="61"/>
      <c r="AB73" s="61">
        <f>(SUBSIDIO!$J$73*SUBSIDIO!$V$73)*(0.04)/(1-0.04)</f>
        <v>92.376000000000005</v>
      </c>
      <c r="AC73" s="61">
        <f>((SUBSIDIO!$L$73*SUBSIDIO!$W$73)+(SUBSIDIO!$N$73*SUBSIDIO!$X$73))*(0.04)/(1-0.04)</f>
        <v>0</v>
      </c>
      <c r="AD73" s="61">
        <f ca="1">(SUBSIDIO!$J$73*SUBSIDIO!$Y$73)*(0.02)/(1-0.02)</f>
        <v>45.341295238375764</v>
      </c>
      <c r="AE73" s="61">
        <f>((SUBSIDIO!$L$73*SUBSIDIO!$Z$73)+(SUBSIDIO!$N$73*SUBSIDIO!$AA$73))*(0.02)/(1-0.02)</f>
        <v>0</v>
      </c>
      <c r="AF73" s="4" t="s">
        <v>590</v>
      </c>
    </row>
    <row r="74" spans="1:32" ht="11.25" customHeight="1" x14ac:dyDescent="0.25">
      <c r="A74" s="4" t="s">
        <v>28</v>
      </c>
      <c r="B74" s="4" t="s">
        <v>35</v>
      </c>
      <c r="C74" s="4" t="s">
        <v>36</v>
      </c>
      <c r="D74" s="4" t="s">
        <v>41</v>
      </c>
      <c r="E74" s="4" t="s">
        <v>25</v>
      </c>
      <c r="F74" s="4" t="s">
        <v>25</v>
      </c>
      <c r="G74" s="4" t="s">
        <v>25</v>
      </c>
      <c r="H74" s="4" t="s">
        <v>25</v>
      </c>
      <c r="I74" s="5">
        <v>44621</v>
      </c>
      <c r="J74" s="6">
        <v>295</v>
      </c>
      <c r="K74" s="61">
        <v>295</v>
      </c>
      <c r="L74" s="6">
        <v>0</v>
      </c>
      <c r="M74" s="61">
        <v>0</v>
      </c>
      <c r="N74" s="6">
        <v>0</v>
      </c>
      <c r="O74" s="61">
        <v>0</v>
      </c>
      <c r="P74" s="6">
        <v>2</v>
      </c>
      <c r="Q74" s="4" t="s">
        <v>26</v>
      </c>
      <c r="R74" s="4">
        <v>0</v>
      </c>
      <c r="S74" s="4">
        <v>16</v>
      </c>
      <c r="T74" s="4">
        <v>0</v>
      </c>
      <c r="U74" s="4">
        <v>0</v>
      </c>
      <c r="V74" s="61">
        <f>IF(ISERROR(VLOOKUP($S$74,'TAR FIN'!$A$1:$O$85,15,0)),0,VLOOKUP($S$74,'TAR FIN'!$A$1:$O$85,15,0))*(1-0.04)</f>
        <v>24.633599999999998</v>
      </c>
      <c r="W74" s="61">
        <f>IF(ISERROR(VLOOKUP($T$74,'TAR FIN'!$A$1:$O$85,15,0)),0,VLOOKUP($T$74,'TAR FIN'!$A$1:$O$85,15,0))</f>
        <v>0</v>
      </c>
      <c r="X74" s="61">
        <f>IF(ISERROR(VLOOKUP($U$74,'TAR FIN'!$A$1:$O$85,15,0)),0,VLOOKUP($U$74,'TAR FIN'!$A$1:$O$85,15,0))</f>
        <v>0</v>
      </c>
      <c r="Y74" s="61">
        <f ca="1">('TUSD BE'!$AM$10+'TUSD BF'!$AM$10+'TUSD CVA'!$AM$10)*1*(1-0.02)</f>
        <v>24.68581629644903</v>
      </c>
      <c r="Z74" s="61"/>
      <c r="AA74" s="61"/>
      <c r="AB74" s="61">
        <f>(SUBSIDIO!$J$74*SUBSIDIO!$V$74)*(0.04)/(1-0.04)</f>
        <v>302.78799999999995</v>
      </c>
      <c r="AC74" s="61">
        <f>((SUBSIDIO!$L$74*SUBSIDIO!$W$74)+(SUBSIDIO!$N$74*SUBSIDIO!$X$74))*(0.04)/(1-0.04)</f>
        <v>0</v>
      </c>
      <c r="AD74" s="61">
        <f ca="1">(SUBSIDIO!$J$74*SUBSIDIO!$Y$74)*(0.02)/(1-0.02)</f>
        <v>148.61868994800949</v>
      </c>
      <c r="AE74" s="61">
        <f>((SUBSIDIO!$L$74*SUBSIDIO!$Z$74)+(SUBSIDIO!$N$74*SUBSIDIO!$AA$74))*(0.02)/(1-0.02)</f>
        <v>0</v>
      </c>
      <c r="AF74" s="4" t="s">
        <v>590</v>
      </c>
    </row>
    <row r="75" spans="1:32" ht="11.25" customHeight="1" x14ac:dyDescent="0.25">
      <c r="A75" s="4" t="s">
        <v>21</v>
      </c>
      <c r="B75" s="4" t="s">
        <v>35</v>
      </c>
      <c r="C75" s="4" t="s">
        <v>36</v>
      </c>
      <c r="D75" s="4" t="s">
        <v>41</v>
      </c>
      <c r="E75" s="4" t="s">
        <v>25</v>
      </c>
      <c r="F75" s="4" t="s">
        <v>25</v>
      </c>
      <c r="G75" s="4" t="s">
        <v>25</v>
      </c>
      <c r="H75" s="4" t="s">
        <v>25</v>
      </c>
      <c r="I75" s="5">
        <v>44652</v>
      </c>
      <c r="J75" s="6">
        <v>90</v>
      </c>
      <c r="K75" s="61">
        <v>90</v>
      </c>
      <c r="L75" s="6">
        <v>0</v>
      </c>
      <c r="M75" s="61">
        <v>0</v>
      </c>
      <c r="N75" s="6">
        <v>0</v>
      </c>
      <c r="O75" s="61">
        <v>0</v>
      </c>
      <c r="P75" s="6">
        <v>1</v>
      </c>
      <c r="Q75" s="4" t="s">
        <v>26</v>
      </c>
      <c r="R75" s="4">
        <v>0</v>
      </c>
      <c r="S75" s="4">
        <v>16</v>
      </c>
      <c r="T75" s="4">
        <v>0</v>
      </c>
      <c r="U75" s="4">
        <v>0</v>
      </c>
      <c r="V75" s="61">
        <f>IF(ISERROR(VLOOKUP($S$75,'TAR FIN'!$A$1:$O$85,15,0)),0,VLOOKUP($S$75,'TAR FIN'!$A$1:$O$85,15,0))*(1-0.04)</f>
        <v>24.633599999999998</v>
      </c>
      <c r="W75" s="61">
        <f>IF(ISERROR(VLOOKUP($T$75,'TAR FIN'!$A$1:$O$85,15,0)),0,VLOOKUP($T$75,'TAR FIN'!$A$1:$O$85,15,0))</f>
        <v>0</v>
      </c>
      <c r="X75" s="61">
        <f>IF(ISERROR(VLOOKUP($U$75,'TAR FIN'!$A$1:$O$85,15,0)),0,VLOOKUP($U$75,'TAR FIN'!$A$1:$O$85,15,0))</f>
        <v>0</v>
      </c>
      <c r="Y75" s="61">
        <f ca="1">('TUSD BE'!$AM$10+'TUSD BF'!$AM$10+'TUSD CVA'!$AM$10)*1*(1-0.02)</f>
        <v>24.68581629644903</v>
      </c>
      <c r="Z75" s="61"/>
      <c r="AA75" s="61"/>
      <c r="AB75" s="61">
        <f>(SUBSIDIO!$J$75*SUBSIDIO!$V$75)*(0.04)/(1-0.04)</f>
        <v>92.376000000000005</v>
      </c>
      <c r="AC75" s="61">
        <f>((SUBSIDIO!$L$75*SUBSIDIO!$W$75)+(SUBSIDIO!$N$75*SUBSIDIO!$X$75))*(0.04)/(1-0.04)</f>
        <v>0</v>
      </c>
      <c r="AD75" s="61">
        <f ca="1">(SUBSIDIO!$J$75*SUBSIDIO!$Y$75)*(0.02)/(1-0.02)</f>
        <v>45.341295238375764</v>
      </c>
      <c r="AE75" s="61">
        <f>((SUBSIDIO!$L$75*SUBSIDIO!$Z$75)+(SUBSIDIO!$N$75*SUBSIDIO!$AA$75))*(0.02)/(1-0.02)</f>
        <v>0</v>
      </c>
      <c r="AF75" s="4" t="s">
        <v>590</v>
      </c>
    </row>
    <row r="76" spans="1:32" ht="11.25" customHeight="1" x14ac:dyDescent="0.25">
      <c r="A76" s="4" t="s">
        <v>28</v>
      </c>
      <c r="B76" s="4" t="s">
        <v>35</v>
      </c>
      <c r="C76" s="4" t="s">
        <v>36</v>
      </c>
      <c r="D76" s="4" t="s">
        <v>41</v>
      </c>
      <c r="E76" s="4" t="s">
        <v>25</v>
      </c>
      <c r="F76" s="4" t="s">
        <v>25</v>
      </c>
      <c r="G76" s="4" t="s">
        <v>25</v>
      </c>
      <c r="H76" s="4" t="s">
        <v>25</v>
      </c>
      <c r="I76" s="5">
        <v>44652</v>
      </c>
      <c r="J76" s="6">
        <v>270</v>
      </c>
      <c r="K76" s="61">
        <v>270</v>
      </c>
      <c r="L76" s="6">
        <v>0</v>
      </c>
      <c r="M76" s="61">
        <v>0</v>
      </c>
      <c r="N76" s="6">
        <v>0</v>
      </c>
      <c r="O76" s="61">
        <v>0</v>
      </c>
      <c r="P76" s="6">
        <v>2</v>
      </c>
      <c r="Q76" s="4" t="s">
        <v>26</v>
      </c>
      <c r="R76" s="4">
        <v>0</v>
      </c>
      <c r="S76" s="4">
        <v>16</v>
      </c>
      <c r="T76" s="4">
        <v>0</v>
      </c>
      <c r="U76" s="4">
        <v>0</v>
      </c>
      <c r="V76" s="61">
        <f>IF(ISERROR(VLOOKUP($S$76,'TAR FIN'!$A$1:$O$85,15,0)),0,VLOOKUP($S$76,'TAR FIN'!$A$1:$O$85,15,0))*(1-0.04)</f>
        <v>24.633599999999998</v>
      </c>
      <c r="W76" s="61">
        <f>IF(ISERROR(VLOOKUP($T$76,'TAR FIN'!$A$1:$O$85,15,0)),0,VLOOKUP($T$76,'TAR FIN'!$A$1:$O$85,15,0))</f>
        <v>0</v>
      </c>
      <c r="X76" s="61">
        <f>IF(ISERROR(VLOOKUP($U$76,'TAR FIN'!$A$1:$O$85,15,0)),0,VLOOKUP($U$76,'TAR FIN'!$A$1:$O$85,15,0))</f>
        <v>0</v>
      </c>
      <c r="Y76" s="61">
        <f ca="1">('TUSD BE'!$AM$10+'TUSD BF'!$AM$10+'TUSD CVA'!$AM$10)*1*(1-0.02)</f>
        <v>24.68581629644903</v>
      </c>
      <c r="Z76" s="61"/>
      <c r="AA76" s="61"/>
      <c r="AB76" s="61">
        <f>(SUBSIDIO!$J$76*SUBSIDIO!$V$76)*(0.04)/(1-0.04)</f>
        <v>277.12799999999999</v>
      </c>
      <c r="AC76" s="61">
        <f>((SUBSIDIO!$L$76*SUBSIDIO!$W$76)+(SUBSIDIO!$N$76*SUBSIDIO!$X$76))*(0.04)/(1-0.04)</f>
        <v>0</v>
      </c>
      <c r="AD76" s="61">
        <f ca="1">(SUBSIDIO!$J$76*SUBSIDIO!$Y$76)*(0.02)/(1-0.02)</f>
        <v>136.02388571512731</v>
      </c>
      <c r="AE76" s="61">
        <f>((SUBSIDIO!$L$76*SUBSIDIO!$Z$76)+(SUBSIDIO!$N$76*SUBSIDIO!$AA$76))*(0.02)/(1-0.02)</f>
        <v>0</v>
      </c>
      <c r="AF76" s="4" t="s">
        <v>590</v>
      </c>
    </row>
    <row r="77" spans="1:32" ht="11.25" customHeight="1" x14ac:dyDescent="0.25">
      <c r="A77" s="4" t="s">
        <v>21</v>
      </c>
      <c r="B77" s="4" t="s">
        <v>35</v>
      </c>
      <c r="C77" s="4" t="s">
        <v>36</v>
      </c>
      <c r="D77" s="4" t="s">
        <v>41</v>
      </c>
      <c r="E77" s="4" t="s">
        <v>25</v>
      </c>
      <c r="F77" s="4" t="s">
        <v>25</v>
      </c>
      <c r="G77" s="4" t="s">
        <v>25</v>
      </c>
      <c r="H77" s="4" t="s">
        <v>25</v>
      </c>
      <c r="I77" s="5">
        <v>44682</v>
      </c>
      <c r="J77" s="6">
        <v>90</v>
      </c>
      <c r="K77" s="61">
        <v>90</v>
      </c>
      <c r="L77" s="6">
        <v>0</v>
      </c>
      <c r="M77" s="61">
        <v>0</v>
      </c>
      <c r="N77" s="6">
        <v>0</v>
      </c>
      <c r="O77" s="61">
        <v>0</v>
      </c>
      <c r="P77" s="6">
        <v>1</v>
      </c>
      <c r="Q77" s="4" t="s">
        <v>26</v>
      </c>
      <c r="R77" s="4">
        <v>0</v>
      </c>
      <c r="S77" s="4">
        <v>16</v>
      </c>
      <c r="T77" s="4">
        <v>0</v>
      </c>
      <c r="U77" s="4">
        <v>0</v>
      </c>
      <c r="V77" s="61">
        <f>IF(ISERROR(VLOOKUP($S$77,'TAR FIN'!$A$1:$O$85,15,0)),0,VLOOKUP($S$77,'TAR FIN'!$A$1:$O$85,15,0))*(1-0.04)</f>
        <v>24.633599999999998</v>
      </c>
      <c r="W77" s="61">
        <f>IF(ISERROR(VLOOKUP($T$77,'TAR FIN'!$A$1:$O$85,15,0)),0,VLOOKUP($T$77,'TAR FIN'!$A$1:$O$85,15,0))</f>
        <v>0</v>
      </c>
      <c r="X77" s="61">
        <f>IF(ISERROR(VLOOKUP($U$77,'TAR FIN'!$A$1:$O$85,15,0)),0,VLOOKUP($U$77,'TAR FIN'!$A$1:$O$85,15,0))</f>
        <v>0</v>
      </c>
      <c r="Y77" s="61">
        <f ca="1">('TUSD BE'!$AM$10+'TUSD BF'!$AM$10+'TUSD CVA'!$AM$10)*1*(1-0.02)</f>
        <v>24.68581629644903</v>
      </c>
      <c r="Z77" s="61"/>
      <c r="AA77" s="61"/>
      <c r="AB77" s="61">
        <f>(SUBSIDIO!$J$77*SUBSIDIO!$V$77)*(0.04)/(1-0.04)</f>
        <v>92.376000000000005</v>
      </c>
      <c r="AC77" s="61">
        <f>((SUBSIDIO!$L$77*SUBSIDIO!$W$77)+(SUBSIDIO!$N$77*SUBSIDIO!$X$77))*(0.04)/(1-0.04)</f>
        <v>0</v>
      </c>
      <c r="AD77" s="61">
        <f ca="1">(SUBSIDIO!$J$77*SUBSIDIO!$Y$77)*(0.02)/(1-0.02)</f>
        <v>45.341295238375764</v>
      </c>
      <c r="AE77" s="61">
        <f>((SUBSIDIO!$L$77*SUBSIDIO!$Z$77)+(SUBSIDIO!$N$77*SUBSIDIO!$AA$77))*(0.02)/(1-0.02)</f>
        <v>0</v>
      </c>
      <c r="AF77" s="4" t="s">
        <v>590</v>
      </c>
    </row>
    <row r="78" spans="1:32" ht="11.25" customHeight="1" x14ac:dyDescent="0.25">
      <c r="A78" s="4" t="s">
        <v>28</v>
      </c>
      <c r="B78" s="4" t="s">
        <v>35</v>
      </c>
      <c r="C78" s="4" t="s">
        <v>36</v>
      </c>
      <c r="D78" s="4" t="s">
        <v>41</v>
      </c>
      <c r="E78" s="4" t="s">
        <v>25</v>
      </c>
      <c r="F78" s="4" t="s">
        <v>25</v>
      </c>
      <c r="G78" s="4" t="s">
        <v>25</v>
      </c>
      <c r="H78" s="4" t="s">
        <v>25</v>
      </c>
      <c r="I78" s="5">
        <v>44682</v>
      </c>
      <c r="J78" s="6">
        <v>250</v>
      </c>
      <c r="K78" s="61">
        <v>250</v>
      </c>
      <c r="L78" s="6">
        <v>0</v>
      </c>
      <c r="M78" s="61">
        <v>0</v>
      </c>
      <c r="N78" s="6">
        <v>0</v>
      </c>
      <c r="O78" s="61">
        <v>0</v>
      </c>
      <c r="P78" s="6">
        <v>2</v>
      </c>
      <c r="Q78" s="4" t="s">
        <v>26</v>
      </c>
      <c r="R78" s="4">
        <v>0</v>
      </c>
      <c r="S78" s="4">
        <v>16</v>
      </c>
      <c r="T78" s="4">
        <v>0</v>
      </c>
      <c r="U78" s="4">
        <v>0</v>
      </c>
      <c r="V78" s="61">
        <f>IF(ISERROR(VLOOKUP($S$78,'TAR FIN'!$A$1:$O$85,15,0)),0,VLOOKUP($S$78,'TAR FIN'!$A$1:$O$85,15,0))*(1-0.04)</f>
        <v>24.633599999999998</v>
      </c>
      <c r="W78" s="61">
        <f>IF(ISERROR(VLOOKUP($T$78,'TAR FIN'!$A$1:$O$85,15,0)),0,VLOOKUP($T$78,'TAR FIN'!$A$1:$O$85,15,0))</f>
        <v>0</v>
      </c>
      <c r="X78" s="61">
        <f>IF(ISERROR(VLOOKUP($U$78,'TAR FIN'!$A$1:$O$85,15,0)),0,VLOOKUP($U$78,'TAR FIN'!$A$1:$O$85,15,0))</f>
        <v>0</v>
      </c>
      <c r="Y78" s="61">
        <f ca="1">('TUSD BE'!$AM$10+'TUSD BF'!$AM$10+'TUSD CVA'!$AM$10)*1*(1-0.02)</f>
        <v>24.68581629644903</v>
      </c>
      <c r="Z78" s="61"/>
      <c r="AA78" s="61"/>
      <c r="AB78" s="61">
        <f>(SUBSIDIO!$J$78*SUBSIDIO!$V$78)*(0.04)/(1-0.04)</f>
        <v>256.59999999999997</v>
      </c>
      <c r="AC78" s="61">
        <f>((SUBSIDIO!$L$78*SUBSIDIO!$W$78)+(SUBSIDIO!$N$78*SUBSIDIO!$X$78))*(0.04)/(1-0.04)</f>
        <v>0</v>
      </c>
      <c r="AD78" s="61">
        <f ca="1">(SUBSIDIO!$J$78*SUBSIDIO!$Y$78)*(0.02)/(1-0.02)</f>
        <v>125.94804232882159</v>
      </c>
      <c r="AE78" s="61">
        <f>((SUBSIDIO!$L$78*SUBSIDIO!$Z$78)+(SUBSIDIO!$N$78*SUBSIDIO!$AA$78))*(0.02)/(1-0.02)</f>
        <v>0</v>
      </c>
      <c r="AF78" s="4" t="s">
        <v>590</v>
      </c>
    </row>
    <row r="79" spans="1:32" ht="11.25" customHeight="1" x14ac:dyDescent="0.25">
      <c r="A79" s="4" t="s">
        <v>21</v>
      </c>
      <c r="B79" s="4" t="s">
        <v>35</v>
      </c>
      <c r="C79" s="4" t="s">
        <v>36</v>
      </c>
      <c r="D79" s="4" t="s">
        <v>41</v>
      </c>
      <c r="E79" s="4" t="s">
        <v>25</v>
      </c>
      <c r="F79" s="4" t="s">
        <v>25</v>
      </c>
      <c r="G79" s="4" t="s">
        <v>25</v>
      </c>
      <c r="H79" s="4" t="s">
        <v>25</v>
      </c>
      <c r="I79" s="5">
        <v>44713</v>
      </c>
      <c r="J79" s="6">
        <v>90</v>
      </c>
      <c r="K79" s="61">
        <v>90</v>
      </c>
      <c r="L79" s="6">
        <v>0</v>
      </c>
      <c r="M79" s="61">
        <v>0</v>
      </c>
      <c r="N79" s="6">
        <v>0</v>
      </c>
      <c r="O79" s="61">
        <v>0</v>
      </c>
      <c r="P79" s="6">
        <v>1</v>
      </c>
      <c r="Q79" s="4" t="s">
        <v>26</v>
      </c>
      <c r="R79" s="4">
        <v>0</v>
      </c>
      <c r="S79" s="4">
        <v>16</v>
      </c>
      <c r="T79" s="4">
        <v>0</v>
      </c>
      <c r="U79" s="4">
        <v>0</v>
      </c>
      <c r="V79" s="61">
        <f>IF(ISERROR(VLOOKUP($S$79,'TAR FIN'!$A$1:$O$85,15,0)),0,VLOOKUP($S$79,'TAR FIN'!$A$1:$O$85,15,0))*(1-0.04)</f>
        <v>24.633599999999998</v>
      </c>
      <c r="W79" s="61">
        <f>IF(ISERROR(VLOOKUP($T$79,'TAR FIN'!$A$1:$O$85,15,0)),0,VLOOKUP($T$79,'TAR FIN'!$A$1:$O$85,15,0))</f>
        <v>0</v>
      </c>
      <c r="X79" s="61">
        <f>IF(ISERROR(VLOOKUP($U$79,'TAR FIN'!$A$1:$O$85,15,0)),0,VLOOKUP($U$79,'TAR FIN'!$A$1:$O$85,15,0))</f>
        <v>0</v>
      </c>
      <c r="Y79" s="61">
        <f ca="1">('TUSD BE'!$AM$10+'TUSD BF'!$AM$10+'TUSD CVA'!$AM$10)*1*(1-0.02)</f>
        <v>24.68581629644903</v>
      </c>
      <c r="Z79" s="61"/>
      <c r="AA79" s="61"/>
      <c r="AB79" s="61">
        <f>(SUBSIDIO!$J$79*SUBSIDIO!$V$79)*(0.04)/(1-0.04)</f>
        <v>92.376000000000005</v>
      </c>
      <c r="AC79" s="61">
        <f>((SUBSIDIO!$L$79*SUBSIDIO!$W$79)+(SUBSIDIO!$N$79*SUBSIDIO!$X$79))*(0.04)/(1-0.04)</f>
        <v>0</v>
      </c>
      <c r="AD79" s="61">
        <f ca="1">(SUBSIDIO!$J$79*SUBSIDIO!$Y$79)*(0.02)/(1-0.02)</f>
        <v>45.341295238375764</v>
      </c>
      <c r="AE79" s="61">
        <f>((SUBSIDIO!$L$79*SUBSIDIO!$Z$79)+(SUBSIDIO!$N$79*SUBSIDIO!$AA$79))*(0.02)/(1-0.02)</f>
        <v>0</v>
      </c>
      <c r="AF79" s="4" t="s">
        <v>590</v>
      </c>
    </row>
    <row r="80" spans="1:32" ht="11.25" customHeight="1" x14ac:dyDescent="0.25">
      <c r="A80" s="4" t="s">
        <v>28</v>
      </c>
      <c r="B80" s="4" t="s">
        <v>35</v>
      </c>
      <c r="C80" s="4" t="s">
        <v>36</v>
      </c>
      <c r="D80" s="4" t="s">
        <v>41</v>
      </c>
      <c r="E80" s="4" t="s">
        <v>25</v>
      </c>
      <c r="F80" s="4" t="s">
        <v>25</v>
      </c>
      <c r="G80" s="4" t="s">
        <v>25</v>
      </c>
      <c r="H80" s="4" t="s">
        <v>25</v>
      </c>
      <c r="I80" s="5">
        <v>44713</v>
      </c>
      <c r="J80" s="6">
        <v>259</v>
      </c>
      <c r="K80" s="61">
        <v>259</v>
      </c>
      <c r="L80" s="6">
        <v>0</v>
      </c>
      <c r="M80" s="61">
        <v>0</v>
      </c>
      <c r="N80" s="6">
        <v>0</v>
      </c>
      <c r="O80" s="61">
        <v>0</v>
      </c>
      <c r="P80" s="6">
        <v>2</v>
      </c>
      <c r="Q80" s="4" t="s">
        <v>26</v>
      </c>
      <c r="R80" s="4">
        <v>0</v>
      </c>
      <c r="S80" s="4">
        <v>16</v>
      </c>
      <c r="T80" s="4">
        <v>0</v>
      </c>
      <c r="U80" s="4">
        <v>0</v>
      </c>
      <c r="V80" s="61">
        <f>IF(ISERROR(VLOOKUP($S$80,'TAR FIN'!$A$1:$O$85,15,0)),0,VLOOKUP($S$80,'TAR FIN'!$A$1:$O$85,15,0))*(1-0.04)</f>
        <v>24.633599999999998</v>
      </c>
      <c r="W80" s="61">
        <f>IF(ISERROR(VLOOKUP($T$80,'TAR FIN'!$A$1:$O$85,15,0)),0,VLOOKUP($T$80,'TAR FIN'!$A$1:$O$85,15,0))</f>
        <v>0</v>
      </c>
      <c r="X80" s="61">
        <f>IF(ISERROR(VLOOKUP($U$80,'TAR FIN'!$A$1:$O$85,15,0)),0,VLOOKUP($U$80,'TAR FIN'!$A$1:$O$85,15,0))</f>
        <v>0</v>
      </c>
      <c r="Y80" s="61">
        <f ca="1">('TUSD BE'!$AM$10+'TUSD BF'!$AM$10+'TUSD CVA'!$AM$10)*1*(1-0.02)</f>
        <v>24.68581629644903</v>
      </c>
      <c r="Z80" s="61"/>
      <c r="AA80" s="61"/>
      <c r="AB80" s="61">
        <f>(SUBSIDIO!$J$80*SUBSIDIO!$V$80)*(0.04)/(1-0.04)</f>
        <v>265.83760000000001</v>
      </c>
      <c r="AC80" s="61">
        <f>((SUBSIDIO!$L$80*SUBSIDIO!$W$80)+(SUBSIDIO!$N$80*SUBSIDIO!$X$80))*(0.04)/(1-0.04)</f>
        <v>0</v>
      </c>
      <c r="AD80" s="61">
        <f ca="1">(SUBSIDIO!$J$80*SUBSIDIO!$Y$80)*(0.02)/(1-0.02)</f>
        <v>130.48217185265918</v>
      </c>
      <c r="AE80" s="61">
        <f>((SUBSIDIO!$L$80*SUBSIDIO!$Z$80)+(SUBSIDIO!$N$80*SUBSIDIO!$AA$80))*(0.02)/(1-0.02)</f>
        <v>0</v>
      </c>
      <c r="AF80" s="4" t="s">
        <v>590</v>
      </c>
    </row>
    <row r="81" spans="1:32" ht="11.25" customHeight="1" x14ac:dyDescent="0.25">
      <c r="A81" s="4" t="s">
        <v>21</v>
      </c>
      <c r="B81" s="4" t="s">
        <v>35</v>
      </c>
      <c r="C81" s="4" t="s">
        <v>36</v>
      </c>
      <c r="D81" s="4" t="s">
        <v>41</v>
      </c>
      <c r="E81" s="4" t="s">
        <v>25</v>
      </c>
      <c r="F81" s="4" t="s">
        <v>25</v>
      </c>
      <c r="G81" s="4" t="s">
        <v>25</v>
      </c>
      <c r="H81" s="4" t="s">
        <v>25</v>
      </c>
      <c r="I81" s="5">
        <v>44743</v>
      </c>
      <c r="J81" s="6">
        <v>90</v>
      </c>
      <c r="K81" s="61">
        <v>90</v>
      </c>
      <c r="L81" s="6">
        <v>0</v>
      </c>
      <c r="M81" s="61">
        <v>0</v>
      </c>
      <c r="N81" s="6">
        <v>0</v>
      </c>
      <c r="O81" s="61">
        <v>0</v>
      </c>
      <c r="P81" s="6">
        <v>1</v>
      </c>
      <c r="Q81" s="4" t="s">
        <v>26</v>
      </c>
      <c r="R81" s="4">
        <v>0</v>
      </c>
      <c r="S81" s="4">
        <v>16</v>
      </c>
      <c r="T81" s="4">
        <v>0</v>
      </c>
      <c r="U81" s="4">
        <v>0</v>
      </c>
      <c r="V81" s="61">
        <f>IF(ISERROR(VLOOKUP($S$81,'TAR FIN'!$A$1:$O$85,15,0)),0,VLOOKUP($S$81,'TAR FIN'!$A$1:$O$85,15,0))*(1-0.04)</f>
        <v>24.633599999999998</v>
      </c>
      <c r="W81" s="61">
        <f>IF(ISERROR(VLOOKUP($T$81,'TAR FIN'!$A$1:$O$85,15,0)),0,VLOOKUP($T$81,'TAR FIN'!$A$1:$O$85,15,0))</f>
        <v>0</v>
      </c>
      <c r="X81" s="61">
        <f>IF(ISERROR(VLOOKUP($U$81,'TAR FIN'!$A$1:$O$85,15,0)),0,VLOOKUP($U$81,'TAR FIN'!$A$1:$O$85,15,0))</f>
        <v>0</v>
      </c>
      <c r="Y81" s="61">
        <f ca="1">('TUSD BE'!$AM$10+'TUSD BF'!$AM$10+'TUSD CVA'!$AM$10)*1*(1-0.02)</f>
        <v>24.68581629644903</v>
      </c>
      <c r="Z81" s="61"/>
      <c r="AA81" s="61"/>
      <c r="AB81" s="61">
        <f>(SUBSIDIO!$J$81*SUBSIDIO!$V$81)*(0.04)/(1-0.04)</f>
        <v>92.376000000000005</v>
      </c>
      <c r="AC81" s="61">
        <f>((SUBSIDIO!$L$81*SUBSIDIO!$W$81)+(SUBSIDIO!$N$81*SUBSIDIO!$X$81))*(0.04)/(1-0.04)</f>
        <v>0</v>
      </c>
      <c r="AD81" s="61">
        <f ca="1">(SUBSIDIO!$J$81*SUBSIDIO!$Y$81)*(0.02)/(1-0.02)</f>
        <v>45.341295238375764</v>
      </c>
      <c r="AE81" s="61">
        <f>((SUBSIDIO!$L$81*SUBSIDIO!$Z$81)+(SUBSIDIO!$N$81*SUBSIDIO!$AA$81))*(0.02)/(1-0.02)</f>
        <v>0</v>
      </c>
      <c r="AF81" s="4" t="s">
        <v>590</v>
      </c>
    </row>
    <row r="82" spans="1:32" ht="11.25" customHeight="1" x14ac:dyDescent="0.25">
      <c r="A82" s="4" t="s">
        <v>28</v>
      </c>
      <c r="B82" s="4" t="s">
        <v>35</v>
      </c>
      <c r="C82" s="4" t="s">
        <v>36</v>
      </c>
      <c r="D82" s="4" t="s">
        <v>41</v>
      </c>
      <c r="E82" s="4" t="s">
        <v>25</v>
      </c>
      <c r="F82" s="4" t="s">
        <v>25</v>
      </c>
      <c r="G82" s="4" t="s">
        <v>25</v>
      </c>
      <c r="H82" s="4" t="s">
        <v>25</v>
      </c>
      <c r="I82" s="5">
        <v>44743</v>
      </c>
      <c r="J82" s="6">
        <v>100</v>
      </c>
      <c r="K82" s="61">
        <v>100</v>
      </c>
      <c r="L82" s="6">
        <v>0</v>
      </c>
      <c r="M82" s="61">
        <v>0</v>
      </c>
      <c r="N82" s="6">
        <v>0</v>
      </c>
      <c r="O82" s="61">
        <v>0</v>
      </c>
      <c r="P82" s="6">
        <v>1</v>
      </c>
      <c r="Q82" s="4" t="s">
        <v>26</v>
      </c>
      <c r="R82" s="4">
        <v>0</v>
      </c>
      <c r="S82" s="4">
        <v>16</v>
      </c>
      <c r="T82" s="4">
        <v>0</v>
      </c>
      <c r="U82" s="4">
        <v>0</v>
      </c>
      <c r="V82" s="61">
        <f>IF(ISERROR(VLOOKUP($S$82,'TAR FIN'!$A$1:$O$85,15,0)),0,VLOOKUP($S$82,'TAR FIN'!$A$1:$O$85,15,0))*(1-0.04)</f>
        <v>24.633599999999998</v>
      </c>
      <c r="W82" s="61">
        <f>IF(ISERROR(VLOOKUP($T$82,'TAR FIN'!$A$1:$O$85,15,0)),0,VLOOKUP($T$82,'TAR FIN'!$A$1:$O$85,15,0))</f>
        <v>0</v>
      </c>
      <c r="X82" s="61">
        <f>IF(ISERROR(VLOOKUP($U$82,'TAR FIN'!$A$1:$O$85,15,0)),0,VLOOKUP($U$82,'TAR FIN'!$A$1:$O$85,15,0))</f>
        <v>0</v>
      </c>
      <c r="Y82" s="61">
        <f ca="1">('TUSD BE'!$AM$10+'TUSD BF'!$AM$10+'TUSD CVA'!$AM$10)*1*(1-0.02)</f>
        <v>24.68581629644903</v>
      </c>
      <c r="Z82" s="61"/>
      <c r="AA82" s="61"/>
      <c r="AB82" s="61">
        <f>(SUBSIDIO!$J$82*SUBSIDIO!$V$82)*(0.04)/(1-0.04)</f>
        <v>102.64</v>
      </c>
      <c r="AC82" s="61">
        <f>((SUBSIDIO!$L$82*SUBSIDIO!$W$82)+(SUBSIDIO!$N$82*SUBSIDIO!$X$82))*(0.04)/(1-0.04)</f>
        <v>0</v>
      </c>
      <c r="AD82" s="61">
        <f ca="1">(SUBSIDIO!$J$82*SUBSIDIO!$Y$82)*(0.02)/(1-0.02)</f>
        <v>50.379216931528632</v>
      </c>
      <c r="AE82" s="61">
        <f>((SUBSIDIO!$L$82*SUBSIDIO!$Z$82)+(SUBSIDIO!$N$82*SUBSIDIO!$AA$82))*(0.02)/(1-0.02)</f>
        <v>0</v>
      </c>
      <c r="AF82" s="4" t="s">
        <v>590</v>
      </c>
    </row>
    <row r="83" spans="1:32" ht="11.25" customHeight="1" x14ac:dyDescent="0.25">
      <c r="A83" s="4" t="s">
        <v>21</v>
      </c>
      <c r="B83" s="4" t="s">
        <v>35</v>
      </c>
      <c r="C83" s="4" t="s">
        <v>36</v>
      </c>
      <c r="D83" s="4" t="s">
        <v>41</v>
      </c>
      <c r="E83" s="4" t="s">
        <v>25</v>
      </c>
      <c r="F83" s="4" t="s">
        <v>25</v>
      </c>
      <c r="G83" s="4" t="s">
        <v>25</v>
      </c>
      <c r="H83" s="4" t="s">
        <v>25</v>
      </c>
      <c r="I83" s="5">
        <v>44774</v>
      </c>
      <c r="J83" s="6">
        <v>90</v>
      </c>
      <c r="K83" s="61">
        <v>90</v>
      </c>
      <c r="L83" s="6">
        <v>0</v>
      </c>
      <c r="M83" s="61">
        <v>0</v>
      </c>
      <c r="N83" s="6">
        <v>0</v>
      </c>
      <c r="O83" s="61">
        <v>0</v>
      </c>
      <c r="P83" s="6">
        <v>1</v>
      </c>
      <c r="Q83" s="4" t="s">
        <v>26</v>
      </c>
      <c r="R83" s="4">
        <v>0</v>
      </c>
      <c r="S83" s="4">
        <v>16</v>
      </c>
      <c r="T83" s="4">
        <v>0</v>
      </c>
      <c r="U83" s="4">
        <v>0</v>
      </c>
      <c r="V83" s="61">
        <f>IF(ISERROR(VLOOKUP($S$83,'TAR FIN'!$A$1:$O$85,15,0)),0,VLOOKUP($S$83,'TAR FIN'!$A$1:$O$85,15,0))*(1-0.04)</f>
        <v>24.633599999999998</v>
      </c>
      <c r="W83" s="61">
        <f>IF(ISERROR(VLOOKUP($T$83,'TAR FIN'!$A$1:$O$85,15,0)),0,VLOOKUP($T$83,'TAR FIN'!$A$1:$O$85,15,0))</f>
        <v>0</v>
      </c>
      <c r="X83" s="61">
        <f>IF(ISERROR(VLOOKUP($U$83,'TAR FIN'!$A$1:$O$85,15,0)),0,VLOOKUP($U$83,'TAR FIN'!$A$1:$O$85,15,0))</f>
        <v>0</v>
      </c>
      <c r="Y83" s="61">
        <f ca="1">('TUSD BE'!$AM$10+'TUSD BF'!$AM$10+'TUSD CVA'!$AM$10)*1*(1-0.02)</f>
        <v>24.68581629644903</v>
      </c>
      <c r="Z83" s="61"/>
      <c r="AA83" s="61"/>
      <c r="AB83" s="61">
        <f>(SUBSIDIO!$J$83*SUBSIDIO!$V$83)*(0.04)/(1-0.04)</f>
        <v>92.376000000000005</v>
      </c>
      <c r="AC83" s="61">
        <f>((SUBSIDIO!$L$83*SUBSIDIO!$W$83)+(SUBSIDIO!$N$83*SUBSIDIO!$X$83))*(0.04)/(1-0.04)</f>
        <v>0</v>
      </c>
      <c r="AD83" s="61">
        <f ca="1">(SUBSIDIO!$J$83*SUBSIDIO!$Y$83)*(0.02)/(1-0.02)</f>
        <v>45.341295238375764</v>
      </c>
      <c r="AE83" s="61">
        <f>((SUBSIDIO!$L$83*SUBSIDIO!$Z$83)+(SUBSIDIO!$N$83*SUBSIDIO!$AA$83))*(0.02)/(1-0.02)</f>
        <v>0</v>
      </c>
      <c r="AF83" s="4" t="s">
        <v>590</v>
      </c>
    </row>
    <row r="84" spans="1:32" ht="11.25" customHeight="1" x14ac:dyDescent="0.25">
      <c r="A84" s="4" t="s">
        <v>28</v>
      </c>
      <c r="B84" s="4" t="s">
        <v>35</v>
      </c>
      <c r="C84" s="4" t="s">
        <v>36</v>
      </c>
      <c r="D84" s="4" t="s">
        <v>41</v>
      </c>
      <c r="E84" s="4" t="s">
        <v>25</v>
      </c>
      <c r="F84" s="4" t="s">
        <v>25</v>
      </c>
      <c r="G84" s="4" t="s">
        <v>25</v>
      </c>
      <c r="H84" s="4" t="s">
        <v>25</v>
      </c>
      <c r="I84" s="5">
        <v>44774</v>
      </c>
      <c r="J84" s="6">
        <v>250</v>
      </c>
      <c r="K84" s="61">
        <v>250</v>
      </c>
      <c r="L84" s="6">
        <v>0</v>
      </c>
      <c r="M84" s="61">
        <v>0</v>
      </c>
      <c r="N84" s="6">
        <v>0</v>
      </c>
      <c r="O84" s="61">
        <v>0</v>
      </c>
      <c r="P84" s="6">
        <v>2</v>
      </c>
      <c r="Q84" s="4" t="s">
        <v>26</v>
      </c>
      <c r="R84" s="4">
        <v>0</v>
      </c>
      <c r="S84" s="4">
        <v>16</v>
      </c>
      <c r="T84" s="4">
        <v>0</v>
      </c>
      <c r="U84" s="4">
        <v>0</v>
      </c>
      <c r="V84" s="61">
        <f>IF(ISERROR(VLOOKUP($S$84,'TAR FIN'!$A$1:$O$85,15,0)),0,VLOOKUP($S$84,'TAR FIN'!$A$1:$O$85,15,0))*(1-0.04)</f>
        <v>24.633599999999998</v>
      </c>
      <c r="W84" s="61">
        <f>IF(ISERROR(VLOOKUP($T$84,'TAR FIN'!$A$1:$O$85,15,0)),0,VLOOKUP($T$84,'TAR FIN'!$A$1:$O$85,15,0))</f>
        <v>0</v>
      </c>
      <c r="X84" s="61">
        <f>IF(ISERROR(VLOOKUP($U$84,'TAR FIN'!$A$1:$O$85,15,0)),0,VLOOKUP($U$84,'TAR FIN'!$A$1:$O$85,15,0))</f>
        <v>0</v>
      </c>
      <c r="Y84" s="61">
        <f ca="1">('TUSD BE'!$AM$10+'TUSD BF'!$AM$10+'TUSD CVA'!$AM$10)*1*(1-0.02)</f>
        <v>24.68581629644903</v>
      </c>
      <c r="Z84" s="61"/>
      <c r="AA84" s="61"/>
      <c r="AB84" s="61">
        <f>(SUBSIDIO!$J$84*SUBSIDIO!$V$84)*(0.04)/(1-0.04)</f>
        <v>256.59999999999997</v>
      </c>
      <c r="AC84" s="61">
        <f>((SUBSIDIO!$L$84*SUBSIDIO!$W$84)+(SUBSIDIO!$N$84*SUBSIDIO!$X$84))*(0.04)/(1-0.04)</f>
        <v>0</v>
      </c>
      <c r="AD84" s="61">
        <f ca="1">(SUBSIDIO!$J$84*SUBSIDIO!$Y$84)*(0.02)/(1-0.02)</f>
        <v>125.94804232882159</v>
      </c>
      <c r="AE84" s="61">
        <f>((SUBSIDIO!$L$84*SUBSIDIO!$Z$84)+(SUBSIDIO!$N$84*SUBSIDIO!$AA$84))*(0.02)/(1-0.02)</f>
        <v>0</v>
      </c>
      <c r="AF84" s="4" t="s">
        <v>590</v>
      </c>
    </row>
    <row r="85" spans="1:32" ht="11.25" customHeight="1" x14ac:dyDescent="0.25">
      <c r="A85" s="4" t="s">
        <v>21</v>
      </c>
      <c r="B85" s="4" t="s">
        <v>35</v>
      </c>
      <c r="C85" s="4" t="s">
        <v>36</v>
      </c>
      <c r="D85" s="4" t="s">
        <v>41</v>
      </c>
      <c r="E85" s="4" t="s">
        <v>25</v>
      </c>
      <c r="F85" s="4" t="s">
        <v>25</v>
      </c>
      <c r="G85" s="4" t="s">
        <v>25</v>
      </c>
      <c r="H85" s="4" t="s">
        <v>37</v>
      </c>
      <c r="I85" s="5">
        <v>44440</v>
      </c>
      <c r="J85" s="6">
        <v>0</v>
      </c>
      <c r="K85" s="61">
        <v>0</v>
      </c>
      <c r="L85" s="6">
        <v>2.2890000000000001</v>
      </c>
      <c r="M85" s="61">
        <v>2.2890000000000001</v>
      </c>
      <c r="N85" s="6">
        <v>2.2890000000000001</v>
      </c>
      <c r="O85" s="61">
        <v>2.2890000000000001</v>
      </c>
      <c r="P85" s="6">
        <v>0</v>
      </c>
      <c r="Q85" s="4" t="s">
        <v>26</v>
      </c>
      <c r="R85" s="4">
        <v>0</v>
      </c>
      <c r="S85" s="4">
        <v>0</v>
      </c>
      <c r="T85" s="4">
        <v>25</v>
      </c>
      <c r="U85" s="4">
        <v>44</v>
      </c>
      <c r="V85" s="61">
        <f>IF(ISERROR(VLOOKUP($S$85,'TAR FIN'!$A$1:$O$85,15,0)),0,VLOOKUP($S$85,'TAR FIN'!$A$1:$O$85,15,0))</f>
        <v>0</v>
      </c>
      <c r="W85" s="61">
        <f>IF(ISERROR(VLOOKUP($T$85,'TAR FIN'!$A$1:$O$85,15,0)),0,VLOOKUP($T$85,'TAR FIN'!$A$1:$O$85,15,0))*(1-0.04)</f>
        <v>1845.6575999999998</v>
      </c>
      <c r="X85" s="61">
        <f>IF(ISERROR(VLOOKUP($U$85,'TAR FIN'!$A$1:$O$85,15,0)),0,VLOOKUP($U$85,'TAR FIN'!$A$1:$O$85,15,0))*(1-0.04)</f>
        <v>135.66719999999998</v>
      </c>
      <c r="Y85" s="61"/>
      <c r="Z85" s="61">
        <f ca="1">('TUSD BE'!$AM$11+'TUSD BF'!$AM$11+'TUSD CVA'!$AM$11)*1*(1-0.02)</f>
        <v>1893.0693128580479</v>
      </c>
      <c r="AA85" s="61">
        <f>('TE BE'!$AB$5+'TE BF'!$AB$5+'TE CVA'!$AB$5)*1*(1-0.02)</f>
        <v>133.0901362797062</v>
      </c>
      <c r="AB85" s="61">
        <f>(SUBSIDIO!$J$85*SUBSIDIO!$V$85)*(0.04)/(1-0.04)</f>
        <v>0</v>
      </c>
      <c r="AC85" s="61">
        <f>((SUBSIDIO!$L$85*SUBSIDIO!$W$85)+(SUBSIDIO!$N$85*SUBSIDIO!$X$85))*(0.04)/(1-0.04)</f>
        <v>188.96885280000001</v>
      </c>
      <c r="AD85" s="61">
        <f>(SUBSIDIO!$J$85*SUBSIDIO!$Y$85)*(0.02)/(1-0.02)</f>
        <v>0</v>
      </c>
      <c r="AE85" s="61">
        <f ca="1">((SUBSIDIO!$L$85*SUBSIDIO!$Z$85)+(SUBSIDIO!$N$85*SUBSIDIO!$AA$85))*(0.02)/(1-0.02)</f>
        <v>94.650591409720803</v>
      </c>
      <c r="AF85" s="4" t="s">
        <v>590</v>
      </c>
    </row>
    <row r="86" spans="1:32" ht="11.25" customHeight="1" x14ac:dyDescent="0.25">
      <c r="A86" s="4" t="s">
        <v>28</v>
      </c>
      <c r="B86" s="4" t="s">
        <v>35</v>
      </c>
      <c r="C86" s="4" t="s">
        <v>36</v>
      </c>
      <c r="D86" s="4" t="s">
        <v>41</v>
      </c>
      <c r="E86" s="4" t="s">
        <v>25</v>
      </c>
      <c r="F86" s="4" t="s">
        <v>25</v>
      </c>
      <c r="G86" s="4" t="s">
        <v>25</v>
      </c>
      <c r="H86" s="4" t="s">
        <v>37</v>
      </c>
      <c r="I86" s="5">
        <v>44440</v>
      </c>
      <c r="J86" s="6">
        <v>0</v>
      </c>
      <c r="K86" s="61">
        <v>0</v>
      </c>
      <c r="L86" s="6">
        <v>2.2869999999999999</v>
      </c>
      <c r="M86" s="61">
        <v>2.2869999999999999</v>
      </c>
      <c r="N86" s="6">
        <v>2.2869999999999999</v>
      </c>
      <c r="O86" s="61">
        <v>2.2869999999999999</v>
      </c>
      <c r="P86" s="6">
        <v>0</v>
      </c>
      <c r="Q86" s="4" t="s">
        <v>26</v>
      </c>
      <c r="R86" s="4">
        <v>0</v>
      </c>
      <c r="S86" s="4">
        <v>0</v>
      </c>
      <c r="T86" s="4">
        <v>25</v>
      </c>
      <c r="U86" s="4">
        <v>44</v>
      </c>
      <c r="V86" s="61">
        <f>IF(ISERROR(VLOOKUP($S$86,'TAR FIN'!$A$1:$O$85,15,0)),0,VLOOKUP($S$86,'TAR FIN'!$A$1:$O$85,15,0))</f>
        <v>0</v>
      </c>
      <c r="W86" s="61">
        <f>IF(ISERROR(VLOOKUP($T$86,'TAR FIN'!$A$1:$O$85,15,0)),0,VLOOKUP($T$86,'TAR FIN'!$A$1:$O$85,15,0))*(1-0.04)</f>
        <v>1845.6575999999998</v>
      </c>
      <c r="X86" s="61">
        <f>IF(ISERROR(VLOOKUP($U$86,'TAR FIN'!$A$1:$O$85,15,0)),0,VLOOKUP($U$86,'TAR FIN'!$A$1:$O$85,15,0))*(1-0.04)</f>
        <v>135.66719999999998</v>
      </c>
      <c r="Y86" s="61"/>
      <c r="Z86" s="61">
        <f ca="1">('TUSD BE'!$AM$11+'TUSD BF'!$AM$11+'TUSD CVA'!$AM$11)*1*(1-0.02)</f>
        <v>1893.0693128580479</v>
      </c>
      <c r="AA86" s="61">
        <f>('TE BE'!$AB$5+'TE BF'!$AB$5+'TE CVA'!$AB$5)*1*(1-0.02)</f>
        <v>133.0901362797062</v>
      </c>
      <c r="AB86" s="61">
        <f>(SUBSIDIO!$J$86*SUBSIDIO!$V$86)*(0.04)/(1-0.04)</f>
        <v>0</v>
      </c>
      <c r="AC86" s="61">
        <f>((SUBSIDIO!$L$86*SUBSIDIO!$W$86)+(SUBSIDIO!$N$86*SUBSIDIO!$X$86))*(0.04)/(1-0.04)</f>
        <v>188.80374239999998</v>
      </c>
      <c r="AD86" s="61">
        <f>(SUBSIDIO!$J$86*SUBSIDIO!$Y$86)*(0.02)/(1-0.02)</f>
        <v>0</v>
      </c>
      <c r="AE86" s="61">
        <f ca="1">((SUBSIDIO!$L$86*SUBSIDIO!$Z$86)+(SUBSIDIO!$N$86*SUBSIDIO!$AA$86))*(0.02)/(1-0.02)</f>
        <v>94.5678910240417</v>
      </c>
      <c r="AF86" s="4" t="s">
        <v>590</v>
      </c>
    </row>
    <row r="87" spans="1:32" ht="11.25" customHeight="1" x14ac:dyDescent="0.25">
      <c r="A87" s="4" t="s">
        <v>21</v>
      </c>
      <c r="B87" s="4" t="s">
        <v>35</v>
      </c>
      <c r="C87" s="4" t="s">
        <v>36</v>
      </c>
      <c r="D87" s="4" t="s">
        <v>41</v>
      </c>
      <c r="E87" s="4" t="s">
        <v>25</v>
      </c>
      <c r="F87" s="4" t="s">
        <v>25</v>
      </c>
      <c r="G87" s="4" t="s">
        <v>25</v>
      </c>
      <c r="H87" s="4" t="s">
        <v>37</v>
      </c>
      <c r="I87" s="5">
        <v>44470</v>
      </c>
      <c r="J87" s="6">
        <v>0</v>
      </c>
      <c r="K87" s="61">
        <v>0</v>
      </c>
      <c r="L87" s="6">
        <v>0.97499999999999998</v>
      </c>
      <c r="M87" s="61">
        <v>0.97499999999999998</v>
      </c>
      <c r="N87" s="6">
        <v>0.97499999999999998</v>
      </c>
      <c r="O87" s="61">
        <v>0.97499999999999998</v>
      </c>
      <c r="P87" s="6">
        <v>0</v>
      </c>
      <c r="Q87" s="4" t="s">
        <v>26</v>
      </c>
      <c r="R87" s="4">
        <v>0</v>
      </c>
      <c r="S87" s="4">
        <v>0</v>
      </c>
      <c r="T87" s="4">
        <v>25</v>
      </c>
      <c r="U87" s="4">
        <v>44</v>
      </c>
      <c r="V87" s="61">
        <f>IF(ISERROR(VLOOKUP($S$87,'TAR FIN'!$A$1:$O$85,15,0)),0,VLOOKUP($S$87,'TAR FIN'!$A$1:$O$85,15,0))</f>
        <v>0</v>
      </c>
      <c r="W87" s="61">
        <f>IF(ISERROR(VLOOKUP($T$87,'TAR FIN'!$A$1:$O$85,15,0)),0,VLOOKUP($T$87,'TAR FIN'!$A$1:$O$85,15,0))*(1-0.04)</f>
        <v>1845.6575999999998</v>
      </c>
      <c r="X87" s="61">
        <f>IF(ISERROR(VLOOKUP($U$87,'TAR FIN'!$A$1:$O$85,15,0)),0,VLOOKUP($U$87,'TAR FIN'!$A$1:$O$85,15,0))*(1-0.04)</f>
        <v>135.66719999999998</v>
      </c>
      <c r="Y87" s="61"/>
      <c r="Z87" s="61">
        <f ca="1">('TUSD BE'!$AM$11+'TUSD BF'!$AM$11+'TUSD CVA'!$AM$11)*1*(1-0.02)</f>
        <v>1893.0693128580479</v>
      </c>
      <c r="AA87" s="61">
        <f>('TE BE'!$AB$5+'TE BF'!$AB$5+'TE CVA'!$AB$5)*1*(1-0.02)</f>
        <v>133.0901362797062</v>
      </c>
      <c r="AB87" s="61">
        <f>(SUBSIDIO!$J$87*SUBSIDIO!$V$87)*(0.04)/(1-0.04)</f>
        <v>0</v>
      </c>
      <c r="AC87" s="61">
        <f>((SUBSIDIO!$L$87*SUBSIDIO!$W$87)+(SUBSIDIO!$N$87*SUBSIDIO!$X$87))*(0.04)/(1-0.04)</f>
        <v>80.491319999999988</v>
      </c>
      <c r="AD87" s="61">
        <f>(SUBSIDIO!$J$87*SUBSIDIO!$Y$87)*(0.02)/(1-0.02)</f>
        <v>0</v>
      </c>
      <c r="AE87" s="61">
        <f ca="1">((SUBSIDIO!$L$87*SUBSIDIO!$Z$87)+(SUBSIDIO!$N$87*SUBSIDIO!$AA$87))*(0.02)/(1-0.02)</f>
        <v>40.316438018557349</v>
      </c>
      <c r="AF87" s="4" t="s">
        <v>590</v>
      </c>
    </row>
    <row r="88" spans="1:32" ht="11.25" customHeight="1" x14ac:dyDescent="0.25">
      <c r="A88" s="4" t="s">
        <v>28</v>
      </c>
      <c r="B88" s="4" t="s">
        <v>35</v>
      </c>
      <c r="C88" s="4" t="s">
        <v>36</v>
      </c>
      <c r="D88" s="4" t="s">
        <v>41</v>
      </c>
      <c r="E88" s="4" t="s">
        <v>25</v>
      </c>
      <c r="F88" s="4" t="s">
        <v>25</v>
      </c>
      <c r="G88" s="4" t="s">
        <v>25</v>
      </c>
      <c r="H88" s="4" t="s">
        <v>37</v>
      </c>
      <c r="I88" s="5">
        <v>44470</v>
      </c>
      <c r="J88" s="6">
        <v>0</v>
      </c>
      <c r="K88" s="61">
        <v>0</v>
      </c>
      <c r="L88" s="6">
        <v>2.0619999999999998</v>
      </c>
      <c r="M88" s="61">
        <v>2.0619999999999998</v>
      </c>
      <c r="N88" s="6">
        <v>2.0619999999999998</v>
      </c>
      <c r="O88" s="61">
        <v>2.0619999999999998</v>
      </c>
      <c r="P88" s="6">
        <v>0</v>
      </c>
      <c r="Q88" s="4" t="s">
        <v>26</v>
      </c>
      <c r="R88" s="4">
        <v>0</v>
      </c>
      <c r="S88" s="4">
        <v>0</v>
      </c>
      <c r="T88" s="4">
        <v>25</v>
      </c>
      <c r="U88" s="4">
        <v>44</v>
      </c>
      <c r="V88" s="61">
        <f>IF(ISERROR(VLOOKUP($S$88,'TAR FIN'!$A$1:$O$85,15,0)),0,VLOOKUP($S$88,'TAR FIN'!$A$1:$O$85,15,0))</f>
        <v>0</v>
      </c>
      <c r="W88" s="61">
        <f>IF(ISERROR(VLOOKUP($T$88,'TAR FIN'!$A$1:$O$85,15,0)),0,VLOOKUP($T$88,'TAR FIN'!$A$1:$O$85,15,0))*(1-0.04)</f>
        <v>1845.6575999999998</v>
      </c>
      <c r="X88" s="61">
        <f>IF(ISERROR(VLOOKUP($U$88,'TAR FIN'!$A$1:$O$85,15,0)),0,VLOOKUP($U$88,'TAR FIN'!$A$1:$O$85,15,0))*(1-0.04)</f>
        <v>135.66719999999998</v>
      </c>
      <c r="Y88" s="61"/>
      <c r="Z88" s="61">
        <f ca="1">('TUSD BE'!$AM$11+'TUSD BF'!$AM$11+'TUSD CVA'!$AM$11)*1*(1-0.02)</f>
        <v>1893.0693128580479</v>
      </c>
      <c r="AA88" s="61">
        <f>('TE BE'!$AB$5+'TE BF'!$AB$5+'TE CVA'!$AB$5)*1*(1-0.02)</f>
        <v>133.0901362797062</v>
      </c>
      <c r="AB88" s="61">
        <f>(SUBSIDIO!$J$88*SUBSIDIO!$V$88)*(0.04)/(1-0.04)</f>
        <v>0</v>
      </c>
      <c r="AC88" s="61">
        <f>((SUBSIDIO!$L$88*SUBSIDIO!$W$88)+(SUBSIDIO!$N$88*SUBSIDIO!$X$88))*(0.04)/(1-0.04)</f>
        <v>170.22882239999996</v>
      </c>
      <c r="AD88" s="61">
        <f>(SUBSIDIO!$J$88*SUBSIDIO!$Y$88)*(0.02)/(1-0.02)</f>
        <v>0</v>
      </c>
      <c r="AE88" s="61">
        <f ca="1">((SUBSIDIO!$L$88*SUBSIDIO!$Z$88)+(SUBSIDIO!$N$88*SUBSIDIO!$AA$88))*(0.02)/(1-0.02)</f>
        <v>85.264097635143841</v>
      </c>
      <c r="AF88" s="4" t="s">
        <v>590</v>
      </c>
    </row>
    <row r="89" spans="1:32" ht="11.25" customHeight="1" x14ac:dyDescent="0.25">
      <c r="A89" s="4" t="s">
        <v>21</v>
      </c>
      <c r="B89" s="4" t="s">
        <v>35</v>
      </c>
      <c r="C89" s="4" t="s">
        <v>36</v>
      </c>
      <c r="D89" s="4" t="s">
        <v>41</v>
      </c>
      <c r="E89" s="4" t="s">
        <v>25</v>
      </c>
      <c r="F89" s="4" t="s">
        <v>25</v>
      </c>
      <c r="G89" s="4" t="s">
        <v>25</v>
      </c>
      <c r="H89" s="4" t="s">
        <v>37</v>
      </c>
      <c r="I89" s="5">
        <v>44501</v>
      </c>
      <c r="J89" s="6">
        <v>0</v>
      </c>
      <c r="K89" s="61">
        <v>0</v>
      </c>
      <c r="L89" s="6">
        <v>2.1949999999999998</v>
      </c>
      <c r="M89" s="61">
        <v>2.1949999999999998</v>
      </c>
      <c r="N89" s="6">
        <v>2.1949999999999998</v>
      </c>
      <c r="O89" s="61">
        <v>2.1949999999999998</v>
      </c>
      <c r="P89" s="6">
        <v>0</v>
      </c>
      <c r="Q89" s="4" t="s">
        <v>26</v>
      </c>
      <c r="R89" s="4">
        <v>0</v>
      </c>
      <c r="S89" s="4">
        <v>0</v>
      </c>
      <c r="T89" s="4">
        <v>25</v>
      </c>
      <c r="U89" s="4">
        <v>44</v>
      </c>
      <c r="V89" s="61">
        <f>IF(ISERROR(VLOOKUP($S$89,'TAR FIN'!$A$1:$O$85,15,0)),0,VLOOKUP($S$89,'TAR FIN'!$A$1:$O$85,15,0))</f>
        <v>0</v>
      </c>
      <c r="W89" s="61">
        <f>IF(ISERROR(VLOOKUP($T$89,'TAR FIN'!$A$1:$O$85,15,0)),0,VLOOKUP($T$89,'TAR FIN'!$A$1:$O$85,15,0))*(1-0.04)</f>
        <v>1845.6575999999998</v>
      </c>
      <c r="X89" s="61">
        <f>IF(ISERROR(VLOOKUP($U$89,'TAR FIN'!$A$1:$O$85,15,0)),0,VLOOKUP($U$89,'TAR FIN'!$A$1:$O$85,15,0))*(1-0.04)</f>
        <v>135.66719999999998</v>
      </c>
      <c r="Y89" s="61"/>
      <c r="Z89" s="61">
        <f ca="1">('TUSD BE'!$AM$11+'TUSD BF'!$AM$11+'TUSD CVA'!$AM$11)*1*(1-0.02)</f>
        <v>1893.0693128580479</v>
      </c>
      <c r="AA89" s="61">
        <f>('TE BE'!$AB$5+'TE BF'!$AB$5+'TE CVA'!$AB$5)*1*(1-0.02)</f>
        <v>133.0901362797062</v>
      </c>
      <c r="AB89" s="61">
        <f>(SUBSIDIO!$J$89*SUBSIDIO!$V$89)*(0.04)/(1-0.04)</f>
        <v>0</v>
      </c>
      <c r="AC89" s="61">
        <f>((SUBSIDIO!$L$89*SUBSIDIO!$W$89)+(SUBSIDIO!$N$89*SUBSIDIO!$X$89))*(0.04)/(1-0.04)</f>
        <v>181.20866399999997</v>
      </c>
      <c r="AD89" s="61">
        <f>(SUBSIDIO!$J$89*SUBSIDIO!$Y$89)*(0.02)/(1-0.02)</f>
        <v>0</v>
      </c>
      <c r="AE89" s="61">
        <f ca="1">((SUBSIDIO!$L$89*SUBSIDIO!$Z$89)+(SUBSIDIO!$N$89*SUBSIDIO!$AA$89))*(0.02)/(1-0.02)</f>
        <v>90.763673282803481</v>
      </c>
      <c r="AF89" s="4" t="s">
        <v>590</v>
      </c>
    </row>
    <row r="90" spans="1:32" ht="11.25" customHeight="1" x14ac:dyDescent="0.25">
      <c r="A90" s="4" t="s">
        <v>28</v>
      </c>
      <c r="B90" s="4" t="s">
        <v>35</v>
      </c>
      <c r="C90" s="4" t="s">
        <v>36</v>
      </c>
      <c r="D90" s="4" t="s">
        <v>41</v>
      </c>
      <c r="E90" s="4" t="s">
        <v>25</v>
      </c>
      <c r="F90" s="4" t="s">
        <v>25</v>
      </c>
      <c r="G90" s="4" t="s">
        <v>25</v>
      </c>
      <c r="H90" s="4" t="s">
        <v>37</v>
      </c>
      <c r="I90" s="5">
        <v>44501</v>
      </c>
      <c r="J90" s="6">
        <v>0</v>
      </c>
      <c r="K90" s="61">
        <v>0</v>
      </c>
      <c r="L90" s="6">
        <v>2.226</v>
      </c>
      <c r="M90" s="61">
        <v>2.226</v>
      </c>
      <c r="N90" s="6">
        <v>2.226</v>
      </c>
      <c r="O90" s="61">
        <v>2.226</v>
      </c>
      <c r="P90" s="6">
        <v>0</v>
      </c>
      <c r="Q90" s="4" t="s">
        <v>26</v>
      </c>
      <c r="R90" s="4">
        <v>0</v>
      </c>
      <c r="S90" s="4">
        <v>0</v>
      </c>
      <c r="T90" s="4">
        <v>25</v>
      </c>
      <c r="U90" s="4">
        <v>44</v>
      </c>
      <c r="V90" s="61">
        <f>IF(ISERROR(VLOOKUP($S$90,'TAR FIN'!$A$1:$O$85,15,0)),0,VLOOKUP($S$90,'TAR FIN'!$A$1:$O$85,15,0))</f>
        <v>0</v>
      </c>
      <c r="W90" s="61">
        <f>IF(ISERROR(VLOOKUP($T$90,'TAR FIN'!$A$1:$O$85,15,0)),0,VLOOKUP($T$90,'TAR FIN'!$A$1:$O$85,15,0))*(1-0.04)</f>
        <v>1845.6575999999998</v>
      </c>
      <c r="X90" s="61">
        <f>IF(ISERROR(VLOOKUP($U$90,'TAR FIN'!$A$1:$O$85,15,0)),0,VLOOKUP($U$90,'TAR FIN'!$A$1:$O$85,15,0))*(1-0.04)</f>
        <v>135.66719999999998</v>
      </c>
      <c r="Y90" s="61"/>
      <c r="Z90" s="61">
        <f ca="1">('TUSD BE'!$AM$11+'TUSD BF'!$AM$11+'TUSD CVA'!$AM$11)*1*(1-0.02)</f>
        <v>1893.0693128580479</v>
      </c>
      <c r="AA90" s="61">
        <f>('TE BE'!$AB$5+'TE BF'!$AB$5+'TE CVA'!$AB$5)*1*(1-0.02)</f>
        <v>133.0901362797062</v>
      </c>
      <c r="AB90" s="61">
        <f>(SUBSIDIO!$J$90*SUBSIDIO!$V$90)*(0.04)/(1-0.04)</f>
        <v>0</v>
      </c>
      <c r="AC90" s="61">
        <f>((SUBSIDIO!$L$90*SUBSIDIO!$W$90)+(SUBSIDIO!$N$90*SUBSIDIO!$X$90))*(0.04)/(1-0.04)</f>
        <v>183.76787519999999</v>
      </c>
      <c r="AD90" s="61">
        <f>(SUBSIDIO!$J$90*SUBSIDIO!$Y$90)*(0.02)/(1-0.02)</f>
        <v>0</v>
      </c>
      <c r="AE90" s="61">
        <f ca="1">((SUBSIDIO!$L$90*SUBSIDIO!$Z$90)+(SUBSIDIO!$N$90*SUBSIDIO!$AA$90))*(0.02)/(1-0.02)</f>
        <v>92.045529260829397</v>
      </c>
      <c r="AF90" s="4" t="s">
        <v>590</v>
      </c>
    </row>
    <row r="91" spans="1:32" ht="11.25" customHeight="1" x14ac:dyDescent="0.25">
      <c r="A91" s="4" t="s">
        <v>21</v>
      </c>
      <c r="B91" s="4" t="s">
        <v>35</v>
      </c>
      <c r="C91" s="4" t="s">
        <v>36</v>
      </c>
      <c r="D91" s="4" t="s">
        <v>41</v>
      </c>
      <c r="E91" s="4" t="s">
        <v>25</v>
      </c>
      <c r="F91" s="4" t="s">
        <v>25</v>
      </c>
      <c r="G91" s="4" t="s">
        <v>25</v>
      </c>
      <c r="H91" s="4" t="s">
        <v>37</v>
      </c>
      <c r="I91" s="5">
        <v>44531</v>
      </c>
      <c r="J91" s="6">
        <v>0</v>
      </c>
      <c r="K91" s="61">
        <v>0</v>
      </c>
      <c r="L91" s="6">
        <v>0.248</v>
      </c>
      <c r="M91" s="61">
        <v>0.248</v>
      </c>
      <c r="N91" s="6">
        <v>0.248</v>
      </c>
      <c r="O91" s="61">
        <v>0.248</v>
      </c>
      <c r="P91" s="6">
        <v>0</v>
      </c>
      <c r="Q91" s="4" t="s">
        <v>26</v>
      </c>
      <c r="R91" s="4">
        <v>0</v>
      </c>
      <c r="S91" s="4">
        <v>0</v>
      </c>
      <c r="T91" s="4">
        <v>25</v>
      </c>
      <c r="U91" s="4">
        <v>44</v>
      </c>
      <c r="V91" s="61">
        <f>IF(ISERROR(VLOOKUP($S$91,'TAR FIN'!$A$1:$O$85,15,0)),0,VLOOKUP($S$91,'TAR FIN'!$A$1:$O$85,15,0))</f>
        <v>0</v>
      </c>
      <c r="W91" s="61">
        <f>IF(ISERROR(VLOOKUP($T$91,'TAR FIN'!$A$1:$O$85,15,0)),0,VLOOKUP($T$91,'TAR FIN'!$A$1:$O$85,15,0))*(1-0.04)</f>
        <v>1845.6575999999998</v>
      </c>
      <c r="X91" s="61">
        <f>IF(ISERROR(VLOOKUP($U$91,'TAR FIN'!$A$1:$O$85,15,0)),0,VLOOKUP($U$91,'TAR FIN'!$A$1:$O$85,15,0))*(1-0.04)</f>
        <v>135.66719999999998</v>
      </c>
      <c r="Y91" s="61"/>
      <c r="Z91" s="61">
        <f ca="1">('TUSD BE'!$AM$11+'TUSD BF'!$AM$11+'TUSD CVA'!$AM$11)*1*(1-0.02)</f>
        <v>1893.0693128580479</v>
      </c>
      <c r="AA91" s="61">
        <f>('TE BE'!$AB$5+'TE BF'!$AB$5+'TE CVA'!$AB$5)*1*(1-0.02)</f>
        <v>133.0901362797062</v>
      </c>
      <c r="AB91" s="61">
        <f>(SUBSIDIO!$J$91*SUBSIDIO!$V$91)*(0.04)/(1-0.04)</f>
        <v>0</v>
      </c>
      <c r="AC91" s="61">
        <f>((SUBSIDIO!$L$91*SUBSIDIO!$W$91)+(SUBSIDIO!$N$91*SUBSIDIO!$X$91))*(0.04)/(1-0.04)</f>
        <v>20.473689599999997</v>
      </c>
      <c r="AD91" s="61">
        <f>(SUBSIDIO!$J$91*SUBSIDIO!$Y$91)*(0.02)/(1-0.02)</f>
        <v>0</v>
      </c>
      <c r="AE91" s="61">
        <f ca="1">((SUBSIDIO!$L$91*SUBSIDIO!$Z$91)+(SUBSIDIO!$N$91*SUBSIDIO!$AA$91))*(0.02)/(1-0.02)</f>
        <v>10.254847824207408</v>
      </c>
      <c r="AF91" s="4" t="s">
        <v>590</v>
      </c>
    </row>
    <row r="92" spans="1:32" ht="11.25" customHeight="1" x14ac:dyDescent="0.25">
      <c r="A92" s="4" t="s">
        <v>28</v>
      </c>
      <c r="B92" s="4" t="s">
        <v>35</v>
      </c>
      <c r="C92" s="4" t="s">
        <v>36</v>
      </c>
      <c r="D92" s="4" t="s">
        <v>41</v>
      </c>
      <c r="E92" s="4" t="s">
        <v>25</v>
      </c>
      <c r="F92" s="4" t="s">
        <v>25</v>
      </c>
      <c r="G92" s="4" t="s">
        <v>25</v>
      </c>
      <c r="H92" s="4" t="s">
        <v>37</v>
      </c>
      <c r="I92" s="5">
        <v>44531</v>
      </c>
      <c r="J92" s="6">
        <v>0</v>
      </c>
      <c r="K92" s="61">
        <v>0</v>
      </c>
      <c r="L92" s="6">
        <v>2.8319999999999999</v>
      </c>
      <c r="M92" s="61">
        <v>2.8319999999999999</v>
      </c>
      <c r="N92" s="6">
        <v>2.8319999999999999</v>
      </c>
      <c r="O92" s="61">
        <v>2.8319999999999999</v>
      </c>
      <c r="P92" s="6">
        <v>0</v>
      </c>
      <c r="Q92" s="4" t="s">
        <v>26</v>
      </c>
      <c r="R92" s="4">
        <v>0</v>
      </c>
      <c r="S92" s="4">
        <v>0</v>
      </c>
      <c r="T92" s="4">
        <v>25</v>
      </c>
      <c r="U92" s="4">
        <v>44</v>
      </c>
      <c r="V92" s="61">
        <f>IF(ISERROR(VLOOKUP($S$92,'TAR FIN'!$A$1:$O$85,15,0)),0,VLOOKUP($S$92,'TAR FIN'!$A$1:$O$85,15,0))</f>
        <v>0</v>
      </c>
      <c r="W92" s="61">
        <f>IF(ISERROR(VLOOKUP($T$92,'TAR FIN'!$A$1:$O$85,15,0)),0,VLOOKUP($T$92,'TAR FIN'!$A$1:$O$85,15,0))*(1-0.04)</f>
        <v>1845.6575999999998</v>
      </c>
      <c r="X92" s="61">
        <f>IF(ISERROR(VLOOKUP($U$92,'TAR FIN'!$A$1:$O$85,15,0)),0,VLOOKUP($U$92,'TAR FIN'!$A$1:$O$85,15,0))*(1-0.04)</f>
        <v>135.66719999999998</v>
      </c>
      <c r="Y92" s="61"/>
      <c r="Z92" s="61">
        <f ca="1">('TUSD BE'!$AM$11+'TUSD BF'!$AM$11+'TUSD CVA'!$AM$11)*1*(1-0.02)</f>
        <v>1893.0693128580479</v>
      </c>
      <c r="AA92" s="61">
        <f>('TE BE'!$AB$5+'TE BF'!$AB$5+'TE CVA'!$AB$5)*1*(1-0.02)</f>
        <v>133.0901362797062</v>
      </c>
      <c r="AB92" s="61">
        <f>(SUBSIDIO!$J$92*SUBSIDIO!$V$92)*(0.04)/(1-0.04)</f>
        <v>0</v>
      </c>
      <c r="AC92" s="61">
        <f>((SUBSIDIO!$L$92*SUBSIDIO!$W$92)+(SUBSIDIO!$N$92*SUBSIDIO!$X$92))*(0.04)/(1-0.04)</f>
        <v>233.79632639999997</v>
      </c>
      <c r="AD92" s="61">
        <f>(SUBSIDIO!$J$92*SUBSIDIO!$Y$92)*(0.02)/(1-0.02)</f>
        <v>0</v>
      </c>
      <c r="AE92" s="61">
        <f ca="1">((SUBSIDIO!$L$92*SUBSIDIO!$Z$92)+(SUBSIDIO!$N$92*SUBSIDIO!$AA$92))*(0.02)/(1-0.02)</f>
        <v>117.10374612159428</v>
      </c>
      <c r="AF92" s="4" t="s">
        <v>590</v>
      </c>
    </row>
    <row r="93" spans="1:32" ht="11.25" customHeight="1" x14ac:dyDescent="0.25">
      <c r="A93" s="4" t="s">
        <v>21</v>
      </c>
      <c r="B93" s="4" t="s">
        <v>35</v>
      </c>
      <c r="C93" s="4" t="s">
        <v>36</v>
      </c>
      <c r="D93" s="4" t="s">
        <v>41</v>
      </c>
      <c r="E93" s="4" t="s">
        <v>25</v>
      </c>
      <c r="F93" s="4" t="s">
        <v>25</v>
      </c>
      <c r="G93" s="4" t="s">
        <v>25</v>
      </c>
      <c r="H93" s="4" t="s">
        <v>37</v>
      </c>
      <c r="I93" s="5">
        <v>44562</v>
      </c>
      <c r="J93" s="6">
        <v>0</v>
      </c>
      <c r="K93" s="61">
        <v>0</v>
      </c>
      <c r="L93" s="6">
        <v>2.1789999999999998</v>
      </c>
      <c r="M93" s="61">
        <v>2.1789999999999998</v>
      </c>
      <c r="N93" s="6">
        <v>2.1789999999999998</v>
      </c>
      <c r="O93" s="61">
        <v>2.1789999999999998</v>
      </c>
      <c r="P93" s="6">
        <v>0</v>
      </c>
      <c r="Q93" s="4" t="s">
        <v>26</v>
      </c>
      <c r="R93" s="4">
        <v>0</v>
      </c>
      <c r="S93" s="4">
        <v>0</v>
      </c>
      <c r="T93" s="4">
        <v>25</v>
      </c>
      <c r="U93" s="4">
        <v>44</v>
      </c>
      <c r="V93" s="61">
        <f>IF(ISERROR(VLOOKUP($S$93,'TAR FIN'!$A$1:$O$85,15,0)),0,VLOOKUP($S$93,'TAR FIN'!$A$1:$O$85,15,0))</f>
        <v>0</v>
      </c>
      <c r="W93" s="61">
        <f>IF(ISERROR(VLOOKUP($T$93,'TAR FIN'!$A$1:$O$85,15,0)),0,VLOOKUP($T$93,'TAR FIN'!$A$1:$O$85,15,0))*(1-0.04)</f>
        <v>1845.6575999999998</v>
      </c>
      <c r="X93" s="61">
        <f>IF(ISERROR(VLOOKUP($U$93,'TAR FIN'!$A$1:$O$85,15,0)),0,VLOOKUP($U$93,'TAR FIN'!$A$1:$O$85,15,0))*(1-0.04)</f>
        <v>135.66719999999998</v>
      </c>
      <c r="Y93" s="61"/>
      <c r="Z93" s="61">
        <f ca="1">('TUSD BE'!$AM$11+'TUSD BF'!$AM$11+'TUSD CVA'!$AM$11)*1*(1-0.02)</f>
        <v>1893.0693128580479</v>
      </c>
      <c r="AA93" s="61">
        <f>('TE BE'!$AB$5+'TE BF'!$AB$5+'TE CVA'!$AB$5)*1*(1-0.02)</f>
        <v>133.0901362797062</v>
      </c>
      <c r="AB93" s="61">
        <f>(SUBSIDIO!$J$93*SUBSIDIO!$V$93)*(0.04)/(1-0.04)</f>
        <v>0</v>
      </c>
      <c r="AC93" s="61">
        <f>((SUBSIDIO!$L$93*SUBSIDIO!$W$93)+(SUBSIDIO!$N$93*SUBSIDIO!$X$93))*(0.04)/(1-0.04)</f>
        <v>179.88778079999997</v>
      </c>
      <c r="AD93" s="61">
        <f>(SUBSIDIO!$J$93*SUBSIDIO!$Y$93)*(0.02)/(1-0.02)</f>
        <v>0</v>
      </c>
      <c r="AE93" s="61">
        <f ca="1">((SUBSIDIO!$L$93*SUBSIDIO!$Z$93)+(SUBSIDIO!$N$93*SUBSIDIO!$AA$93))*(0.02)/(1-0.02)</f>
        <v>90.102070197370736</v>
      </c>
      <c r="AF93" s="4" t="s">
        <v>590</v>
      </c>
    </row>
    <row r="94" spans="1:32" ht="11.25" customHeight="1" x14ac:dyDescent="0.25">
      <c r="A94" s="4" t="s">
        <v>28</v>
      </c>
      <c r="B94" s="4" t="s">
        <v>35</v>
      </c>
      <c r="C94" s="4" t="s">
        <v>36</v>
      </c>
      <c r="D94" s="4" t="s">
        <v>41</v>
      </c>
      <c r="E94" s="4" t="s">
        <v>25</v>
      </c>
      <c r="F94" s="4" t="s">
        <v>25</v>
      </c>
      <c r="G94" s="4" t="s">
        <v>25</v>
      </c>
      <c r="H94" s="4" t="s">
        <v>37</v>
      </c>
      <c r="I94" s="5">
        <v>44562</v>
      </c>
      <c r="J94" s="6">
        <v>0</v>
      </c>
      <c r="K94" s="61">
        <v>0</v>
      </c>
      <c r="L94" s="6">
        <v>2.5579999999999998</v>
      </c>
      <c r="M94" s="61">
        <v>2.5579999999999998</v>
      </c>
      <c r="N94" s="6">
        <v>2.5579999999999998</v>
      </c>
      <c r="O94" s="61">
        <v>2.5579999999999998</v>
      </c>
      <c r="P94" s="6">
        <v>0</v>
      </c>
      <c r="Q94" s="4" t="s">
        <v>26</v>
      </c>
      <c r="R94" s="4">
        <v>0</v>
      </c>
      <c r="S94" s="4">
        <v>0</v>
      </c>
      <c r="T94" s="4">
        <v>25</v>
      </c>
      <c r="U94" s="4">
        <v>44</v>
      </c>
      <c r="V94" s="61">
        <f>IF(ISERROR(VLOOKUP($S$94,'TAR FIN'!$A$1:$O$85,15,0)),0,VLOOKUP($S$94,'TAR FIN'!$A$1:$O$85,15,0))</f>
        <v>0</v>
      </c>
      <c r="W94" s="61">
        <f>IF(ISERROR(VLOOKUP($T$94,'TAR FIN'!$A$1:$O$85,15,0)),0,VLOOKUP($T$94,'TAR FIN'!$A$1:$O$85,15,0))*(1-0.04)</f>
        <v>1845.6575999999998</v>
      </c>
      <c r="X94" s="61">
        <f>IF(ISERROR(VLOOKUP($U$94,'TAR FIN'!$A$1:$O$85,15,0)),0,VLOOKUP($U$94,'TAR FIN'!$A$1:$O$85,15,0))*(1-0.04)</f>
        <v>135.66719999999998</v>
      </c>
      <c r="Y94" s="61"/>
      <c r="Z94" s="61">
        <f ca="1">('TUSD BE'!$AM$11+'TUSD BF'!$AM$11+'TUSD CVA'!$AM$11)*1*(1-0.02)</f>
        <v>1893.0693128580479</v>
      </c>
      <c r="AA94" s="61">
        <f>('TE BE'!$AB$5+'TE BF'!$AB$5+'TE CVA'!$AB$5)*1*(1-0.02)</f>
        <v>133.0901362797062</v>
      </c>
      <c r="AB94" s="61">
        <f>(SUBSIDIO!$J$94*SUBSIDIO!$V$94)*(0.04)/(1-0.04)</f>
        <v>0</v>
      </c>
      <c r="AC94" s="61">
        <f>((SUBSIDIO!$L$94*SUBSIDIO!$W$94)+(SUBSIDIO!$N$94*SUBSIDIO!$X$94))*(0.04)/(1-0.04)</f>
        <v>211.17620159999996</v>
      </c>
      <c r="AD94" s="61">
        <f>(SUBSIDIO!$J$94*SUBSIDIO!$Y$94)*(0.02)/(1-0.02)</f>
        <v>0</v>
      </c>
      <c r="AE94" s="61">
        <f ca="1">((SUBSIDIO!$L$94*SUBSIDIO!$Z$94)+(SUBSIDIO!$N$94*SUBSIDIO!$AA$94))*(0.02)/(1-0.02)</f>
        <v>105.77379328355867</v>
      </c>
      <c r="AF94" s="4" t="s">
        <v>590</v>
      </c>
    </row>
    <row r="95" spans="1:32" ht="11.25" customHeight="1" x14ac:dyDescent="0.25">
      <c r="A95" s="4" t="s">
        <v>21</v>
      </c>
      <c r="B95" s="4" t="s">
        <v>35</v>
      </c>
      <c r="C95" s="4" t="s">
        <v>36</v>
      </c>
      <c r="D95" s="4" t="s">
        <v>41</v>
      </c>
      <c r="E95" s="4" t="s">
        <v>25</v>
      </c>
      <c r="F95" s="4" t="s">
        <v>25</v>
      </c>
      <c r="G95" s="4" t="s">
        <v>25</v>
      </c>
      <c r="H95" s="4" t="s">
        <v>37</v>
      </c>
      <c r="I95" s="5">
        <v>44593</v>
      </c>
      <c r="J95" s="6">
        <v>0</v>
      </c>
      <c r="K95" s="61">
        <v>0</v>
      </c>
      <c r="L95" s="6">
        <v>2.2130000000000001</v>
      </c>
      <c r="M95" s="61">
        <v>2.2130000000000001</v>
      </c>
      <c r="N95" s="6">
        <v>2.2130000000000001</v>
      </c>
      <c r="O95" s="61">
        <v>2.2130000000000001</v>
      </c>
      <c r="P95" s="6">
        <v>0</v>
      </c>
      <c r="Q95" s="4" t="s">
        <v>26</v>
      </c>
      <c r="R95" s="4">
        <v>0</v>
      </c>
      <c r="S95" s="4">
        <v>0</v>
      </c>
      <c r="T95" s="4">
        <v>25</v>
      </c>
      <c r="U95" s="4">
        <v>44</v>
      </c>
      <c r="V95" s="61">
        <f>IF(ISERROR(VLOOKUP($S$95,'TAR FIN'!$A$1:$O$85,15,0)),0,VLOOKUP($S$95,'TAR FIN'!$A$1:$O$85,15,0))</f>
        <v>0</v>
      </c>
      <c r="W95" s="61">
        <f>IF(ISERROR(VLOOKUP($T$95,'TAR FIN'!$A$1:$O$85,15,0)),0,VLOOKUP($T$95,'TAR FIN'!$A$1:$O$85,15,0))*(1-0.04)</f>
        <v>1845.6575999999998</v>
      </c>
      <c r="X95" s="61">
        <f>IF(ISERROR(VLOOKUP($U$95,'TAR FIN'!$A$1:$O$85,15,0)),0,VLOOKUP($U$95,'TAR FIN'!$A$1:$O$85,15,0))*(1-0.04)</f>
        <v>135.66719999999998</v>
      </c>
      <c r="Y95" s="61"/>
      <c r="Z95" s="61">
        <f ca="1">('TUSD BE'!$AM$11+'TUSD BF'!$AM$11+'TUSD CVA'!$AM$11)*1*(1-0.02)</f>
        <v>1893.0693128580479</v>
      </c>
      <c r="AA95" s="61">
        <f>('TE BE'!$AB$5+'TE BF'!$AB$5+'TE CVA'!$AB$5)*1*(1-0.02)</f>
        <v>133.0901362797062</v>
      </c>
      <c r="AB95" s="61">
        <f>(SUBSIDIO!$J$95*SUBSIDIO!$V$95)*(0.04)/(1-0.04)</f>
        <v>0</v>
      </c>
      <c r="AC95" s="61">
        <f>((SUBSIDIO!$L$95*SUBSIDIO!$W$95)+(SUBSIDIO!$N$95*SUBSIDIO!$X$95))*(0.04)/(1-0.04)</f>
        <v>182.6946576</v>
      </c>
      <c r="AD95" s="61">
        <f>(SUBSIDIO!$J$95*SUBSIDIO!$Y$95)*(0.02)/(1-0.02)</f>
        <v>0</v>
      </c>
      <c r="AE95" s="61">
        <f ca="1">((SUBSIDIO!$L$95*SUBSIDIO!$Z$95)+(SUBSIDIO!$N$95*SUBSIDIO!$AA$95))*(0.02)/(1-0.02)</f>
        <v>91.507976753915315</v>
      </c>
      <c r="AF95" s="4" t="s">
        <v>590</v>
      </c>
    </row>
    <row r="96" spans="1:32" ht="11.25" customHeight="1" x14ac:dyDescent="0.25">
      <c r="A96" s="4" t="s">
        <v>28</v>
      </c>
      <c r="B96" s="4" t="s">
        <v>35</v>
      </c>
      <c r="C96" s="4" t="s">
        <v>36</v>
      </c>
      <c r="D96" s="4" t="s">
        <v>41</v>
      </c>
      <c r="E96" s="4" t="s">
        <v>25</v>
      </c>
      <c r="F96" s="4" t="s">
        <v>25</v>
      </c>
      <c r="G96" s="4" t="s">
        <v>25</v>
      </c>
      <c r="H96" s="4" t="s">
        <v>37</v>
      </c>
      <c r="I96" s="5">
        <v>44593</v>
      </c>
      <c r="J96" s="6">
        <v>0</v>
      </c>
      <c r="K96" s="61">
        <v>0</v>
      </c>
      <c r="L96" s="6">
        <v>2.504</v>
      </c>
      <c r="M96" s="61">
        <v>2.504</v>
      </c>
      <c r="N96" s="6">
        <v>2.504</v>
      </c>
      <c r="O96" s="61">
        <v>2.504</v>
      </c>
      <c r="P96" s="6">
        <v>0</v>
      </c>
      <c r="Q96" s="4" t="s">
        <v>26</v>
      </c>
      <c r="R96" s="4">
        <v>0</v>
      </c>
      <c r="S96" s="4">
        <v>0</v>
      </c>
      <c r="T96" s="4">
        <v>25</v>
      </c>
      <c r="U96" s="4">
        <v>44</v>
      </c>
      <c r="V96" s="61">
        <f>IF(ISERROR(VLOOKUP($S$96,'TAR FIN'!$A$1:$O$85,15,0)),0,VLOOKUP($S$96,'TAR FIN'!$A$1:$O$85,15,0))</f>
        <v>0</v>
      </c>
      <c r="W96" s="61">
        <f>IF(ISERROR(VLOOKUP($T$96,'TAR FIN'!$A$1:$O$85,15,0)),0,VLOOKUP($T$96,'TAR FIN'!$A$1:$O$85,15,0))*(1-0.04)</f>
        <v>1845.6575999999998</v>
      </c>
      <c r="X96" s="61">
        <f>IF(ISERROR(VLOOKUP($U$96,'TAR FIN'!$A$1:$O$85,15,0)),0,VLOOKUP($U$96,'TAR FIN'!$A$1:$O$85,15,0))*(1-0.04)</f>
        <v>135.66719999999998</v>
      </c>
      <c r="Y96" s="61"/>
      <c r="Z96" s="61">
        <f ca="1">('TUSD BE'!$AM$11+'TUSD BF'!$AM$11+'TUSD CVA'!$AM$11)*1*(1-0.02)</f>
        <v>1893.0693128580479</v>
      </c>
      <c r="AA96" s="61">
        <f>('TE BE'!$AB$5+'TE BF'!$AB$5+'TE CVA'!$AB$5)*1*(1-0.02)</f>
        <v>133.0901362797062</v>
      </c>
      <c r="AB96" s="61">
        <f>(SUBSIDIO!$J$96*SUBSIDIO!$V$96)*(0.04)/(1-0.04)</f>
        <v>0</v>
      </c>
      <c r="AC96" s="61">
        <f>((SUBSIDIO!$L$96*SUBSIDIO!$W$96)+(SUBSIDIO!$N$96*SUBSIDIO!$X$96))*(0.04)/(1-0.04)</f>
        <v>206.71822080000004</v>
      </c>
      <c r="AD96" s="61">
        <f>(SUBSIDIO!$J$96*SUBSIDIO!$Y$96)*(0.02)/(1-0.02)</f>
        <v>0</v>
      </c>
      <c r="AE96" s="61">
        <f ca="1">((SUBSIDIO!$L$96*SUBSIDIO!$Z$96)+(SUBSIDIO!$N$96*SUBSIDIO!$AA$96))*(0.02)/(1-0.02)</f>
        <v>103.54088287022319</v>
      </c>
      <c r="AF96" s="4" t="s">
        <v>590</v>
      </c>
    </row>
    <row r="97" spans="1:32" ht="11.25" customHeight="1" x14ac:dyDescent="0.25">
      <c r="A97" s="4" t="s">
        <v>21</v>
      </c>
      <c r="B97" s="4" t="s">
        <v>35</v>
      </c>
      <c r="C97" s="4" t="s">
        <v>36</v>
      </c>
      <c r="D97" s="4" t="s">
        <v>41</v>
      </c>
      <c r="E97" s="4" t="s">
        <v>25</v>
      </c>
      <c r="F97" s="4" t="s">
        <v>25</v>
      </c>
      <c r="G97" s="4" t="s">
        <v>25</v>
      </c>
      <c r="H97" s="4" t="s">
        <v>37</v>
      </c>
      <c r="I97" s="5">
        <v>44621</v>
      </c>
      <c r="J97" s="6">
        <v>0</v>
      </c>
      <c r="K97" s="61">
        <v>0</v>
      </c>
      <c r="L97" s="6">
        <v>1.9279999999999999</v>
      </c>
      <c r="M97" s="61">
        <v>1.9279999999999999</v>
      </c>
      <c r="N97" s="6">
        <v>1.9279999999999999</v>
      </c>
      <c r="O97" s="61">
        <v>1.9279999999999999</v>
      </c>
      <c r="P97" s="6">
        <v>0</v>
      </c>
      <c r="Q97" s="4" t="s">
        <v>26</v>
      </c>
      <c r="R97" s="4">
        <v>0</v>
      </c>
      <c r="S97" s="4">
        <v>0</v>
      </c>
      <c r="T97" s="4">
        <v>25</v>
      </c>
      <c r="U97" s="4">
        <v>44</v>
      </c>
      <c r="V97" s="61">
        <f>IF(ISERROR(VLOOKUP($S$97,'TAR FIN'!$A$1:$O$85,15,0)),0,VLOOKUP($S$97,'TAR FIN'!$A$1:$O$85,15,0))</f>
        <v>0</v>
      </c>
      <c r="W97" s="61">
        <f>IF(ISERROR(VLOOKUP($T$97,'TAR FIN'!$A$1:$O$85,15,0)),0,VLOOKUP($T$97,'TAR FIN'!$A$1:$O$85,15,0))*(1-0.04)</f>
        <v>1845.6575999999998</v>
      </c>
      <c r="X97" s="61">
        <f>IF(ISERROR(VLOOKUP($U$97,'TAR FIN'!$A$1:$O$85,15,0)),0,VLOOKUP($U$97,'TAR FIN'!$A$1:$O$85,15,0))*(1-0.04)</f>
        <v>135.66719999999998</v>
      </c>
      <c r="Y97" s="61"/>
      <c r="Z97" s="61">
        <f ca="1">('TUSD BE'!$AM$11+'TUSD BF'!$AM$11+'TUSD CVA'!$AM$11)*1*(1-0.02)</f>
        <v>1893.0693128580479</v>
      </c>
      <c r="AA97" s="61">
        <f>('TE BE'!$AB$5+'TE BF'!$AB$5+'TE CVA'!$AB$5)*1*(1-0.02)</f>
        <v>133.0901362797062</v>
      </c>
      <c r="AB97" s="61">
        <f>(SUBSIDIO!$J$97*SUBSIDIO!$V$97)*(0.04)/(1-0.04)</f>
        <v>0</v>
      </c>
      <c r="AC97" s="61">
        <f>((SUBSIDIO!$L$97*SUBSIDIO!$W$97)+(SUBSIDIO!$N$97*SUBSIDIO!$X$97))*(0.04)/(1-0.04)</f>
        <v>159.1664256</v>
      </c>
      <c r="AD97" s="61">
        <f>(SUBSIDIO!$J$97*SUBSIDIO!$Y$97)*(0.02)/(1-0.02)</f>
        <v>0</v>
      </c>
      <c r="AE97" s="61">
        <f ca="1">((SUBSIDIO!$L$97*SUBSIDIO!$Z$97)+(SUBSIDIO!$N$97*SUBSIDIO!$AA$97))*(0.02)/(1-0.02)</f>
        <v>79.723171794644685</v>
      </c>
      <c r="AF97" s="4" t="s">
        <v>590</v>
      </c>
    </row>
    <row r="98" spans="1:32" ht="11.25" customHeight="1" x14ac:dyDescent="0.25">
      <c r="A98" s="4" t="s">
        <v>28</v>
      </c>
      <c r="B98" s="4" t="s">
        <v>35</v>
      </c>
      <c r="C98" s="4" t="s">
        <v>36</v>
      </c>
      <c r="D98" s="4" t="s">
        <v>41</v>
      </c>
      <c r="E98" s="4" t="s">
        <v>25</v>
      </c>
      <c r="F98" s="4" t="s">
        <v>25</v>
      </c>
      <c r="G98" s="4" t="s">
        <v>25</v>
      </c>
      <c r="H98" s="4" t="s">
        <v>37</v>
      </c>
      <c r="I98" s="5">
        <v>44621</v>
      </c>
      <c r="J98" s="6">
        <v>0</v>
      </c>
      <c r="K98" s="61">
        <v>0</v>
      </c>
      <c r="L98" s="6">
        <v>3.9529999999999998</v>
      </c>
      <c r="M98" s="61">
        <v>3.9529999999999998</v>
      </c>
      <c r="N98" s="6">
        <v>3.9529999999999998</v>
      </c>
      <c r="O98" s="61">
        <v>3.9529999999999998</v>
      </c>
      <c r="P98" s="6">
        <v>0</v>
      </c>
      <c r="Q98" s="4" t="s">
        <v>26</v>
      </c>
      <c r="R98" s="4">
        <v>0</v>
      </c>
      <c r="S98" s="4">
        <v>0</v>
      </c>
      <c r="T98" s="4">
        <v>25</v>
      </c>
      <c r="U98" s="4">
        <v>44</v>
      </c>
      <c r="V98" s="61">
        <f>IF(ISERROR(VLOOKUP($S$98,'TAR FIN'!$A$1:$O$85,15,0)),0,VLOOKUP($S$98,'TAR FIN'!$A$1:$O$85,15,0))</f>
        <v>0</v>
      </c>
      <c r="W98" s="61">
        <f>IF(ISERROR(VLOOKUP($T$98,'TAR FIN'!$A$1:$O$85,15,0)),0,VLOOKUP($T$98,'TAR FIN'!$A$1:$O$85,15,0))*(1-0.04)</f>
        <v>1845.6575999999998</v>
      </c>
      <c r="X98" s="61">
        <f>IF(ISERROR(VLOOKUP($U$98,'TAR FIN'!$A$1:$O$85,15,0)),0,VLOOKUP($U$98,'TAR FIN'!$A$1:$O$85,15,0))*(1-0.04)</f>
        <v>135.66719999999998</v>
      </c>
      <c r="Y98" s="61"/>
      <c r="Z98" s="61">
        <f ca="1">('TUSD BE'!$AM$11+'TUSD BF'!$AM$11+'TUSD CVA'!$AM$11)*1*(1-0.02)</f>
        <v>1893.0693128580479</v>
      </c>
      <c r="AA98" s="61">
        <f>('TE BE'!$AB$5+'TE BF'!$AB$5+'TE CVA'!$AB$5)*1*(1-0.02)</f>
        <v>133.0901362797062</v>
      </c>
      <c r="AB98" s="61">
        <f>(SUBSIDIO!$J$98*SUBSIDIO!$V$98)*(0.04)/(1-0.04)</f>
        <v>0</v>
      </c>
      <c r="AC98" s="61">
        <f>((SUBSIDIO!$L$98*SUBSIDIO!$W$98)+(SUBSIDIO!$N$98*SUBSIDIO!$X$98))*(0.04)/(1-0.04)</f>
        <v>326.34070559999998</v>
      </c>
      <c r="AD98" s="61">
        <f>(SUBSIDIO!$J$98*SUBSIDIO!$Y$98)*(0.02)/(1-0.02)</f>
        <v>0</v>
      </c>
      <c r="AE98" s="61">
        <f ca="1">((SUBSIDIO!$L$98*SUBSIDIO!$Z$98)+(SUBSIDIO!$N$98*SUBSIDIO!$AA$98))*(0.02)/(1-0.02)</f>
        <v>163.45731229472534</v>
      </c>
      <c r="AF98" s="4" t="s">
        <v>590</v>
      </c>
    </row>
    <row r="99" spans="1:32" ht="11.25" customHeight="1" x14ac:dyDescent="0.25">
      <c r="A99" s="4" t="s">
        <v>21</v>
      </c>
      <c r="B99" s="4" t="s">
        <v>35</v>
      </c>
      <c r="C99" s="4" t="s">
        <v>36</v>
      </c>
      <c r="D99" s="4" t="s">
        <v>41</v>
      </c>
      <c r="E99" s="4" t="s">
        <v>25</v>
      </c>
      <c r="F99" s="4" t="s">
        <v>25</v>
      </c>
      <c r="G99" s="4" t="s">
        <v>25</v>
      </c>
      <c r="H99" s="4" t="s">
        <v>37</v>
      </c>
      <c r="I99" s="5">
        <v>44652</v>
      </c>
      <c r="J99" s="6">
        <v>0</v>
      </c>
      <c r="K99" s="61">
        <v>0</v>
      </c>
      <c r="L99" s="6">
        <v>1.222</v>
      </c>
      <c r="M99" s="61">
        <v>1.222</v>
      </c>
      <c r="N99" s="6">
        <v>1.222</v>
      </c>
      <c r="O99" s="61">
        <v>1.222</v>
      </c>
      <c r="P99" s="6">
        <v>0</v>
      </c>
      <c r="Q99" s="4" t="s">
        <v>26</v>
      </c>
      <c r="R99" s="4">
        <v>0</v>
      </c>
      <c r="S99" s="4">
        <v>0</v>
      </c>
      <c r="T99" s="4">
        <v>25</v>
      </c>
      <c r="U99" s="4">
        <v>44</v>
      </c>
      <c r="V99" s="61">
        <f>IF(ISERROR(VLOOKUP($S$99,'TAR FIN'!$A$1:$O$85,15,0)),0,VLOOKUP($S$99,'TAR FIN'!$A$1:$O$85,15,0))</f>
        <v>0</v>
      </c>
      <c r="W99" s="61">
        <f>IF(ISERROR(VLOOKUP($T$99,'TAR FIN'!$A$1:$O$85,15,0)),0,VLOOKUP($T$99,'TAR FIN'!$A$1:$O$85,15,0))*(1-0.04)</f>
        <v>1845.6575999999998</v>
      </c>
      <c r="X99" s="61">
        <f>IF(ISERROR(VLOOKUP($U$99,'TAR FIN'!$A$1:$O$85,15,0)),0,VLOOKUP($U$99,'TAR FIN'!$A$1:$O$85,15,0))*(1-0.04)</f>
        <v>135.66719999999998</v>
      </c>
      <c r="Y99" s="61"/>
      <c r="Z99" s="61">
        <f ca="1">('TUSD BE'!$AM$11+'TUSD BF'!$AM$11+'TUSD CVA'!$AM$11)*1*(1-0.02)</f>
        <v>1893.0693128580479</v>
      </c>
      <c r="AA99" s="61">
        <f>('TE BE'!$AB$5+'TE BF'!$AB$5+'TE CVA'!$AB$5)*1*(1-0.02)</f>
        <v>133.0901362797062</v>
      </c>
      <c r="AB99" s="61">
        <f>(SUBSIDIO!$J$99*SUBSIDIO!$V$99)*(0.04)/(1-0.04)</f>
        <v>0</v>
      </c>
      <c r="AC99" s="61">
        <f>((SUBSIDIO!$L$99*SUBSIDIO!$W$99)+(SUBSIDIO!$N$99*SUBSIDIO!$X$99))*(0.04)/(1-0.04)</f>
        <v>100.88245439999999</v>
      </c>
      <c r="AD99" s="61">
        <f>(SUBSIDIO!$J$99*SUBSIDIO!$Y$99)*(0.02)/(1-0.02)</f>
        <v>0</v>
      </c>
      <c r="AE99" s="61">
        <f ca="1">((SUBSIDIO!$L$99*SUBSIDIO!$Z$99)+(SUBSIDIO!$N$99*SUBSIDIO!$AA$99))*(0.02)/(1-0.02)</f>
        <v>50.529935649925221</v>
      </c>
      <c r="AF99" s="4" t="s">
        <v>590</v>
      </c>
    </row>
    <row r="100" spans="1:32" ht="11.25" customHeight="1" x14ac:dyDescent="0.25">
      <c r="A100" s="4" t="s">
        <v>28</v>
      </c>
      <c r="B100" s="4" t="s">
        <v>35</v>
      </c>
      <c r="C100" s="4" t="s">
        <v>36</v>
      </c>
      <c r="D100" s="4" t="s">
        <v>41</v>
      </c>
      <c r="E100" s="4" t="s">
        <v>25</v>
      </c>
      <c r="F100" s="4" t="s">
        <v>25</v>
      </c>
      <c r="G100" s="4" t="s">
        <v>25</v>
      </c>
      <c r="H100" s="4" t="s">
        <v>37</v>
      </c>
      <c r="I100" s="5">
        <v>44652</v>
      </c>
      <c r="J100" s="6">
        <v>0</v>
      </c>
      <c r="K100" s="61">
        <v>0</v>
      </c>
      <c r="L100" s="6">
        <v>3.1920000000000002</v>
      </c>
      <c r="M100" s="61">
        <v>3.1920000000000002</v>
      </c>
      <c r="N100" s="6">
        <v>3.1920000000000002</v>
      </c>
      <c r="O100" s="61">
        <v>3.1920000000000002</v>
      </c>
      <c r="P100" s="6">
        <v>0</v>
      </c>
      <c r="Q100" s="4" t="s">
        <v>26</v>
      </c>
      <c r="R100" s="4">
        <v>0</v>
      </c>
      <c r="S100" s="4">
        <v>0</v>
      </c>
      <c r="T100" s="4">
        <v>25</v>
      </c>
      <c r="U100" s="4">
        <v>44</v>
      </c>
      <c r="V100" s="61">
        <f>IF(ISERROR(VLOOKUP($S$100,'TAR FIN'!$A$1:$O$85,15,0)),0,VLOOKUP($S$100,'TAR FIN'!$A$1:$O$85,15,0))</f>
        <v>0</v>
      </c>
      <c r="W100" s="61">
        <f>IF(ISERROR(VLOOKUP($T$100,'TAR FIN'!$A$1:$O$85,15,0)),0,VLOOKUP($T$100,'TAR FIN'!$A$1:$O$85,15,0))*(1-0.04)</f>
        <v>1845.6575999999998</v>
      </c>
      <c r="X100" s="61">
        <f>IF(ISERROR(VLOOKUP($U$100,'TAR FIN'!$A$1:$O$85,15,0)),0,VLOOKUP($U$100,'TAR FIN'!$A$1:$O$85,15,0))*(1-0.04)</f>
        <v>135.66719999999998</v>
      </c>
      <c r="Y100" s="61"/>
      <c r="Z100" s="61">
        <f ca="1">('TUSD BE'!$AM$11+'TUSD BF'!$AM$11+'TUSD CVA'!$AM$11)*1*(1-0.02)</f>
        <v>1893.0693128580479</v>
      </c>
      <c r="AA100" s="61">
        <f>('TE BE'!$AB$5+'TE BF'!$AB$5+'TE CVA'!$AB$5)*1*(1-0.02)</f>
        <v>133.0901362797062</v>
      </c>
      <c r="AB100" s="61">
        <f>(SUBSIDIO!$J$100*SUBSIDIO!$V$100)*(0.04)/(1-0.04)</f>
        <v>0</v>
      </c>
      <c r="AC100" s="61">
        <f>((SUBSIDIO!$L$100*SUBSIDIO!$W$100)+(SUBSIDIO!$N$100*SUBSIDIO!$X$100))*(0.04)/(1-0.04)</f>
        <v>263.51619840000001</v>
      </c>
      <c r="AD100" s="61">
        <f>(SUBSIDIO!$J$100*SUBSIDIO!$Y$100)*(0.02)/(1-0.02)</f>
        <v>0</v>
      </c>
      <c r="AE100" s="61">
        <f ca="1">((SUBSIDIO!$L$100*SUBSIDIO!$Z$100)+(SUBSIDIO!$N$100*SUBSIDIO!$AA$100))*(0.02)/(1-0.02)</f>
        <v>131.98981554383087</v>
      </c>
      <c r="AF100" s="4" t="s">
        <v>590</v>
      </c>
    </row>
    <row r="101" spans="1:32" ht="11.25" customHeight="1" x14ac:dyDescent="0.25">
      <c r="A101" s="4" t="s">
        <v>21</v>
      </c>
      <c r="B101" s="4" t="s">
        <v>35</v>
      </c>
      <c r="C101" s="4" t="s">
        <v>36</v>
      </c>
      <c r="D101" s="4" t="s">
        <v>41</v>
      </c>
      <c r="E101" s="4" t="s">
        <v>25</v>
      </c>
      <c r="F101" s="4" t="s">
        <v>25</v>
      </c>
      <c r="G101" s="4" t="s">
        <v>25</v>
      </c>
      <c r="H101" s="4" t="s">
        <v>37</v>
      </c>
      <c r="I101" s="5">
        <v>44682</v>
      </c>
      <c r="J101" s="6">
        <v>0</v>
      </c>
      <c r="K101" s="61">
        <v>0</v>
      </c>
      <c r="L101" s="6">
        <v>2.1120000000000001</v>
      </c>
      <c r="M101" s="61">
        <v>2.1120000000000001</v>
      </c>
      <c r="N101" s="6">
        <v>2.1120000000000001</v>
      </c>
      <c r="O101" s="61">
        <v>2.1120000000000001</v>
      </c>
      <c r="P101" s="6">
        <v>0</v>
      </c>
      <c r="Q101" s="4" t="s">
        <v>26</v>
      </c>
      <c r="R101" s="4">
        <v>0</v>
      </c>
      <c r="S101" s="4">
        <v>0</v>
      </c>
      <c r="T101" s="4">
        <v>25</v>
      </c>
      <c r="U101" s="4">
        <v>44</v>
      </c>
      <c r="V101" s="61">
        <f>IF(ISERROR(VLOOKUP($S$101,'TAR FIN'!$A$1:$O$85,15,0)),0,VLOOKUP($S$101,'TAR FIN'!$A$1:$O$85,15,0))</f>
        <v>0</v>
      </c>
      <c r="W101" s="61">
        <f>IF(ISERROR(VLOOKUP($T$101,'TAR FIN'!$A$1:$O$85,15,0)),0,VLOOKUP($T$101,'TAR FIN'!$A$1:$O$85,15,0))*(1-0.04)</f>
        <v>1845.6575999999998</v>
      </c>
      <c r="X101" s="61">
        <f>IF(ISERROR(VLOOKUP($U$101,'TAR FIN'!$A$1:$O$85,15,0)),0,VLOOKUP($U$101,'TAR FIN'!$A$1:$O$85,15,0))*(1-0.04)</f>
        <v>135.66719999999998</v>
      </c>
      <c r="Y101" s="61"/>
      <c r="Z101" s="61">
        <f ca="1">('TUSD BE'!$AM$11+'TUSD BF'!$AM$11+'TUSD CVA'!$AM$11)*1*(1-0.02)</f>
        <v>1893.0693128580479</v>
      </c>
      <c r="AA101" s="61">
        <f>('TE BE'!$AB$5+'TE BF'!$AB$5+'TE CVA'!$AB$5)*1*(1-0.02)</f>
        <v>133.0901362797062</v>
      </c>
      <c r="AB101" s="61">
        <f>(SUBSIDIO!$J$101*SUBSIDIO!$V$101)*(0.04)/(1-0.04)</f>
        <v>0</v>
      </c>
      <c r="AC101" s="61">
        <f>((SUBSIDIO!$L$101*SUBSIDIO!$W$101)+(SUBSIDIO!$N$101*SUBSIDIO!$X$101))*(0.04)/(1-0.04)</f>
        <v>174.35658239999998</v>
      </c>
      <c r="AD101" s="61">
        <f>(SUBSIDIO!$J$101*SUBSIDIO!$Y$101)*(0.02)/(1-0.02)</f>
        <v>0</v>
      </c>
      <c r="AE101" s="61">
        <f ca="1">((SUBSIDIO!$L$101*SUBSIDIO!$Z$101)+(SUBSIDIO!$N$101*SUBSIDIO!$AA$101))*(0.02)/(1-0.02)</f>
        <v>87.331607277121165</v>
      </c>
      <c r="AF101" s="4" t="s">
        <v>590</v>
      </c>
    </row>
    <row r="102" spans="1:32" ht="11.25" customHeight="1" x14ac:dyDescent="0.25">
      <c r="A102" s="4" t="s">
        <v>28</v>
      </c>
      <c r="B102" s="4" t="s">
        <v>35</v>
      </c>
      <c r="C102" s="4" t="s">
        <v>36</v>
      </c>
      <c r="D102" s="4" t="s">
        <v>41</v>
      </c>
      <c r="E102" s="4" t="s">
        <v>25</v>
      </c>
      <c r="F102" s="4" t="s">
        <v>25</v>
      </c>
      <c r="G102" s="4" t="s">
        <v>25</v>
      </c>
      <c r="H102" s="4" t="s">
        <v>37</v>
      </c>
      <c r="I102" s="5">
        <v>44682</v>
      </c>
      <c r="J102" s="6">
        <v>0</v>
      </c>
      <c r="K102" s="61">
        <v>0</v>
      </c>
      <c r="L102" s="6">
        <v>1.974</v>
      </c>
      <c r="M102" s="61">
        <v>1.974</v>
      </c>
      <c r="N102" s="6">
        <v>1.974</v>
      </c>
      <c r="O102" s="61">
        <v>1.974</v>
      </c>
      <c r="P102" s="6">
        <v>0</v>
      </c>
      <c r="Q102" s="4" t="s">
        <v>26</v>
      </c>
      <c r="R102" s="4">
        <v>0</v>
      </c>
      <c r="S102" s="4">
        <v>0</v>
      </c>
      <c r="T102" s="4">
        <v>25</v>
      </c>
      <c r="U102" s="4">
        <v>44</v>
      </c>
      <c r="V102" s="61">
        <f>IF(ISERROR(VLOOKUP($S$102,'TAR FIN'!$A$1:$O$85,15,0)),0,VLOOKUP($S$102,'TAR FIN'!$A$1:$O$85,15,0))</f>
        <v>0</v>
      </c>
      <c r="W102" s="61">
        <f>IF(ISERROR(VLOOKUP($T$102,'TAR FIN'!$A$1:$O$85,15,0)),0,VLOOKUP($T$102,'TAR FIN'!$A$1:$O$85,15,0))*(1-0.04)</f>
        <v>1845.6575999999998</v>
      </c>
      <c r="X102" s="61">
        <f>IF(ISERROR(VLOOKUP($U$102,'TAR FIN'!$A$1:$O$85,15,0)),0,VLOOKUP($U$102,'TAR FIN'!$A$1:$O$85,15,0))*(1-0.04)</f>
        <v>135.66719999999998</v>
      </c>
      <c r="Y102" s="61"/>
      <c r="Z102" s="61">
        <f ca="1">('TUSD BE'!$AM$11+'TUSD BF'!$AM$11+'TUSD CVA'!$AM$11)*1*(1-0.02)</f>
        <v>1893.0693128580479</v>
      </c>
      <c r="AA102" s="61">
        <f>('TE BE'!$AB$5+'TE BF'!$AB$5+'TE CVA'!$AB$5)*1*(1-0.02)</f>
        <v>133.0901362797062</v>
      </c>
      <c r="AB102" s="61">
        <f>(SUBSIDIO!$J$102*SUBSIDIO!$V$102)*(0.04)/(1-0.04)</f>
        <v>0</v>
      </c>
      <c r="AC102" s="61">
        <f>((SUBSIDIO!$L$102*SUBSIDIO!$W$102)+(SUBSIDIO!$N$102*SUBSIDIO!$X$102))*(0.04)/(1-0.04)</f>
        <v>162.96396479999999</v>
      </c>
      <c r="AD102" s="61">
        <f>(SUBSIDIO!$J$102*SUBSIDIO!$Y$102)*(0.02)/(1-0.02)</f>
        <v>0</v>
      </c>
      <c r="AE102" s="61">
        <f ca="1">((SUBSIDIO!$L$102*SUBSIDIO!$Z$102)+(SUBSIDIO!$N$102*SUBSIDIO!$AA$102))*(0.02)/(1-0.02)</f>
        <v>81.625280665263816</v>
      </c>
      <c r="AF102" s="4" t="s">
        <v>590</v>
      </c>
    </row>
    <row r="103" spans="1:32" ht="11.25" customHeight="1" x14ac:dyDescent="0.25">
      <c r="A103" s="4" t="s">
        <v>21</v>
      </c>
      <c r="B103" s="4" t="s">
        <v>35</v>
      </c>
      <c r="C103" s="4" t="s">
        <v>36</v>
      </c>
      <c r="D103" s="4" t="s">
        <v>41</v>
      </c>
      <c r="E103" s="4" t="s">
        <v>25</v>
      </c>
      <c r="F103" s="4" t="s">
        <v>25</v>
      </c>
      <c r="G103" s="4" t="s">
        <v>25</v>
      </c>
      <c r="H103" s="4" t="s">
        <v>37</v>
      </c>
      <c r="I103" s="5">
        <v>44713</v>
      </c>
      <c r="J103" s="6">
        <v>0</v>
      </c>
      <c r="K103" s="61">
        <v>0</v>
      </c>
      <c r="L103" s="6">
        <v>0.19900000000000001</v>
      </c>
      <c r="M103" s="61">
        <v>0.19900000000000001</v>
      </c>
      <c r="N103" s="6">
        <v>0.19900000000000001</v>
      </c>
      <c r="O103" s="61">
        <v>0.19900000000000001</v>
      </c>
      <c r="P103" s="6">
        <v>0</v>
      </c>
      <c r="Q103" s="4" t="s">
        <v>26</v>
      </c>
      <c r="R103" s="4">
        <v>0</v>
      </c>
      <c r="S103" s="4">
        <v>0</v>
      </c>
      <c r="T103" s="4">
        <v>25</v>
      </c>
      <c r="U103" s="4">
        <v>44</v>
      </c>
      <c r="V103" s="61">
        <f>IF(ISERROR(VLOOKUP($S$103,'TAR FIN'!$A$1:$O$85,15,0)),0,VLOOKUP($S$103,'TAR FIN'!$A$1:$O$85,15,0))</f>
        <v>0</v>
      </c>
      <c r="W103" s="61">
        <f>IF(ISERROR(VLOOKUP($T$103,'TAR FIN'!$A$1:$O$85,15,0)),0,VLOOKUP($T$103,'TAR FIN'!$A$1:$O$85,15,0))*(1-0.04)</f>
        <v>1845.6575999999998</v>
      </c>
      <c r="X103" s="61">
        <f>IF(ISERROR(VLOOKUP($U$103,'TAR FIN'!$A$1:$O$85,15,0)),0,VLOOKUP($U$103,'TAR FIN'!$A$1:$O$85,15,0))*(1-0.04)</f>
        <v>135.66719999999998</v>
      </c>
      <c r="Y103" s="61"/>
      <c r="Z103" s="61">
        <f ca="1">('TUSD BE'!$AM$11+'TUSD BF'!$AM$11+'TUSD CVA'!$AM$11)*1*(1-0.02)</f>
        <v>1893.0693128580479</v>
      </c>
      <c r="AA103" s="61">
        <f>('TE BE'!$AB$5+'TE BF'!$AB$5+'TE CVA'!$AB$5)*1*(1-0.02)</f>
        <v>133.0901362797062</v>
      </c>
      <c r="AB103" s="61">
        <f>(SUBSIDIO!$J$103*SUBSIDIO!$V$103)*(0.04)/(1-0.04)</f>
        <v>0</v>
      </c>
      <c r="AC103" s="61">
        <f>((SUBSIDIO!$L$103*SUBSIDIO!$W$103)+(SUBSIDIO!$N$103*SUBSIDIO!$X$103))*(0.04)/(1-0.04)</f>
        <v>16.4284848</v>
      </c>
      <c r="AD103" s="61">
        <f>(SUBSIDIO!$J$103*SUBSIDIO!$Y$103)*(0.02)/(1-0.02)</f>
        <v>0</v>
      </c>
      <c r="AE103" s="61">
        <f ca="1">((SUBSIDIO!$L$103*SUBSIDIO!$Z$103)+(SUBSIDIO!$N$103*SUBSIDIO!$AA$103))*(0.02)/(1-0.02)</f>
        <v>8.2286883750696553</v>
      </c>
      <c r="AF103" s="4" t="s">
        <v>590</v>
      </c>
    </row>
    <row r="104" spans="1:32" ht="11.25" customHeight="1" x14ac:dyDescent="0.25">
      <c r="A104" s="4" t="s">
        <v>28</v>
      </c>
      <c r="B104" s="4" t="s">
        <v>35</v>
      </c>
      <c r="C104" s="4" t="s">
        <v>36</v>
      </c>
      <c r="D104" s="4" t="s">
        <v>41</v>
      </c>
      <c r="E104" s="4" t="s">
        <v>25</v>
      </c>
      <c r="F104" s="4" t="s">
        <v>25</v>
      </c>
      <c r="G104" s="4" t="s">
        <v>25</v>
      </c>
      <c r="H104" s="4" t="s">
        <v>37</v>
      </c>
      <c r="I104" s="5">
        <v>44713</v>
      </c>
      <c r="J104" s="6">
        <v>0</v>
      </c>
      <c r="K104" s="61">
        <v>0</v>
      </c>
      <c r="L104" s="6">
        <v>2.44</v>
      </c>
      <c r="M104" s="61">
        <v>2.44</v>
      </c>
      <c r="N104" s="6">
        <v>2.44</v>
      </c>
      <c r="O104" s="61">
        <v>2.44</v>
      </c>
      <c r="P104" s="6">
        <v>0</v>
      </c>
      <c r="Q104" s="4" t="s">
        <v>26</v>
      </c>
      <c r="R104" s="4">
        <v>0</v>
      </c>
      <c r="S104" s="4">
        <v>0</v>
      </c>
      <c r="T104" s="4">
        <v>25</v>
      </c>
      <c r="U104" s="4">
        <v>44</v>
      </c>
      <c r="V104" s="61">
        <f>IF(ISERROR(VLOOKUP($S$104,'TAR FIN'!$A$1:$O$85,15,0)),0,VLOOKUP($S$104,'TAR FIN'!$A$1:$O$85,15,0))</f>
        <v>0</v>
      </c>
      <c r="W104" s="61">
        <f>IF(ISERROR(VLOOKUP($T$104,'TAR FIN'!$A$1:$O$85,15,0)),0,VLOOKUP($T$104,'TAR FIN'!$A$1:$O$85,15,0))*(1-0.04)</f>
        <v>1845.6575999999998</v>
      </c>
      <c r="X104" s="61">
        <f>IF(ISERROR(VLOOKUP($U$104,'TAR FIN'!$A$1:$O$85,15,0)),0,VLOOKUP($U$104,'TAR FIN'!$A$1:$O$85,15,0))*(1-0.04)</f>
        <v>135.66719999999998</v>
      </c>
      <c r="Y104" s="61"/>
      <c r="Z104" s="61">
        <f ca="1">('TUSD BE'!$AM$11+'TUSD BF'!$AM$11+'TUSD CVA'!$AM$11)*1*(1-0.02)</f>
        <v>1893.0693128580479</v>
      </c>
      <c r="AA104" s="61">
        <f>('TE BE'!$AB$5+'TE BF'!$AB$5+'TE CVA'!$AB$5)*1*(1-0.02)</f>
        <v>133.0901362797062</v>
      </c>
      <c r="AB104" s="61">
        <f>(SUBSIDIO!$J$104*SUBSIDIO!$V$104)*(0.04)/(1-0.04)</f>
        <v>0</v>
      </c>
      <c r="AC104" s="61">
        <f>((SUBSIDIO!$L$104*SUBSIDIO!$W$104)+(SUBSIDIO!$N$104*SUBSIDIO!$X$104))*(0.04)/(1-0.04)</f>
        <v>201.43468799999999</v>
      </c>
      <c r="AD104" s="61">
        <f>(SUBSIDIO!$J$104*SUBSIDIO!$Y$104)*(0.02)/(1-0.02)</f>
        <v>0</v>
      </c>
      <c r="AE104" s="61">
        <f ca="1">((SUBSIDIO!$L$104*SUBSIDIO!$Z$104)+(SUBSIDIO!$N$104*SUBSIDIO!$AA$104))*(0.02)/(1-0.02)</f>
        <v>100.89447052849225</v>
      </c>
      <c r="AF104" s="4" t="s">
        <v>590</v>
      </c>
    </row>
    <row r="105" spans="1:32" ht="11.25" customHeight="1" x14ac:dyDescent="0.25">
      <c r="A105" s="4" t="s">
        <v>21</v>
      </c>
      <c r="B105" s="4" t="s">
        <v>35</v>
      </c>
      <c r="C105" s="4" t="s">
        <v>36</v>
      </c>
      <c r="D105" s="4" t="s">
        <v>41</v>
      </c>
      <c r="E105" s="4" t="s">
        <v>25</v>
      </c>
      <c r="F105" s="4" t="s">
        <v>25</v>
      </c>
      <c r="G105" s="4" t="s">
        <v>25</v>
      </c>
      <c r="H105" s="4" t="s">
        <v>37</v>
      </c>
      <c r="I105" s="5">
        <v>44743</v>
      </c>
      <c r="J105" s="6">
        <v>0</v>
      </c>
      <c r="K105" s="61">
        <v>0</v>
      </c>
      <c r="L105" s="6">
        <v>0.11899999999999999</v>
      </c>
      <c r="M105" s="61">
        <v>0.11899999999999999</v>
      </c>
      <c r="N105" s="6">
        <v>0.11899999999999999</v>
      </c>
      <c r="O105" s="61">
        <v>0.11899999999999999</v>
      </c>
      <c r="P105" s="6">
        <v>0</v>
      </c>
      <c r="Q105" s="4" t="s">
        <v>26</v>
      </c>
      <c r="R105" s="4">
        <v>0</v>
      </c>
      <c r="S105" s="4">
        <v>0</v>
      </c>
      <c r="T105" s="4">
        <v>25</v>
      </c>
      <c r="U105" s="4">
        <v>44</v>
      </c>
      <c r="V105" s="61">
        <f>IF(ISERROR(VLOOKUP($S$105,'TAR FIN'!$A$1:$O$85,15,0)),0,VLOOKUP($S$105,'TAR FIN'!$A$1:$O$85,15,0))</f>
        <v>0</v>
      </c>
      <c r="W105" s="61">
        <f>IF(ISERROR(VLOOKUP($T$105,'TAR FIN'!$A$1:$O$85,15,0)),0,VLOOKUP($T$105,'TAR FIN'!$A$1:$O$85,15,0))*(1-0.04)</f>
        <v>1845.6575999999998</v>
      </c>
      <c r="X105" s="61">
        <f>IF(ISERROR(VLOOKUP($U$105,'TAR FIN'!$A$1:$O$85,15,0)),0,VLOOKUP($U$105,'TAR FIN'!$A$1:$O$85,15,0))*(1-0.04)</f>
        <v>135.66719999999998</v>
      </c>
      <c r="Y105" s="61"/>
      <c r="Z105" s="61">
        <f ca="1">('TUSD BE'!$AM$11+'TUSD BF'!$AM$11+'TUSD CVA'!$AM$11)*1*(1-0.02)</f>
        <v>1893.0693128580479</v>
      </c>
      <c r="AA105" s="61">
        <f>('TE BE'!$AB$5+'TE BF'!$AB$5+'TE CVA'!$AB$5)*1*(1-0.02)</f>
        <v>133.0901362797062</v>
      </c>
      <c r="AB105" s="61">
        <f>(SUBSIDIO!$J$105*SUBSIDIO!$V$105)*(0.04)/(1-0.04)</f>
        <v>0</v>
      </c>
      <c r="AC105" s="61">
        <f>((SUBSIDIO!$L$105*SUBSIDIO!$W$105)+(SUBSIDIO!$N$105*SUBSIDIO!$X$105))*(0.04)/(1-0.04)</f>
        <v>9.8240688000000009</v>
      </c>
      <c r="AD105" s="61">
        <f>(SUBSIDIO!$J$105*SUBSIDIO!$Y$105)*(0.02)/(1-0.02)</f>
        <v>0</v>
      </c>
      <c r="AE105" s="61">
        <f ca="1">((SUBSIDIO!$L$105*SUBSIDIO!$Z$105)+(SUBSIDIO!$N$105*SUBSIDIO!$AA$105))*(0.02)/(1-0.02)</f>
        <v>4.9206729479059739</v>
      </c>
      <c r="AF105" s="4" t="s">
        <v>590</v>
      </c>
    </row>
    <row r="106" spans="1:32" ht="11.25" customHeight="1" x14ac:dyDescent="0.25">
      <c r="A106" s="4" t="s">
        <v>21</v>
      </c>
      <c r="B106" s="4" t="s">
        <v>35</v>
      </c>
      <c r="C106" s="4" t="s">
        <v>36</v>
      </c>
      <c r="D106" s="4" t="s">
        <v>41</v>
      </c>
      <c r="E106" s="4" t="s">
        <v>25</v>
      </c>
      <c r="F106" s="4" t="s">
        <v>25</v>
      </c>
      <c r="G106" s="4" t="s">
        <v>25</v>
      </c>
      <c r="H106" s="4" t="s">
        <v>37</v>
      </c>
      <c r="I106" s="5">
        <v>44774</v>
      </c>
      <c r="J106" s="6">
        <v>0</v>
      </c>
      <c r="K106" s="61">
        <v>0</v>
      </c>
      <c r="L106" s="6">
        <v>1.5349999999999999</v>
      </c>
      <c r="M106" s="61">
        <v>1.5349999999999999</v>
      </c>
      <c r="N106" s="6">
        <v>1.5349999999999999</v>
      </c>
      <c r="O106" s="61">
        <v>1.5349999999999999</v>
      </c>
      <c r="P106" s="6">
        <v>0</v>
      </c>
      <c r="Q106" s="4" t="s">
        <v>26</v>
      </c>
      <c r="R106" s="4">
        <v>0</v>
      </c>
      <c r="S106" s="4">
        <v>0</v>
      </c>
      <c r="T106" s="4">
        <v>25</v>
      </c>
      <c r="U106" s="4">
        <v>44</v>
      </c>
      <c r="V106" s="61">
        <f>IF(ISERROR(VLOOKUP($S$106,'TAR FIN'!$A$1:$O$85,15,0)),0,VLOOKUP($S$106,'TAR FIN'!$A$1:$O$85,15,0))</f>
        <v>0</v>
      </c>
      <c r="W106" s="61">
        <f>IF(ISERROR(VLOOKUP($T$106,'TAR FIN'!$A$1:$O$85,15,0)),0,VLOOKUP($T$106,'TAR FIN'!$A$1:$O$85,15,0))*(1-0.04)</f>
        <v>1845.6575999999998</v>
      </c>
      <c r="X106" s="61">
        <f>IF(ISERROR(VLOOKUP($U$106,'TAR FIN'!$A$1:$O$85,15,0)),0,VLOOKUP($U$106,'TAR FIN'!$A$1:$O$85,15,0))*(1-0.04)</f>
        <v>135.66719999999998</v>
      </c>
      <c r="Y106" s="61"/>
      <c r="Z106" s="61">
        <f ca="1">('TUSD BE'!$AM$11+'TUSD BF'!$AM$11+'TUSD CVA'!$AM$11)*1*(1-0.02)</f>
        <v>1893.0693128580479</v>
      </c>
      <c r="AA106" s="61">
        <f>('TE BE'!$AB$5+'TE BF'!$AB$5+'TE CVA'!$AB$5)*1*(1-0.02)</f>
        <v>133.0901362797062</v>
      </c>
      <c r="AB106" s="61">
        <f>(SUBSIDIO!$J$106*SUBSIDIO!$V$106)*(0.04)/(1-0.04)</f>
        <v>0</v>
      </c>
      <c r="AC106" s="61">
        <f>((SUBSIDIO!$L$106*SUBSIDIO!$W$106)+(SUBSIDIO!$N$106*SUBSIDIO!$X$106))*(0.04)/(1-0.04)</f>
        <v>126.72223199999999</v>
      </c>
      <c r="AD106" s="61">
        <f>(SUBSIDIO!$J$106*SUBSIDIO!$Y$106)*(0.02)/(1-0.02)</f>
        <v>0</v>
      </c>
      <c r="AE106" s="61">
        <f ca="1">((SUBSIDIO!$L$106*SUBSIDIO!$Z$106)+(SUBSIDIO!$N$106*SUBSIDIO!$AA$106))*(0.02)/(1-0.02)</f>
        <v>63.472546008703112</v>
      </c>
      <c r="AF106" s="4" t="s">
        <v>590</v>
      </c>
    </row>
    <row r="107" spans="1:32" ht="11.25" customHeight="1" x14ac:dyDescent="0.25">
      <c r="A107" s="4" t="s">
        <v>21</v>
      </c>
      <c r="B107" s="4" t="s">
        <v>35</v>
      </c>
      <c r="C107" s="4" t="s">
        <v>36</v>
      </c>
      <c r="D107" s="4" t="s">
        <v>46</v>
      </c>
      <c r="E107" s="4" t="s">
        <v>47</v>
      </c>
      <c r="F107" s="4" t="s">
        <v>25</v>
      </c>
      <c r="G107" s="4" t="s">
        <v>25</v>
      </c>
      <c r="H107" s="4" t="s">
        <v>38</v>
      </c>
      <c r="I107" s="5">
        <v>44440</v>
      </c>
      <c r="J107" s="6">
        <v>0</v>
      </c>
      <c r="K107" s="61">
        <v>0</v>
      </c>
      <c r="L107" s="6">
        <v>8.99</v>
      </c>
      <c r="M107" s="61">
        <v>8.99</v>
      </c>
      <c r="N107" s="6">
        <v>8.99</v>
      </c>
      <c r="O107" s="61">
        <v>8.99</v>
      </c>
      <c r="P107" s="6">
        <v>0</v>
      </c>
      <c r="Q107" s="4" t="s">
        <v>26</v>
      </c>
      <c r="R107" s="4">
        <v>0</v>
      </c>
      <c r="S107" s="4">
        <v>0</v>
      </c>
      <c r="T107" s="4">
        <v>23</v>
      </c>
      <c r="U107" s="4">
        <v>51</v>
      </c>
      <c r="V107" s="61">
        <f>IF(ISERROR(VLOOKUP($S$107,'TAR FIN'!$A$1:$O$85,15,0)),0,VLOOKUP($S$107,'TAR FIN'!$A$1:$O$85,15,0))</f>
        <v>0</v>
      </c>
      <c r="W107" s="61">
        <f>IF(ISERROR(VLOOKUP($T$107,'TAR FIN'!$A$1:$O$85,15,0)),0,VLOOKUP($T$107,'TAR FIN'!$A$1:$O$85,15,0))*(1-0.06)</f>
        <v>62.246799999999993</v>
      </c>
      <c r="X107" s="61">
        <f>IF(ISERROR(VLOOKUP($U$107,'TAR FIN'!$A$1:$O$85,15,0)),0,VLOOKUP($U$107,'TAR FIN'!$A$1:$O$85,15,0))*(1-0.06)</f>
        <v>132.84079999999997</v>
      </c>
      <c r="Y107" s="61"/>
      <c r="Z107" s="61">
        <f ca="1">('TUSD BE'!$AM$12+'TUSD BF'!$AM$12+'TUSD CVA'!$AM$12)*1*(1-0.03)</f>
        <v>96.85231722220351</v>
      </c>
      <c r="AA107" s="61">
        <f>('TE BE'!$AB$6+'TE BF'!$AB$6+'TE CVA'!$AB$6)*1*(1-0.03)</f>
        <v>131.73207366460716</v>
      </c>
      <c r="AB107" s="61">
        <f>(SUBSIDIO!$J$107*SUBSIDIO!$V$107)*(0.06)/(1-0.06)</f>
        <v>0</v>
      </c>
      <c r="AC107" s="61">
        <f>((SUBSIDIO!$L$107*SUBSIDIO!$W$107)+(SUBSIDIO!$N$107*SUBSIDIO!$X$107))*(0.06)/(1-0.06)</f>
        <v>111.947076</v>
      </c>
      <c r="AD107" s="61">
        <f>(SUBSIDIO!$J$107*SUBSIDIO!$Y$107)*(0.03)/(1-0.03)</f>
        <v>0</v>
      </c>
      <c r="AE107" s="61">
        <f ca="1">((SUBSIDIO!$L$107*SUBSIDIO!$Z$107)+(SUBSIDIO!$N$107*SUBSIDIO!$AA$107))*(0.03)/(1-0.03)</f>
        <v>63.555886826982302</v>
      </c>
      <c r="AF107" s="4" t="s">
        <v>588</v>
      </c>
    </row>
    <row r="108" spans="1:32" ht="11.25" customHeight="1" x14ac:dyDescent="0.25">
      <c r="A108" s="4" t="s">
        <v>21</v>
      </c>
      <c r="B108" s="4" t="s">
        <v>35</v>
      </c>
      <c r="C108" s="4" t="s">
        <v>36</v>
      </c>
      <c r="D108" s="4" t="s">
        <v>46</v>
      </c>
      <c r="E108" s="4" t="s">
        <v>47</v>
      </c>
      <c r="F108" s="4" t="s">
        <v>25</v>
      </c>
      <c r="G108" s="4" t="s">
        <v>25</v>
      </c>
      <c r="H108" s="4" t="s">
        <v>38</v>
      </c>
      <c r="I108" s="5">
        <v>44470</v>
      </c>
      <c r="J108" s="6">
        <v>0</v>
      </c>
      <c r="K108" s="61">
        <v>0</v>
      </c>
      <c r="L108" s="6">
        <v>20.884</v>
      </c>
      <c r="M108" s="61">
        <v>20.884</v>
      </c>
      <c r="N108" s="6">
        <v>20.884</v>
      </c>
      <c r="O108" s="61">
        <v>20.884</v>
      </c>
      <c r="P108" s="6">
        <v>0</v>
      </c>
      <c r="Q108" s="4" t="s">
        <v>26</v>
      </c>
      <c r="R108" s="4">
        <v>0</v>
      </c>
      <c r="S108" s="4">
        <v>0</v>
      </c>
      <c r="T108" s="4">
        <v>23</v>
      </c>
      <c r="U108" s="4">
        <v>51</v>
      </c>
      <c r="V108" s="61">
        <f>IF(ISERROR(VLOOKUP($S$108,'TAR FIN'!$A$1:$O$85,15,0)),0,VLOOKUP($S$108,'TAR FIN'!$A$1:$O$85,15,0))</f>
        <v>0</v>
      </c>
      <c r="W108" s="61">
        <f>IF(ISERROR(VLOOKUP($T$108,'TAR FIN'!$A$1:$O$85,15,0)),0,VLOOKUP($T$108,'TAR FIN'!$A$1:$O$85,15,0))*(1-0.06)</f>
        <v>62.246799999999993</v>
      </c>
      <c r="X108" s="61">
        <f>IF(ISERROR(VLOOKUP($U$108,'TAR FIN'!$A$1:$O$85,15,0)),0,VLOOKUP($U$108,'TAR FIN'!$A$1:$O$85,15,0))*(1-0.06)</f>
        <v>132.84079999999997</v>
      </c>
      <c r="Y108" s="61"/>
      <c r="Z108" s="61">
        <f ca="1">('TUSD BE'!$AM$12+'TUSD BF'!$AM$12+'TUSD CVA'!$AM$12)*1*(1-0.03)</f>
        <v>96.85231722220351</v>
      </c>
      <c r="AA108" s="61">
        <f>('TE BE'!$AB$6+'TE BF'!$AB$6+'TE CVA'!$AB$6)*1*(1-0.03)</f>
        <v>131.73207366460716</v>
      </c>
      <c r="AB108" s="61">
        <f>(SUBSIDIO!$J$108*SUBSIDIO!$V$108)*(0.06)/(1-0.06)</f>
        <v>0</v>
      </c>
      <c r="AC108" s="61">
        <f>((SUBSIDIO!$L$108*SUBSIDIO!$W$108)+(SUBSIDIO!$N$108*SUBSIDIO!$X$108))*(0.06)/(1-0.06)</f>
        <v>260.05592159999998</v>
      </c>
      <c r="AD108" s="61">
        <f>(SUBSIDIO!$J$108*SUBSIDIO!$Y$108)*(0.03)/(1-0.03)</f>
        <v>0</v>
      </c>
      <c r="AE108" s="61">
        <f ca="1">((SUBSIDIO!$L$108*SUBSIDIO!$Z$108)+(SUBSIDIO!$N$108*SUBSIDIO!$AA$108))*(0.03)/(1-0.03)</f>
        <v>147.64195111175738</v>
      </c>
      <c r="AF108" s="4" t="s">
        <v>588</v>
      </c>
    </row>
    <row r="109" spans="1:32" ht="11.25" customHeight="1" x14ac:dyDescent="0.25">
      <c r="A109" s="4" t="s">
        <v>21</v>
      </c>
      <c r="B109" s="4" t="s">
        <v>35</v>
      </c>
      <c r="C109" s="4" t="s">
        <v>36</v>
      </c>
      <c r="D109" s="4" t="s">
        <v>46</v>
      </c>
      <c r="E109" s="4" t="s">
        <v>47</v>
      </c>
      <c r="F109" s="4" t="s">
        <v>25</v>
      </c>
      <c r="G109" s="4" t="s">
        <v>25</v>
      </c>
      <c r="H109" s="4" t="s">
        <v>38</v>
      </c>
      <c r="I109" s="5">
        <v>44501</v>
      </c>
      <c r="J109" s="6">
        <v>0</v>
      </c>
      <c r="K109" s="61">
        <v>0</v>
      </c>
      <c r="L109" s="6">
        <v>42.347999999999999</v>
      </c>
      <c r="M109" s="61">
        <v>42.347999999999999</v>
      </c>
      <c r="N109" s="6">
        <v>42.347999999999999</v>
      </c>
      <c r="O109" s="61">
        <v>42.347999999999999</v>
      </c>
      <c r="P109" s="6">
        <v>0</v>
      </c>
      <c r="Q109" s="4" t="s">
        <v>26</v>
      </c>
      <c r="R109" s="4">
        <v>0</v>
      </c>
      <c r="S109" s="4">
        <v>0</v>
      </c>
      <c r="T109" s="4">
        <v>23</v>
      </c>
      <c r="U109" s="4">
        <v>51</v>
      </c>
      <c r="V109" s="61">
        <f>IF(ISERROR(VLOOKUP($S$109,'TAR FIN'!$A$1:$O$85,15,0)),0,VLOOKUP($S$109,'TAR FIN'!$A$1:$O$85,15,0))</f>
        <v>0</v>
      </c>
      <c r="W109" s="61">
        <f>IF(ISERROR(VLOOKUP($T$109,'TAR FIN'!$A$1:$O$85,15,0)),0,VLOOKUP($T$109,'TAR FIN'!$A$1:$O$85,15,0))*(1-0.06)</f>
        <v>62.246799999999993</v>
      </c>
      <c r="X109" s="61">
        <f>IF(ISERROR(VLOOKUP($U$109,'TAR FIN'!$A$1:$O$85,15,0)),0,VLOOKUP($U$109,'TAR FIN'!$A$1:$O$85,15,0))*(1-0.06)</f>
        <v>132.84079999999997</v>
      </c>
      <c r="Y109" s="61"/>
      <c r="Z109" s="61">
        <f ca="1">('TUSD BE'!$AM$12+'TUSD BF'!$AM$12+'TUSD CVA'!$AM$12)*1*(1-0.03)</f>
        <v>96.85231722220351</v>
      </c>
      <c r="AA109" s="61">
        <f>('TE BE'!$AB$6+'TE BF'!$AB$6+'TE CVA'!$AB$6)*1*(1-0.03)</f>
        <v>131.73207366460716</v>
      </c>
      <c r="AB109" s="61">
        <f>(SUBSIDIO!$J$109*SUBSIDIO!$V$109)*(0.06)/(1-0.06)</f>
        <v>0</v>
      </c>
      <c r="AC109" s="61">
        <f>((SUBSIDIO!$L$109*SUBSIDIO!$W$109)+(SUBSIDIO!$N$109*SUBSIDIO!$X$109))*(0.06)/(1-0.06)</f>
        <v>527.33423519999997</v>
      </c>
      <c r="AD109" s="61">
        <f>(SUBSIDIO!$J$109*SUBSIDIO!$Y$109)*(0.03)/(1-0.03)</f>
        <v>0</v>
      </c>
      <c r="AE109" s="61">
        <f ca="1">((SUBSIDIO!$L$109*SUBSIDIO!$Z$109)+(SUBSIDIO!$N$109*SUBSIDIO!$AA$109))*(0.03)/(1-0.03)</f>
        <v>299.38428201880379</v>
      </c>
      <c r="AF109" s="4" t="s">
        <v>588</v>
      </c>
    </row>
    <row r="110" spans="1:32" ht="11.25" customHeight="1" x14ac:dyDescent="0.25">
      <c r="A110" s="4" t="s">
        <v>21</v>
      </c>
      <c r="B110" s="4" t="s">
        <v>35</v>
      </c>
      <c r="C110" s="4" t="s">
        <v>36</v>
      </c>
      <c r="D110" s="4" t="s">
        <v>46</v>
      </c>
      <c r="E110" s="4" t="s">
        <v>47</v>
      </c>
      <c r="F110" s="4" t="s">
        <v>25</v>
      </c>
      <c r="G110" s="4" t="s">
        <v>25</v>
      </c>
      <c r="H110" s="4" t="s">
        <v>38</v>
      </c>
      <c r="I110" s="5">
        <v>44531</v>
      </c>
      <c r="J110" s="6">
        <v>0</v>
      </c>
      <c r="K110" s="61">
        <v>0</v>
      </c>
      <c r="L110" s="6">
        <v>44.311999999999998</v>
      </c>
      <c r="M110" s="61">
        <v>44.311999999999998</v>
      </c>
      <c r="N110" s="6">
        <v>44.311999999999998</v>
      </c>
      <c r="O110" s="61">
        <v>44.311999999999998</v>
      </c>
      <c r="P110" s="6">
        <v>0</v>
      </c>
      <c r="Q110" s="4" t="s">
        <v>26</v>
      </c>
      <c r="R110" s="4">
        <v>0</v>
      </c>
      <c r="S110" s="4">
        <v>0</v>
      </c>
      <c r="T110" s="4">
        <v>23</v>
      </c>
      <c r="U110" s="4">
        <v>51</v>
      </c>
      <c r="V110" s="61">
        <f>IF(ISERROR(VLOOKUP($S$110,'TAR FIN'!$A$1:$O$85,15,0)),0,VLOOKUP($S$110,'TAR FIN'!$A$1:$O$85,15,0))</f>
        <v>0</v>
      </c>
      <c r="W110" s="61">
        <f>IF(ISERROR(VLOOKUP($T$110,'TAR FIN'!$A$1:$O$85,15,0)),0,VLOOKUP($T$110,'TAR FIN'!$A$1:$O$85,15,0))*(1-0.06)</f>
        <v>62.246799999999993</v>
      </c>
      <c r="X110" s="61">
        <f>IF(ISERROR(VLOOKUP($U$110,'TAR FIN'!$A$1:$O$85,15,0)),0,VLOOKUP($U$110,'TAR FIN'!$A$1:$O$85,15,0))*(1-0.06)</f>
        <v>132.84079999999997</v>
      </c>
      <c r="Y110" s="61"/>
      <c r="Z110" s="61">
        <f ca="1">('TUSD BE'!$AM$12+'TUSD BF'!$AM$12+'TUSD CVA'!$AM$12)*1*(1-0.03)</f>
        <v>96.85231722220351</v>
      </c>
      <c r="AA110" s="61">
        <f>('TE BE'!$AB$6+'TE BF'!$AB$6+'TE CVA'!$AB$6)*1*(1-0.03)</f>
        <v>131.73207366460716</v>
      </c>
      <c r="AB110" s="61">
        <f>(SUBSIDIO!$J$110*SUBSIDIO!$V$110)*(0.06)/(1-0.06)</f>
        <v>0</v>
      </c>
      <c r="AC110" s="61">
        <f>((SUBSIDIO!$L$110*SUBSIDIO!$W$110)+(SUBSIDIO!$N$110*SUBSIDIO!$X$110))*(0.06)/(1-0.06)</f>
        <v>551.79074879999996</v>
      </c>
      <c r="AD110" s="61">
        <f>(SUBSIDIO!$J$110*SUBSIDIO!$Y$110)*(0.03)/(1-0.03)</f>
        <v>0</v>
      </c>
      <c r="AE110" s="61">
        <f ca="1">((SUBSIDIO!$L$110*SUBSIDIO!$Z$110)+(SUBSIDIO!$N$110*SUBSIDIO!$AA$110))*(0.03)/(1-0.03)</f>
        <v>313.26901636009336</v>
      </c>
      <c r="AF110" s="4" t="s">
        <v>588</v>
      </c>
    </row>
    <row r="111" spans="1:32" ht="11.25" customHeight="1" x14ac:dyDescent="0.25">
      <c r="A111" s="4" t="s">
        <v>21</v>
      </c>
      <c r="B111" s="4" t="s">
        <v>35</v>
      </c>
      <c r="C111" s="4" t="s">
        <v>36</v>
      </c>
      <c r="D111" s="4" t="s">
        <v>46</v>
      </c>
      <c r="E111" s="4" t="s">
        <v>47</v>
      </c>
      <c r="F111" s="4" t="s">
        <v>25</v>
      </c>
      <c r="G111" s="4" t="s">
        <v>25</v>
      </c>
      <c r="H111" s="4" t="s">
        <v>38</v>
      </c>
      <c r="I111" s="5">
        <v>44562</v>
      </c>
      <c r="J111" s="6">
        <v>0</v>
      </c>
      <c r="K111" s="61">
        <v>0</v>
      </c>
      <c r="L111" s="6">
        <v>46.517000000000003</v>
      </c>
      <c r="M111" s="61">
        <v>46.517000000000003</v>
      </c>
      <c r="N111" s="6">
        <v>46.517000000000003</v>
      </c>
      <c r="O111" s="61">
        <v>46.517000000000003</v>
      </c>
      <c r="P111" s="6">
        <v>0</v>
      </c>
      <c r="Q111" s="4" t="s">
        <v>26</v>
      </c>
      <c r="R111" s="4">
        <v>0</v>
      </c>
      <c r="S111" s="4">
        <v>0</v>
      </c>
      <c r="T111" s="4">
        <v>23</v>
      </c>
      <c r="U111" s="4">
        <v>51</v>
      </c>
      <c r="V111" s="61">
        <f>IF(ISERROR(VLOOKUP($S$111,'TAR FIN'!$A$1:$O$85,15,0)),0,VLOOKUP($S$111,'TAR FIN'!$A$1:$O$85,15,0))</f>
        <v>0</v>
      </c>
      <c r="W111" s="61">
        <f>IF(ISERROR(VLOOKUP($T$111,'TAR FIN'!$A$1:$O$85,15,0)),0,VLOOKUP($T$111,'TAR FIN'!$A$1:$O$85,15,0))*(1-0.06)</f>
        <v>62.246799999999993</v>
      </c>
      <c r="X111" s="61">
        <f>IF(ISERROR(VLOOKUP($U$111,'TAR FIN'!$A$1:$O$85,15,0)),0,VLOOKUP($U$111,'TAR FIN'!$A$1:$O$85,15,0))*(1-0.06)</f>
        <v>132.84079999999997</v>
      </c>
      <c r="Y111" s="61"/>
      <c r="Z111" s="61">
        <f ca="1">('TUSD BE'!$AM$12+'TUSD BF'!$AM$12+'TUSD CVA'!$AM$12)*1*(1-0.03)</f>
        <v>96.85231722220351</v>
      </c>
      <c r="AA111" s="61">
        <f>('TE BE'!$AB$6+'TE BF'!$AB$6+'TE CVA'!$AB$6)*1*(1-0.03)</f>
        <v>131.73207366460716</v>
      </c>
      <c r="AB111" s="61">
        <f>(SUBSIDIO!$J$111*SUBSIDIO!$V$111)*(0.06)/(1-0.06)</f>
        <v>0</v>
      </c>
      <c r="AC111" s="61">
        <f>((SUBSIDIO!$L$111*SUBSIDIO!$W$111)+(SUBSIDIO!$N$111*SUBSIDIO!$X$111))*(0.06)/(1-0.06)</f>
        <v>579.24829080000006</v>
      </c>
      <c r="AD111" s="61">
        <f>(SUBSIDIO!$J$111*SUBSIDIO!$Y$111)*(0.03)/(1-0.03)</f>
        <v>0</v>
      </c>
      <c r="AE111" s="61">
        <f ca="1">((SUBSIDIO!$L$111*SUBSIDIO!$Z$111)+(SUBSIDIO!$N$111*SUBSIDIO!$AA$111))*(0.03)/(1-0.03)</f>
        <v>328.85752920252901</v>
      </c>
      <c r="AF111" s="4" t="s">
        <v>588</v>
      </c>
    </row>
    <row r="112" spans="1:32" ht="11.25" customHeight="1" x14ac:dyDescent="0.25">
      <c r="A112" s="4" t="s">
        <v>21</v>
      </c>
      <c r="B112" s="4" t="s">
        <v>35</v>
      </c>
      <c r="C112" s="4" t="s">
        <v>36</v>
      </c>
      <c r="D112" s="4" t="s">
        <v>46</v>
      </c>
      <c r="E112" s="4" t="s">
        <v>47</v>
      </c>
      <c r="F112" s="4" t="s">
        <v>25</v>
      </c>
      <c r="G112" s="4" t="s">
        <v>25</v>
      </c>
      <c r="H112" s="4" t="s">
        <v>38</v>
      </c>
      <c r="I112" s="5">
        <v>44593</v>
      </c>
      <c r="J112" s="6">
        <v>0</v>
      </c>
      <c r="K112" s="61">
        <v>0</v>
      </c>
      <c r="L112" s="6">
        <v>38.237000000000002</v>
      </c>
      <c r="M112" s="61">
        <v>38.237000000000002</v>
      </c>
      <c r="N112" s="6">
        <v>38.237000000000002</v>
      </c>
      <c r="O112" s="61">
        <v>38.237000000000002</v>
      </c>
      <c r="P112" s="6">
        <v>0</v>
      </c>
      <c r="Q112" s="4" t="s">
        <v>26</v>
      </c>
      <c r="R112" s="4">
        <v>0</v>
      </c>
      <c r="S112" s="4">
        <v>0</v>
      </c>
      <c r="T112" s="4">
        <v>23</v>
      </c>
      <c r="U112" s="4">
        <v>51</v>
      </c>
      <c r="V112" s="61">
        <f>IF(ISERROR(VLOOKUP($S$112,'TAR FIN'!$A$1:$O$85,15,0)),0,VLOOKUP($S$112,'TAR FIN'!$A$1:$O$85,15,0))</f>
        <v>0</v>
      </c>
      <c r="W112" s="61">
        <f>IF(ISERROR(VLOOKUP($T$112,'TAR FIN'!$A$1:$O$85,15,0)),0,VLOOKUP($T$112,'TAR FIN'!$A$1:$O$85,15,0))*(1-0.06)</f>
        <v>62.246799999999993</v>
      </c>
      <c r="X112" s="61">
        <f>IF(ISERROR(VLOOKUP($U$112,'TAR FIN'!$A$1:$O$85,15,0)),0,VLOOKUP($U$112,'TAR FIN'!$A$1:$O$85,15,0))*(1-0.06)</f>
        <v>132.84079999999997</v>
      </c>
      <c r="Y112" s="61"/>
      <c r="Z112" s="61">
        <f ca="1">('TUSD BE'!$AM$12+'TUSD BF'!$AM$12+'TUSD CVA'!$AM$12)*1*(1-0.03)</f>
        <v>96.85231722220351</v>
      </c>
      <c r="AA112" s="61">
        <f>('TE BE'!$AB$6+'TE BF'!$AB$6+'TE CVA'!$AB$6)*1*(1-0.03)</f>
        <v>131.73207366460716</v>
      </c>
      <c r="AB112" s="61">
        <f>(SUBSIDIO!$J$112*SUBSIDIO!$V$112)*(0.06)/(1-0.06)</f>
        <v>0</v>
      </c>
      <c r="AC112" s="61">
        <f>((SUBSIDIO!$L$112*SUBSIDIO!$W$112)+(SUBSIDIO!$N$112*SUBSIDIO!$X$112))*(0.06)/(1-0.06)</f>
        <v>476.14241879999997</v>
      </c>
      <c r="AD112" s="61">
        <f>(SUBSIDIO!$J$112*SUBSIDIO!$Y$112)*(0.03)/(1-0.03)</f>
        <v>0</v>
      </c>
      <c r="AE112" s="61">
        <f ca="1">((SUBSIDIO!$L$112*SUBSIDIO!$Z$112)+(SUBSIDIO!$N$112*SUBSIDIO!$AA$112))*(0.03)/(1-0.03)</f>
        <v>270.32107281460765</v>
      </c>
      <c r="AF112" s="4" t="s">
        <v>588</v>
      </c>
    </row>
    <row r="113" spans="1:32" ht="11.25" customHeight="1" x14ac:dyDescent="0.25">
      <c r="A113" s="4" t="s">
        <v>21</v>
      </c>
      <c r="B113" s="4" t="s">
        <v>35</v>
      </c>
      <c r="C113" s="4" t="s">
        <v>36</v>
      </c>
      <c r="D113" s="4" t="s">
        <v>46</v>
      </c>
      <c r="E113" s="4" t="s">
        <v>47</v>
      </c>
      <c r="F113" s="4" t="s">
        <v>25</v>
      </c>
      <c r="G113" s="4" t="s">
        <v>25</v>
      </c>
      <c r="H113" s="4" t="s">
        <v>38</v>
      </c>
      <c r="I113" s="5">
        <v>44621</v>
      </c>
      <c r="J113" s="6">
        <v>0</v>
      </c>
      <c r="K113" s="61">
        <v>0</v>
      </c>
      <c r="L113" s="6">
        <v>41.484000000000002</v>
      </c>
      <c r="M113" s="61">
        <v>41.484000000000002</v>
      </c>
      <c r="N113" s="6">
        <v>41.484000000000002</v>
      </c>
      <c r="O113" s="61">
        <v>41.484000000000002</v>
      </c>
      <c r="P113" s="6">
        <v>0</v>
      </c>
      <c r="Q113" s="4" t="s">
        <v>26</v>
      </c>
      <c r="R113" s="4">
        <v>0</v>
      </c>
      <c r="S113" s="4">
        <v>0</v>
      </c>
      <c r="T113" s="4">
        <v>23</v>
      </c>
      <c r="U113" s="4">
        <v>51</v>
      </c>
      <c r="V113" s="61">
        <f>IF(ISERROR(VLOOKUP($S$113,'TAR FIN'!$A$1:$O$85,15,0)),0,VLOOKUP($S$113,'TAR FIN'!$A$1:$O$85,15,0))</f>
        <v>0</v>
      </c>
      <c r="W113" s="61">
        <f>IF(ISERROR(VLOOKUP($T$113,'TAR FIN'!$A$1:$O$85,15,0)),0,VLOOKUP($T$113,'TAR FIN'!$A$1:$O$85,15,0))*(1-0.06)</f>
        <v>62.246799999999993</v>
      </c>
      <c r="X113" s="61">
        <f>IF(ISERROR(VLOOKUP($U$113,'TAR FIN'!$A$1:$O$85,15,0)),0,VLOOKUP($U$113,'TAR FIN'!$A$1:$O$85,15,0))*(1-0.06)</f>
        <v>132.84079999999997</v>
      </c>
      <c r="Y113" s="61"/>
      <c r="Z113" s="61">
        <f ca="1">('TUSD BE'!$AM$12+'TUSD BF'!$AM$12+'TUSD CVA'!$AM$12)*1*(1-0.03)</f>
        <v>96.85231722220351</v>
      </c>
      <c r="AA113" s="61">
        <f>('TE BE'!$AB$6+'TE BF'!$AB$6+'TE CVA'!$AB$6)*1*(1-0.03)</f>
        <v>131.73207366460716</v>
      </c>
      <c r="AB113" s="61">
        <f>(SUBSIDIO!$J$113*SUBSIDIO!$V$113)*(0.06)/(1-0.06)</f>
        <v>0</v>
      </c>
      <c r="AC113" s="61">
        <f>((SUBSIDIO!$L$113*SUBSIDIO!$W$113)+(SUBSIDIO!$N$113*SUBSIDIO!$X$113))*(0.06)/(1-0.06)</f>
        <v>516.57536159999984</v>
      </c>
      <c r="AD113" s="61">
        <f>(SUBSIDIO!$J$113*SUBSIDIO!$Y$113)*(0.03)/(1-0.03)</f>
        <v>0</v>
      </c>
      <c r="AE113" s="61">
        <f ca="1">((SUBSIDIO!$L$113*SUBSIDIO!$Z$113)+(SUBSIDIO!$N$113*SUBSIDIO!$AA$113))*(0.03)/(1-0.03)</f>
        <v>293.27613004789032</v>
      </c>
      <c r="AF113" s="4" t="s">
        <v>588</v>
      </c>
    </row>
    <row r="114" spans="1:32" ht="11.25" customHeight="1" x14ac:dyDescent="0.25">
      <c r="A114" s="4" t="s">
        <v>21</v>
      </c>
      <c r="B114" s="4" t="s">
        <v>35</v>
      </c>
      <c r="C114" s="4" t="s">
        <v>36</v>
      </c>
      <c r="D114" s="4" t="s">
        <v>46</v>
      </c>
      <c r="E114" s="4" t="s">
        <v>47</v>
      </c>
      <c r="F114" s="4" t="s">
        <v>25</v>
      </c>
      <c r="G114" s="4" t="s">
        <v>25</v>
      </c>
      <c r="H114" s="4" t="s">
        <v>38</v>
      </c>
      <c r="I114" s="5">
        <v>44652</v>
      </c>
      <c r="J114" s="6">
        <v>0</v>
      </c>
      <c r="K114" s="61">
        <v>0</v>
      </c>
      <c r="L114" s="6">
        <v>34.99</v>
      </c>
      <c r="M114" s="61">
        <v>34.99</v>
      </c>
      <c r="N114" s="6">
        <v>34.99</v>
      </c>
      <c r="O114" s="61">
        <v>34.99</v>
      </c>
      <c r="P114" s="6">
        <v>0</v>
      </c>
      <c r="Q114" s="4" t="s">
        <v>26</v>
      </c>
      <c r="R114" s="4">
        <v>0</v>
      </c>
      <c r="S114" s="4">
        <v>0</v>
      </c>
      <c r="T114" s="4">
        <v>23</v>
      </c>
      <c r="U114" s="4">
        <v>51</v>
      </c>
      <c r="V114" s="61">
        <f>IF(ISERROR(VLOOKUP($S$114,'TAR FIN'!$A$1:$O$85,15,0)),0,VLOOKUP($S$114,'TAR FIN'!$A$1:$O$85,15,0))</f>
        <v>0</v>
      </c>
      <c r="W114" s="61">
        <f>IF(ISERROR(VLOOKUP($T$114,'TAR FIN'!$A$1:$O$85,15,0)),0,VLOOKUP($T$114,'TAR FIN'!$A$1:$O$85,15,0))*(1-0.06)</f>
        <v>62.246799999999993</v>
      </c>
      <c r="X114" s="61">
        <f>IF(ISERROR(VLOOKUP($U$114,'TAR FIN'!$A$1:$O$85,15,0)),0,VLOOKUP($U$114,'TAR FIN'!$A$1:$O$85,15,0))*(1-0.06)</f>
        <v>132.84079999999997</v>
      </c>
      <c r="Y114" s="61"/>
      <c r="Z114" s="61">
        <f ca="1">('TUSD BE'!$AM$12+'TUSD BF'!$AM$12+'TUSD CVA'!$AM$12)*1*(1-0.03)</f>
        <v>96.85231722220351</v>
      </c>
      <c r="AA114" s="61">
        <f>('TE BE'!$AB$6+'TE BF'!$AB$6+'TE CVA'!$AB$6)*1*(1-0.03)</f>
        <v>131.73207366460716</v>
      </c>
      <c r="AB114" s="61">
        <f>(SUBSIDIO!$J$114*SUBSIDIO!$V$114)*(0.06)/(1-0.06)</f>
        <v>0</v>
      </c>
      <c r="AC114" s="61">
        <f>((SUBSIDIO!$L$114*SUBSIDIO!$W$114)+(SUBSIDIO!$N$114*SUBSIDIO!$X$114))*(0.06)/(1-0.06)</f>
        <v>435.709476</v>
      </c>
      <c r="AD114" s="61">
        <f>(SUBSIDIO!$J$114*SUBSIDIO!$Y$114)*(0.03)/(1-0.03)</f>
        <v>0</v>
      </c>
      <c r="AE114" s="61">
        <f ca="1">((SUBSIDIO!$L$114*SUBSIDIO!$Z$114)+(SUBSIDIO!$N$114*SUBSIDIO!$AA$114))*(0.03)/(1-0.03)</f>
        <v>247.36601558132492</v>
      </c>
      <c r="AF114" s="4" t="s">
        <v>588</v>
      </c>
    </row>
    <row r="115" spans="1:32" ht="11.25" customHeight="1" x14ac:dyDescent="0.25">
      <c r="A115" s="4" t="s">
        <v>21</v>
      </c>
      <c r="B115" s="4" t="s">
        <v>35</v>
      </c>
      <c r="C115" s="4" t="s">
        <v>36</v>
      </c>
      <c r="D115" s="4" t="s">
        <v>46</v>
      </c>
      <c r="E115" s="4" t="s">
        <v>47</v>
      </c>
      <c r="F115" s="4" t="s">
        <v>25</v>
      </c>
      <c r="G115" s="4" t="s">
        <v>25</v>
      </c>
      <c r="H115" s="4" t="s">
        <v>38</v>
      </c>
      <c r="I115" s="5">
        <v>44682</v>
      </c>
      <c r="J115" s="6">
        <v>0</v>
      </c>
      <c r="K115" s="61">
        <v>0</v>
      </c>
      <c r="L115" s="6">
        <v>6.7729999999999997</v>
      </c>
      <c r="M115" s="61">
        <v>6.7729999999999997</v>
      </c>
      <c r="N115" s="6">
        <v>6.7729999999999997</v>
      </c>
      <c r="O115" s="61">
        <v>6.7729999999999997</v>
      </c>
      <c r="P115" s="6">
        <v>0</v>
      </c>
      <c r="Q115" s="4" t="s">
        <v>26</v>
      </c>
      <c r="R115" s="4">
        <v>0</v>
      </c>
      <c r="S115" s="4">
        <v>0</v>
      </c>
      <c r="T115" s="4">
        <v>23</v>
      </c>
      <c r="U115" s="4">
        <v>51</v>
      </c>
      <c r="V115" s="61">
        <f>IF(ISERROR(VLOOKUP($S$115,'TAR FIN'!$A$1:$O$85,15,0)),0,VLOOKUP($S$115,'TAR FIN'!$A$1:$O$85,15,0))</f>
        <v>0</v>
      </c>
      <c r="W115" s="61">
        <f>IF(ISERROR(VLOOKUP($T$115,'TAR FIN'!$A$1:$O$85,15,0)),0,VLOOKUP($T$115,'TAR FIN'!$A$1:$O$85,15,0))*(1-0.06)</f>
        <v>62.246799999999993</v>
      </c>
      <c r="X115" s="61">
        <f>IF(ISERROR(VLOOKUP($U$115,'TAR FIN'!$A$1:$O$85,15,0)),0,VLOOKUP($U$115,'TAR FIN'!$A$1:$O$85,15,0))*(1-0.06)</f>
        <v>132.84079999999997</v>
      </c>
      <c r="Y115" s="61"/>
      <c r="Z115" s="61">
        <f ca="1">('TUSD BE'!$AM$12+'TUSD BF'!$AM$12+'TUSD CVA'!$AM$12)*1*(1-0.03)</f>
        <v>96.85231722220351</v>
      </c>
      <c r="AA115" s="61">
        <f>('TE BE'!$AB$6+'TE BF'!$AB$6+'TE CVA'!$AB$6)*1*(1-0.03)</f>
        <v>131.73207366460716</v>
      </c>
      <c r="AB115" s="61">
        <f>(SUBSIDIO!$J$115*SUBSIDIO!$V$115)*(0.06)/(1-0.06)</f>
        <v>0</v>
      </c>
      <c r="AC115" s="61">
        <f>((SUBSIDIO!$L$115*SUBSIDIO!$W$115)+(SUBSIDIO!$N$115*SUBSIDIO!$X$115))*(0.06)/(1-0.06)</f>
        <v>84.340105199999968</v>
      </c>
      <c r="AD115" s="61">
        <f>(SUBSIDIO!$J$115*SUBSIDIO!$Y$115)*(0.03)/(1-0.03)</f>
        <v>0</v>
      </c>
      <c r="AE115" s="61">
        <f ca="1">((SUBSIDIO!$L$115*SUBSIDIO!$Z$115)+(SUBSIDIO!$N$115*SUBSIDIO!$AA$115))*(0.03)/(1-0.03)</f>
        <v>47.882538540506239</v>
      </c>
      <c r="AF115" s="4" t="s">
        <v>588</v>
      </c>
    </row>
    <row r="116" spans="1:32" ht="11.25" customHeight="1" x14ac:dyDescent="0.25">
      <c r="A116" s="4" t="s">
        <v>21</v>
      </c>
      <c r="B116" s="4" t="s">
        <v>35</v>
      </c>
      <c r="C116" s="4" t="s">
        <v>36</v>
      </c>
      <c r="D116" s="4" t="s">
        <v>46</v>
      </c>
      <c r="E116" s="4" t="s">
        <v>47</v>
      </c>
      <c r="F116" s="4" t="s">
        <v>25</v>
      </c>
      <c r="G116" s="4" t="s">
        <v>25</v>
      </c>
      <c r="H116" s="4" t="s">
        <v>38</v>
      </c>
      <c r="I116" s="5">
        <v>44743</v>
      </c>
      <c r="J116" s="6">
        <v>0</v>
      </c>
      <c r="K116" s="61">
        <v>0</v>
      </c>
      <c r="L116" s="6">
        <v>7.66</v>
      </c>
      <c r="M116" s="61">
        <v>7.66</v>
      </c>
      <c r="N116" s="6">
        <v>7.66</v>
      </c>
      <c r="O116" s="61">
        <v>7.66</v>
      </c>
      <c r="P116" s="6">
        <v>0</v>
      </c>
      <c r="Q116" s="4" t="s">
        <v>26</v>
      </c>
      <c r="R116" s="4">
        <v>0</v>
      </c>
      <c r="S116" s="4">
        <v>0</v>
      </c>
      <c r="T116" s="4">
        <v>23</v>
      </c>
      <c r="U116" s="4">
        <v>51</v>
      </c>
      <c r="V116" s="61">
        <f>IF(ISERROR(VLOOKUP($S$116,'TAR FIN'!$A$1:$O$85,15,0)),0,VLOOKUP($S$116,'TAR FIN'!$A$1:$O$85,15,0))</f>
        <v>0</v>
      </c>
      <c r="W116" s="61">
        <f>IF(ISERROR(VLOOKUP($T$116,'TAR FIN'!$A$1:$O$85,15,0)),0,VLOOKUP($T$116,'TAR FIN'!$A$1:$O$85,15,0))*(1-0.06)</f>
        <v>62.246799999999993</v>
      </c>
      <c r="X116" s="61">
        <f>IF(ISERROR(VLOOKUP($U$116,'TAR FIN'!$A$1:$O$85,15,0)),0,VLOOKUP($U$116,'TAR FIN'!$A$1:$O$85,15,0))*(1-0.06)</f>
        <v>132.84079999999997</v>
      </c>
      <c r="Y116" s="61"/>
      <c r="Z116" s="61">
        <f ca="1">('TUSD BE'!$AM$12+'TUSD BF'!$AM$12+'TUSD CVA'!$AM$12)*1*(1-0.03)</f>
        <v>96.85231722220351</v>
      </c>
      <c r="AA116" s="61">
        <f>('TE BE'!$AB$6+'TE BF'!$AB$6+'TE CVA'!$AB$6)*1*(1-0.03)</f>
        <v>131.73207366460716</v>
      </c>
      <c r="AB116" s="61">
        <f>(SUBSIDIO!$J$116*SUBSIDIO!$V$116)*(0.06)/(1-0.06)</f>
        <v>0</v>
      </c>
      <c r="AC116" s="61">
        <f>((SUBSIDIO!$L$116*SUBSIDIO!$W$116)+(SUBSIDIO!$N$116*SUBSIDIO!$X$116))*(0.06)/(1-0.06)</f>
        <v>95.385383999999988</v>
      </c>
      <c r="AD116" s="61">
        <f>(SUBSIDIO!$J$116*SUBSIDIO!$Y$116)*(0.03)/(1-0.03)</f>
        <v>0</v>
      </c>
      <c r="AE116" s="61">
        <f ca="1">((SUBSIDIO!$L$116*SUBSIDIO!$Z$116)+(SUBSIDIO!$N$116*SUBSIDIO!$AA$116))*(0.03)/(1-0.03)</f>
        <v>54.153291779164007</v>
      </c>
      <c r="AF116" s="4" t="s">
        <v>588</v>
      </c>
    </row>
    <row r="117" spans="1:32" ht="11.25" customHeight="1" x14ac:dyDescent="0.25">
      <c r="A117" s="4" t="s">
        <v>21</v>
      </c>
      <c r="B117" s="4" t="s">
        <v>35</v>
      </c>
      <c r="C117" s="4" t="s">
        <v>36</v>
      </c>
      <c r="D117" s="4" t="s">
        <v>46</v>
      </c>
      <c r="E117" s="4" t="s">
        <v>47</v>
      </c>
      <c r="F117" s="4" t="s">
        <v>25</v>
      </c>
      <c r="G117" s="4" t="s">
        <v>25</v>
      </c>
      <c r="H117" s="4" t="s">
        <v>38</v>
      </c>
      <c r="I117" s="5">
        <v>44774</v>
      </c>
      <c r="J117" s="6">
        <v>0</v>
      </c>
      <c r="K117" s="61">
        <v>0</v>
      </c>
      <c r="L117" s="6">
        <v>26.152999999999999</v>
      </c>
      <c r="M117" s="61">
        <v>26.152999999999999</v>
      </c>
      <c r="N117" s="6">
        <v>26.152999999999999</v>
      </c>
      <c r="O117" s="61">
        <v>26.152999999999999</v>
      </c>
      <c r="P117" s="6">
        <v>0</v>
      </c>
      <c r="Q117" s="4" t="s">
        <v>26</v>
      </c>
      <c r="R117" s="4">
        <v>0</v>
      </c>
      <c r="S117" s="4">
        <v>0</v>
      </c>
      <c r="T117" s="4">
        <v>23</v>
      </c>
      <c r="U117" s="4">
        <v>51</v>
      </c>
      <c r="V117" s="61">
        <f>IF(ISERROR(VLOOKUP($S$117,'TAR FIN'!$A$1:$O$85,15,0)),0,VLOOKUP($S$117,'TAR FIN'!$A$1:$O$85,15,0))</f>
        <v>0</v>
      </c>
      <c r="W117" s="61">
        <f>IF(ISERROR(VLOOKUP($T$117,'TAR FIN'!$A$1:$O$85,15,0)),0,VLOOKUP($T$117,'TAR FIN'!$A$1:$O$85,15,0))*(1-0.06)</f>
        <v>62.246799999999993</v>
      </c>
      <c r="X117" s="61">
        <f>IF(ISERROR(VLOOKUP($U$117,'TAR FIN'!$A$1:$O$85,15,0)),0,VLOOKUP($U$117,'TAR FIN'!$A$1:$O$85,15,0))*(1-0.06)</f>
        <v>132.84079999999997</v>
      </c>
      <c r="Y117" s="61"/>
      <c r="Z117" s="61">
        <f ca="1">('TUSD BE'!$AM$12+'TUSD BF'!$AM$12+'TUSD CVA'!$AM$12)*1*(1-0.03)</f>
        <v>96.85231722220351</v>
      </c>
      <c r="AA117" s="61">
        <f>('TE BE'!$AB$6+'TE BF'!$AB$6+'TE CVA'!$AB$6)*1*(1-0.03)</f>
        <v>131.73207366460716</v>
      </c>
      <c r="AB117" s="61">
        <f>(SUBSIDIO!$J$117*SUBSIDIO!$V$117)*(0.06)/(1-0.06)</f>
        <v>0</v>
      </c>
      <c r="AC117" s="61">
        <f>((SUBSIDIO!$L$117*SUBSIDIO!$W$117)+(SUBSIDIO!$N$117*SUBSIDIO!$X$117))*(0.06)/(1-0.06)</f>
        <v>325.66761719999988</v>
      </c>
      <c r="AD117" s="61">
        <f>(SUBSIDIO!$J$117*SUBSIDIO!$Y$117)*(0.03)/(1-0.03)</f>
        <v>0</v>
      </c>
      <c r="AE117" s="61">
        <f ca="1">((SUBSIDIO!$L$117*SUBSIDIO!$Z$117)+(SUBSIDIO!$N$117*SUBSIDIO!$AA$117))*(0.03)/(1-0.03)</f>
        <v>184.89178066585853</v>
      </c>
      <c r="AF117" s="4" t="s">
        <v>588</v>
      </c>
    </row>
    <row r="118" spans="1:32" ht="11.25" customHeight="1" x14ac:dyDescent="0.25">
      <c r="A118" s="4" t="s">
        <v>21</v>
      </c>
      <c r="B118" s="4" t="s">
        <v>35</v>
      </c>
      <c r="C118" s="4" t="s">
        <v>36</v>
      </c>
      <c r="D118" s="4" t="s">
        <v>46</v>
      </c>
      <c r="E118" s="4" t="s">
        <v>47</v>
      </c>
      <c r="F118" s="4" t="s">
        <v>25</v>
      </c>
      <c r="G118" s="4" t="s">
        <v>25</v>
      </c>
      <c r="H118" s="4" t="s">
        <v>25</v>
      </c>
      <c r="I118" s="5">
        <v>44440</v>
      </c>
      <c r="J118" s="6">
        <v>80</v>
      </c>
      <c r="K118" s="62">
        <v>80</v>
      </c>
      <c r="L118" s="6">
        <v>0</v>
      </c>
      <c r="M118" s="61">
        <v>0</v>
      </c>
      <c r="N118" s="6">
        <v>0</v>
      </c>
      <c r="O118" s="61">
        <v>0</v>
      </c>
      <c r="P118" s="6">
        <v>1</v>
      </c>
      <c r="Q118" s="4" t="s">
        <v>26</v>
      </c>
      <c r="R118" s="4">
        <v>0</v>
      </c>
      <c r="S118" s="4">
        <v>16</v>
      </c>
      <c r="T118" s="4">
        <v>0</v>
      </c>
      <c r="U118" s="4">
        <v>0</v>
      </c>
      <c r="V118" s="61">
        <f>IF(ISERROR(VLOOKUP($S$118,'TAR FIN'!$A$1:$O$85,15,0)),0,VLOOKUP($S$118,'TAR FIN'!$A$1:$O$85,15,0))*(1-0.06)</f>
        <v>24.1204</v>
      </c>
      <c r="W118" s="61">
        <f>IF(ISERROR(VLOOKUP($T$118,'TAR FIN'!$A$1:$O$85,15,0)),0,VLOOKUP($T$118,'TAR FIN'!$A$1:$O$85,15,0))</f>
        <v>0</v>
      </c>
      <c r="X118" s="61">
        <f>IF(ISERROR(VLOOKUP($U$118,'TAR FIN'!$A$1:$O$85,15,0)),0,VLOOKUP($U$118,'TAR FIN'!$A$1:$O$85,15,0))</f>
        <v>0</v>
      </c>
      <c r="Y118" s="61">
        <f ca="1">('TUSD BE'!$AM$10+'TUSD BF'!$AM$10+'TUSD CVA'!$AM$10)*1*(1-0.03)</f>
        <v>24.433920211791385</v>
      </c>
      <c r="Z118" s="61"/>
      <c r="AA118" s="61"/>
      <c r="AB118" s="61">
        <f>(SUBSIDIO!$J$118*SUBSIDIO!$V$118)*(0.06)/(1-0.06)</f>
        <v>123.16800000000001</v>
      </c>
      <c r="AC118" s="61">
        <f>((SUBSIDIO!$L$118*SUBSIDIO!$W$118)+(SUBSIDIO!$N$118*SUBSIDIO!$X$118))*(0.06)/(1-0.06)</f>
        <v>0</v>
      </c>
      <c r="AD118" s="61">
        <f ca="1">(SUBSIDIO!$J$118*SUBSIDIO!$Y$118)*(0.03)/(1-0.03)</f>
        <v>60.455060317834352</v>
      </c>
      <c r="AE118" s="61">
        <f>((SUBSIDIO!$L$118*SUBSIDIO!$Z$118)+(SUBSIDIO!$N$118*SUBSIDIO!$AA$118))*(0.03)/(1-0.03)</f>
        <v>0</v>
      </c>
      <c r="AF118" s="4" t="s">
        <v>588</v>
      </c>
    </row>
    <row r="119" spans="1:32" ht="11.25" customHeight="1" x14ac:dyDescent="0.25">
      <c r="A119" s="4" t="s">
        <v>21</v>
      </c>
      <c r="B119" s="4" t="s">
        <v>35</v>
      </c>
      <c r="C119" s="4" t="s">
        <v>36</v>
      </c>
      <c r="D119" s="4" t="s">
        <v>46</v>
      </c>
      <c r="E119" s="4" t="s">
        <v>47</v>
      </c>
      <c r="F119" s="4" t="s">
        <v>25</v>
      </c>
      <c r="G119" s="4" t="s">
        <v>25</v>
      </c>
      <c r="H119" s="4" t="s">
        <v>25</v>
      </c>
      <c r="I119" s="5">
        <v>44470</v>
      </c>
      <c r="J119" s="6">
        <v>87</v>
      </c>
      <c r="K119" s="62">
        <v>87</v>
      </c>
      <c r="L119" s="6">
        <v>0</v>
      </c>
      <c r="M119" s="61">
        <v>0</v>
      </c>
      <c r="N119" s="6">
        <v>0</v>
      </c>
      <c r="O119" s="61">
        <v>0</v>
      </c>
      <c r="P119" s="6">
        <v>1</v>
      </c>
      <c r="Q119" s="4" t="s">
        <v>26</v>
      </c>
      <c r="R119" s="4">
        <v>0</v>
      </c>
      <c r="S119" s="4">
        <v>16</v>
      </c>
      <c r="T119" s="4">
        <v>0</v>
      </c>
      <c r="U119" s="4">
        <v>0</v>
      </c>
      <c r="V119" s="61">
        <f>IF(ISERROR(VLOOKUP($S$119,'TAR FIN'!$A$1:$O$85,15,0)),0,VLOOKUP($S$119,'TAR FIN'!$A$1:$O$85,15,0))*(1-0.06)</f>
        <v>24.1204</v>
      </c>
      <c r="W119" s="61">
        <f>IF(ISERROR(VLOOKUP($T$119,'TAR FIN'!$A$1:$O$85,15,0)),0,VLOOKUP($T$119,'TAR FIN'!$A$1:$O$85,15,0))</f>
        <v>0</v>
      </c>
      <c r="X119" s="61">
        <f>IF(ISERROR(VLOOKUP($U$119,'TAR FIN'!$A$1:$O$85,15,0)),0,VLOOKUP($U$119,'TAR FIN'!$A$1:$O$85,15,0))</f>
        <v>0</v>
      </c>
      <c r="Y119" s="61">
        <f ca="1">('TUSD BE'!$AM$10+'TUSD BF'!$AM$10+'TUSD CVA'!$AM$10)*1*(1-0.03)</f>
        <v>24.433920211791385</v>
      </c>
      <c r="Z119" s="61"/>
      <c r="AA119" s="61"/>
      <c r="AB119" s="61">
        <f>(SUBSIDIO!$J$119*SUBSIDIO!$V$119)*(0.06)/(1-0.06)</f>
        <v>133.9452</v>
      </c>
      <c r="AC119" s="61">
        <f>((SUBSIDIO!$L$119*SUBSIDIO!$W$119)+(SUBSIDIO!$N$119*SUBSIDIO!$X$119))*(0.06)/(1-0.06)</f>
        <v>0</v>
      </c>
      <c r="AD119" s="61">
        <f ca="1">(SUBSIDIO!$J$119*SUBSIDIO!$Y$119)*(0.03)/(1-0.03)</f>
        <v>65.744878095644864</v>
      </c>
      <c r="AE119" s="61">
        <f>((SUBSIDIO!$L$119*SUBSIDIO!$Z$119)+(SUBSIDIO!$N$119*SUBSIDIO!$AA$119))*(0.03)/(1-0.03)</f>
        <v>0</v>
      </c>
      <c r="AF119" s="4" t="s">
        <v>588</v>
      </c>
    </row>
    <row r="120" spans="1:32" ht="11.25" customHeight="1" x14ac:dyDescent="0.25">
      <c r="A120" s="4" t="s">
        <v>21</v>
      </c>
      <c r="B120" s="4" t="s">
        <v>35</v>
      </c>
      <c r="C120" s="4" t="s">
        <v>36</v>
      </c>
      <c r="D120" s="4" t="s">
        <v>46</v>
      </c>
      <c r="E120" s="4" t="s">
        <v>47</v>
      </c>
      <c r="F120" s="4" t="s">
        <v>25</v>
      </c>
      <c r="G120" s="4" t="s">
        <v>25</v>
      </c>
      <c r="H120" s="4" t="s">
        <v>25</v>
      </c>
      <c r="I120" s="5">
        <v>44501</v>
      </c>
      <c r="J120" s="6">
        <v>89</v>
      </c>
      <c r="K120" s="62">
        <v>89</v>
      </c>
      <c r="L120" s="6">
        <v>0</v>
      </c>
      <c r="M120" s="61">
        <v>0</v>
      </c>
      <c r="N120" s="6">
        <v>0</v>
      </c>
      <c r="O120" s="61">
        <v>0</v>
      </c>
      <c r="P120" s="6">
        <v>1</v>
      </c>
      <c r="Q120" s="4" t="s">
        <v>26</v>
      </c>
      <c r="R120" s="4">
        <v>0</v>
      </c>
      <c r="S120" s="4">
        <v>16</v>
      </c>
      <c r="T120" s="4">
        <v>0</v>
      </c>
      <c r="U120" s="4">
        <v>0</v>
      </c>
      <c r="V120" s="61">
        <f>IF(ISERROR(VLOOKUP($S$120,'TAR FIN'!$A$1:$O$85,15,0)),0,VLOOKUP($S$120,'TAR FIN'!$A$1:$O$85,15,0))*(1-0.06)</f>
        <v>24.1204</v>
      </c>
      <c r="W120" s="61">
        <f>IF(ISERROR(VLOOKUP($T$120,'TAR FIN'!$A$1:$O$85,15,0)),0,VLOOKUP($T$120,'TAR FIN'!$A$1:$O$85,15,0))</f>
        <v>0</v>
      </c>
      <c r="X120" s="61">
        <f>IF(ISERROR(VLOOKUP($U$120,'TAR FIN'!$A$1:$O$85,15,0)),0,VLOOKUP($U$120,'TAR FIN'!$A$1:$O$85,15,0))</f>
        <v>0</v>
      </c>
      <c r="Y120" s="61">
        <f ca="1">('TUSD BE'!$AM$10+'TUSD BF'!$AM$10+'TUSD CVA'!$AM$10)*1*(1-0.03)</f>
        <v>24.433920211791385</v>
      </c>
      <c r="Z120" s="61"/>
      <c r="AA120" s="61"/>
      <c r="AB120" s="61">
        <f>(SUBSIDIO!$J$120*SUBSIDIO!$V$120)*(0.06)/(1-0.06)</f>
        <v>137.02439999999999</v>
      </c>
      <c r="AC120" s="61">
        <f>((SUBSIDIO!$L$120*SUBSIDIO!$W$120)+(SUBSIDIO!$N$120*SUBSIDIO!$X$120))*(0.06)/(1-0.06)</f>
        <v>0</v>
      </c>
      <c r="AD120" s="61">
        <f ca="1">(SUBSIDIO!$J$120*SUBSIDIO!$Y$120)*(0.03)/(1-0.03)</f>
        <v>67.256254603590705</v>
      </c>
      <c r="AE120" s="61">
        <f>((SUBSIDIO!$L$120*SUBSIDIO!$Z$120)+(SUBSIDIO!$N$120*SUBSIDIO!$AA$120))*(0.03)/(1-0.03)</f>
        <v>0</v>
      </c>
      <c r="AF120" s="4" t="s">
        <v>588</v>
      </c>
    </row>
    <row r="121" spans="1:32" ht="11.25" customHeight="1" x14ac:dyDescent="0.25">
      <c r="A121" s="4" t="s">
        <v>21</v>
      </c>
      <c r="B121" s="4" t="s">
        <v>35</v>
      </c>
      <c r="C121" s="4" t="s">
        <v>36</v>
      </c>
      <c r="D121" s="4" t="s">
        <v>46</v>
      </c>
      <c r="E121" s="4" t="s">
        <v>47</v>
      </c>
      <c r="F121" s="4" t="s">
        <v>25</v>
      </c>
      <c r="G121" s="4" t="s">
        <v>25</v>
      </c>
      <c r="H121" s="4" t="s">
        <v>25</v>
      </c>
      <c r="I121" s="5">
        <v>44531</v>
      </c>
      <c r="J121" s="6">
        <v>85</v>
      </c>
      <c r="K121" s="62">
        <v>85</v>
      </c>
      <c r="L121" s="6">
        <v>0</v>
      </c>
      <c r="M121" s="61">
        <v>0</v>
      </c>
      <c r="N121" s="6">
        <v>0</v>
      </c>
      <c r="O121" s="61">
        <v>0</v>
      </c>
      <c r="P121" s="6">
        <v>1</v>
      </c>
      <c r="Q121" s="4" t="s">
        <v>26</v>
      </c>
      <c r="R121" s="4">
        <v>0</v>
      </c>
      <c r="S121" s="4">
        <v>16</v>
      </c>
      <c r="T121" s="4">
        <v>0</v>
      </c>
      <c r="U121" s="4">
        <v>0</v>
      </c>
      <c r="V121" s="61">
        <f>IF(ISERROR(VLOOKUP($S$121,'TAR FIN'!$A$1:$O$85,15,0)),0,VLOOKUP($S$121,'TAR FIN'!$A$1:$O$85,15,0))*(1-0.06)</f>
        <v>24.1204</v>
      </c>
      <c r="W121" s="61">
        <f>IF(ISERROR(VLOOKUP($T$121,'TAR FIN'!$A$1:$O$85,15,0)),0,VLOOKUP($T$121,'TAR FIN'!$A$1:$O$85,15,0))</f>
        <v>0</v>
      </c>
      <c r="X121" s="61">
        <f>IF(ISERROR(VLOOKUP($U$121,'TAR FIN'!$A$1:$O$85,15,0)),0,VLOOKUP($U$121,'TAR FIN'!$A$1:$O$85,15,0))</f>
        <v>0</v>
      </c>
      <c r="Y121" s="61">
        <f ca="1">('TUSD BE'!$AM$10+'TUSD BF'!$AM$10+'TUSD CVA'!$AM$10)*1*(1-0.03)</f>
        <v>24.433920211791385</v>
      </c>
      <c r="Z121" s="61"/>
      <c r="AA121" s="61"/>
      <c r="AB121" s="61">
        <f>(SUBSIDIO!$J$121*SUBSIDIO!$V$121)*(0.06)/(1-0.06)</f>
        <v>130.86600000000001</v>
      </c>
      <c r="AC121" s="61">
        <f>((SUBSIDIO!$L$121*SUBSIDIO!$W$121)+(SUBSIDIO!$N$121*SUBSIDIO!$X$121))*(0.06)/(1-0.06)</f>
        <v>0</v>
      </c>
      <c r="AD121" s="61">
        <f ca="1">(SUBSIDIO!$J$121*SUBSIDIO!$Y$121)*(0.03)/(1-0.03)</f>
        <v>64.23350158769901</v>
      </c>
      <c r="AE121" s="61">
        <f>((SUBSIDIO!$L$121*SUBSIDIO!$Z$121)+(SUBSIDIO!$N$121*SUBSIDIO!$AA$121))*(0.03)/(1-0.03)</f>
        <v>0</v>
      </c>
      <c r="AF121" s="4" t="s">
        <v>588</v>
      </c>
    </row>
    <row r="122" spans="1:32" ht="11.25" customHeight="1" x14ac:dyDescent="0.25">
      <c r="A122" s="4" t="s">
        <v>21</v>
      </c>
      <c r="B122" s="4" t="s">
        <v>35</v>
      </c>
      <c r="C122" s="4" t="s">
        <v>36</v>
      </c>
      <c r="D122" s="4" t="s">
        <v>46</v>
      </c>
      <c r="E122" s="4" t="s">
        <v>47</v>
      </c>
      <c r="F122" s="4" t="s">
        <v>25</v>
      </c>
      <c r="G122" s="4" t="s">
        <v>25</v>
      </c>
      <c r="H122" s="4" t="s">
        <v>25</v>
      </c>
      <c r="I122" s="5">
        <v>44562</v>
      </c>
      <c r="J122" s="6">
        <v>84</v>
      </c>
      <c r="K122" s="62">
        <v>84</v>
      </c>
      <c r="L122" s="6">
        <v>0</v>
      </c>
      <c r="M122" s="61">
        <v>0</v>
      </c>
      <c r="N122" s="6">
        <v>0</v>
      </c>
      <c r="O122" s="61">
        <v>0</v>
      </c>
      <c r="P122" s="6">
        <v>1</v>
      </c>
      <c r="Q122" s="4" t="s">
        <v>26</v>
      </c>
      <c r="R122" s="4">
        <v>0</v>
      </c>
      <c r="S122" s="4">
        <v>16</v>
      </c>
      <c r="T122" s="4">
        <v>0</v>
      </c>
      <c r="U122" s="4">
        <v>0</v>
      </c>
      <c r="V122" s="61">
        <f>IF(ISERROR(VLOOKUP($S$122,'TAR FIN'!$A$1:$O$85,15,0)),0,VLOOKUP($S$122,'TAR FIN'!$A$1:$O$85,15,0))*(1-0.06)</f>
        <v>24.1204</v>
      </c>
      <c r="W122" s="61">
        <f>IF(ISERROR(VLOOKUP($T$122,'TAR FIN'!$A$1:$O$85,15,0)),0,VLOOKUP($T$122,'TAR FIN'!$A$1:$O$85,15,0))</f>
        <v>0</v>
      </c>
      <c r="X122" s="61">
        <f>IF(ISERROR(VLOOKUP($U$122,'TAR FIN'!$A$1:$O$85,15,0)),0,VLOOKUP($U$122,'TAR FIN'!$A$1:$O$85,15,0))</f>
        <v>0</v>
      </c>
      <c r="Y122" s="61">
        <f ca="1">('TUSD BE'!$AM$10+'TUSD BF'!$AM$10+'TUSD CVA'!$AM$10)*1*(1-0.03)</f>
        <v>24.433920211791385</v>
      </c>
      <c r="Z122" s="61"/>
      <c r="AA122" s="61"/>
      <c r="AB122" s="61">
        <f>(SUBSIDIO!$J$122*SUBSIDIO!$V$122)*(0.06)/(1-0.06)</f>
        <v>129.32640000000001</v>
      </c>
      <c r="AC122" s="61">
        <f>((SUBSIDIO!$L$122*SUBSIDIO!$W$122)+(SUBSIDIO!$N$122*SUBSIDIO!$X$122))*(0.06)/(1-0.06)</f>
        <v>0</v>
      </c>
      <c r="AD122" s="61">
        <f ca="1">(SUBSIDIO!$J$122*SUBSIDIO!$Y$122)*(0.03)/(1-0.03)</f>
        <v>63.477813333726075</v>
      </c>
      <c r="AE122" s="61">
        <f>((SUBSIDIO!$L$122*SUBSIDIO!$Z$122)+(SUBSIDIO!$N$122*SUBSIDIO!$AA$122))*(0.03)/(1-0.03)</f>
        <v>0</v>
      </c>
      <c r="AF122" s="4" t="s">
        <v>588</v>
      </c>
    </row>
    <row r="123" spans="1:32" ht="11.25" customHeight="1" x14ac:dyDescent="0.25">
      <c r="A123" s="4" t="s">
        <v>21</v>
      </c>
      <c r="B123" s="4" t="s">
        <v>35</v>
      </c>
      <c r="C123" s="4" t="s">
        <v>36</v>
      </c>
      <c r="D123" s="4" t="s">
        <v>46</v>
      </c>
      <c r="E123" s="4" t="s">
        <v>47</v>
      </c>
      <c r="F123" s="4" t="s">
        <v>25</v>
      </c>
      <c r="G123" s="4" t="s">
        <v>25</v>
      </c>
      <c r="H123" s="4" t="s">
        <v>25</v>
      </c>
      <c r="I123" s="5">
        <v>44593</v>
      </c>
      <c r="J123" s="6">
        <v>84</v>
      </c>
      <c r="K123" s="62">
        <v>84</v>
      </c>
      <c r="L123" s="6">
        <v>0</v>
      </c>
      <c r="M123" s="61">
        <v>0</v>
      </c>
      <c r="N123" s="6">
        <v>0</v>
      </c>
      <c r="O123" s="61">
        <v>0</v>
      </c>
      <c r="P123" s="6">
        <v>1</v>
      </c>
      <c r="Q123" s="4" t="s">
        <v>26</v>
      </c>
      <c r="R123" s="4">
        <v>0</v>
      </c>
      <c r="S123" s="4">
        <v>16</v>
      </c>
      <c r="T123" s="4">
        <v>0</v>
      </c>
      <c r="U123" s="4">
        <v>0</v>
      </c>
      <c r="V123" s="61">
        <f>IF(ISERROR(VLOOKUP($S$123,'TAR FIN'!$A$1:$O$85,15,0)),0,VLOOKUP($S$123,'TAR FIN'!$A$1:$O$85,15,0))*(1-0.06)</f>
        <v>24.1204</v>
      </c>
      <c r="W123" s="61">
        <f>IF(ISERROR(VLOOKUP($T$123,'TAR FIN'!$A$1:$O$85,15,0)),0,VLOOKUP($T$123,'TAR FIN'!$A$1:$O$85,15,0))</f>
        <v>0</v>
      </c>
      <c r="X123" s="61">
        <f>IF(ISERROR(VLOOKUP($U$123,'TAR FIN'!$A$1:$O$85,15,0)),0,VLOOKUP($U$123,'TAR FIN'!$A$1:$O$85,15,0))</f>
        <v>0</v>
      </c>
      <c r="Y123" s="61">
        <f ca="1">('TUSD BE'!$AM$10+'TUSD BF'!$AM$10+'TUSD CVA'!$AM$10)*1*(1-0.03)</f>
        <v>24.433920211791385</v>
      </c>
      <c r="Z123" s="61"/>
      <c r="AA123" s="61"/>
      <c r="AB123" s="61">
        <f>(SUBSIDIO!$J$123*SUBSIDIO!$V$123)*(0.06)/(1-0.06)</f>
        <v>129.32640000000001</v>
      </c>
      <c r="AC123" s="61">
        <f>((SUBSIDIO!$L$123*SUBSIDIO!$W$123)+(SUBSIDIO!$N$123*SUBSIDIO!$X$123))*(0.06)/(1-0.06)</f>
        <v>0</v>
      </c>
      <c r="AD123" s="61">
        <f ca="1">(SUBSIDIO!$J$123*SUBSIDIO!$Y$123)*(0.03)/(1-0.03)</f>
        <v>63.477813333726075</v>
      </c>
      <c r="AE123" s="61">
        <f>((SUBSIDIO!$L$123*SUBSIDIO!$Z$123)+(SUBSIDIO!$N$123*SUBSIDIO!$AA$123))*(0.03)/(1-0.03)</f>
        <v>0</v>
      </c>
      <c r="AF123" s="4" t="s">
        <v>588</v>
      </c>
    </row>
    <row r="124" spans="1:32" ht="11.25" customHeight="1" x14ac:dyDescent="0.25">
      <c r="A124" s="4" t="s">
        <v>21</v>
      </c>
      <c r="B124" s="4" t="s">
        <v>35</v>
      </c>
      <c r="C124" s="4" t="s">
        <v>36</v>
      </c>
      <c r="D124" s="4" t="s">
        <v>46</v>
      </c>
      <c r="E124" s="4" t="s">
        <v>47</v>
      </c>
      <c r="F124" s="4" t="s">
        <v>25</v>
      </c>
      <c r="G124" s="4" t="s">
        <v>25</v>
      </c>
      <c r="H124" s="4" t="s">
        <v>25</v>
      </c>
      <c r="I124" s="5">
        <v>44621</v>
      </c>
      <c r="J124" s="6">
        <v>85</v>
      </c>
      <c r="K124" s="62">
        <v>85</v>
      </c>
      <c r="L124" s="6">
        <v>0</v>
      </c>
      <c r="M124" s="61">
        <v>0</v>
      </c>
      <c r="N124" s="6">
        <v>0</v>
      </c>
      <c r="O124" s="61">
        <v>0</v>
      </c>
      <c r="P124" s="6">
        <v>1</v>
      </c>
      <c r="Q124" s="4" t="s">
        <v>26</v>
      </c>
      <c r="R124" s="4">
        <v>0</v>
      </c>
      <c r="S124" s="4">
        <v>16</v>
      </c>
      <c r="T124" s="4">
        <v>0</v>
      </c>
      <c r="U124" s="4">
        <v>0</v>
      </c>
      <c r="V124" s="61">
        <f>IF(ISERROR(VLOOKUP($S$124,'TAR FIN'!$A$1:$O$85,15,0)),0,VLOOKUP($S$124,'TAR FIN'!$A$1:$O$85,15,0))*(1-0.06)</f>
        <v>24.1204</v>
      </c>
      <c r="W124" s="61">
        <f>IF(ISERROR(VLOOKUP($T$124,'TAR FIN'!$A$1:$O$85,15,0)),0,VLOOKUP($T$124,'TAR FIN'!$A$1:$O$85,15,0))</f>
        <v>0</v>
      </c>
      <c r="X124" s="61">
        <f>IF(ISERROR(VLOOKUP($U$124,'TAR FIN'!$A$1:$O$85,15,0)),0,VLOOKUP($U$124,'TAR FIN'!$A$1:$O$85,15,0))</f>
        <v>0</v>
      </c>
      <c r="Y124" s="61">
        <f ca="1">('TUSD BE'!$AM$10+'TUSD BF'!$AM$10+'TUSD CVA'!$AM$10)*1*(1-0.03)</f>
        <v>24.433920211791385</v>
      </c>
      <c r="Z124" s="61"/>
      <c r="AA124" s="61"/>
      <c r="AB124" s="61">
        <f>(SUBSIDIO!$J$124*SUBSIDIO!$V$124)*(0.06)/(1-0.06)</f>
        <v>130.86600000000001</v>
      </c>
      <c r="AC124" s="61">
        <f>((SUBSIDIO!$L$124*SUBSIDIO!$W$124)+(SUBSIDIO!$N$124*SUBSIDIO!$X$124))*(0.06)/(1-0.06)</f>
        <v>0</v>
      </c>
      <c r="AD124" s="61">
        <f ca="1">(SUBSIDIO!$J$124*SUBSIDIO!$Y$124)*(0.03)/(1-0.03)</f>
        <v>64.23350158769901</v>
      </c>
      <c r="AE124" s="61">
        <f>((SUBSIDIO!$L$124*SUBSIDIO!$Z$124)+(SUBSIDIO!$N$124*SUBSIDIO!$AA$124))*(0.03)/(1-0.03)</f>
        <v>0</v>
      </c>
      <c r="AF124" s="4" t="s">
        <v>588</v>
      </c>
    </row>
    <row r="125" spans="1:32" ht="11.25" customHeight="1" x14ac:dyDescent="0.25">
      <c r="A125" s="4" t="s">
        <v>21</v>
      </c>
      <c r="B125" s="4" t="s">
        <v>35</v>
      </c>
      <c r="C125" s="4" t="s">
        <v>36</v>
      </c>
      <c r="D125" s="4" t="s">
        <v>46</v>
      </c>
      <c r="E125" s="4" t="s">
        <v>47</v>
      </c>
      <c r="F125" s="4" t="s">
        <v>25</v>
      </c>
      <c r="G125" s="4" t="s">
        <v>25</v>
      </c>
      <c r="H125" s="4" t="s">
        <v>25</v>
      </c>
      <c r="I125" s="5">
        <v>44652</v>
      </c>
      <c r="J125" s="6">
        <v>87</v>
      </c>
      <c r="K125" s="62">
        <v>87</v>
      </c>
      <c r="L125" s="6">
        <v>0</v>
      </c>
      <c r="M125" s="61">
        <v>0</v>
      </c>
      <c r="N125" s="6">
        <v>0</v>
      </c>
      <c r="O125" s="61">
        <v>0</v>
      </c>
      <c r="P125" s="6">
        <v>1</v>
      </c>
      <c r="Q125" s="4" t="s">
        <v>26</v>
      </c>
      <c r="R125" s="4">
        <v>0</v>
      </c>
      <c r="S125" s="4">
        <v>16</v>
      </c>
      <c r="T125" s="4">
        <v>0</v>
      </c>
      <c r="U125" s="4">
        <v>0</v>
      </c>
      <c r="V125" s="61">
        <f>IF(ISERROR(VLOOKUP($S$125,'TAR FIN'!$A$1:$O$85,15,0)),0,VLOOKUP($S$125,'TAR FIN'!$A$1:$O$85,15,0))*(1-0.06)</f>
        <v>24.1204</v>
      </c>
      <c r="W125" s="61">
        <f>IF(ISERROR(VLOOKUP($T$125,'TAR FIN'!$A$1:$O$85,15,0)),0,VLOOKUP($T$125,'TAR FIN'!$A$1:$O$85,15,0))</f>
        <v>0</v>
      </c>
      <c r="X125" s="61">
        <f>IF(ISERROR(VLOOKUP($U$125,'TAR FIN'!$A$1:$O$85,15,0)),0,VLOOKUP($U$125,'TAR FIN'!$A$1:$O$85,15,0))</f>
        <v>0</v>
      </c>
      <c r="Y125" s="61">
        <f ca="1">('TUSD BE'!$AM$10+'TUSD BF'!$AM$10+'TUSD CVA'!$AM$10)*1*(1-0.03)</f>
        <v>24.433920211791385</v>
      </c>
      <c r="Z125" s="61"/>
      <c r="AA125" s="61"/>
      <c r="AB125" s="61">
        <f>(SUBSIDIO!$J$125*SUBSIDIO!$V$125)*(0.06)/(1-0.06)</f>
        <v>133.9452</v>
      </c>
      <c r="AC125" s="61">
        <f>((SUBSIDIO!$L$125*SUBSIDIO!$W$125)+(SUBSIDIO!$N$125*SUBSIDIO!$X$125))*(0.06)/(1-0.06)</f>
        <v>0</v>
      </c>
      <c r="AD125" s="61">
        <f ca="1">(SUBSIDIO!$J$125*SUBSIDIO!$Y$125)*(0.03)/(1-0.03)</f>
        <v>65.744878095644864</v>
      </c>
      <c r="AE125" s="61">
        <f>((SUBSIDIO!$L$125*SUBSIDIO!$Z$125)+(SUBSIDIO!$N$125*SUBSIDIO!$AA$125))*(0.03)/(1-0.03)</f>
        <v>0</v>
      </c>
      <c r="AF125" s="4" t="s">
        <v>588</v>
      </c>
    </row>
    <row r="126" spans="1:32" ht="11.25" customHeight="1" x14ac:dyDescent="0.25">
      <c r="A126" s="4" t="s">
        <v>21</v>
      </c>
      <c r="B126" s="4" t="s">
        <v>35</v>
      </c>
      <c r="C126" s="4" t="s">
        <v>36</v>
      </c>
      <c r="D126" s="4" t="s">
        <v>46</v>
      </c>
      <c r="E126" s="4" t="s">
        <v>47</v>
      </c>
      <c r="F126" s="4" t="s">
        <v>25</v>
      </c>
      <c r="G126" s="4" t="s">
        <v>25</v>
      </c>
      <c r="H126" s="4" t="s">
        <v>25</v>
      </c>
      <c r="I126" s="5">
        <v>44682</v>
      </c>
      <c r="J126" s="6">
        <v>88</v>
      </c>
      <c r="K126" s="62">
        <v>88</v>
      </c>
      <c r="L126" s="6">
        <v>0</v>
      </c>
      <c r="M126" s="61">
        <v>0</v>
      </c>
      <c r="N126" s="6">
        <v>0</v>
      </c>
      <c r="O126" s="61">
        <v>0</v>
      </c>
      <c r="P126" s="6">
        <v>1</v>
      </c>
      <c r="Q126" s="4" t="s">
        <v>26</v>
      </c>
      <c r="R126" s="4">
        <v>0</v>
      </c>
      <c r="S126" s="4">
        <v>16</v>
      </c>
      <c r="T126" s="4">
        <v>0</v>
      </c>
      <c r="U126" s="4">
        <v>0</v>
      </c>
      <c r="V126" s="61">
        <f>IF(ISERROR(VLOOKUP($S$126,'TAR FIN'!$A$1:$O$85,15,0)),0,VLOOKUP($S$126,'TAR FIN'!$A$1:$O$85,15,0))*(1-0.06)</f>
        <v>24.1204</v>
      </c>
      <c r="W126" s="61">
        <f>IF(ISERROR(VLOOKUP($T$126,'TAR FIN'!$A$1:$O$85,15,0)),0,VLOOKUP($T$126,'TAR FIN'!$A$1:$O$85,15,0))</f>
        <v>0</v>
      </c>
      <c r="X126" s="61">
        <f>IF(ISERROR(VLOOKUP($U$126,'TAR FIN'!$A$1:$O$85,15,0)),0,VLOOKUP($U$126,'TAR FIN'!$A$1:$O$85,15,0))</f>
        <v>0</v>
      </c>
      <c r="Y126" s="61">
        <f ca="1">('TUSD BE'!$AM$10+'TUSD BF'!$AM$10+'TUSD CVA'!$AM$10)*1*(1-0.03)</f>
        <v>24.433920211791385</v>
      </c>
      <c r="Z126" s="61"/>
      <c r="AA126" s="61"/>
      <c r="AB126" s="61">
        <f>(SUBSIDIO!$J$126*SUBSIDIO!$V$126)*(0.06)/(1-0.06)</f>
        <v>135.48480000000001</v>
      </c>
      <c r="AC126" s="61">
        <f>((SUBSIDIO!$L$126*SUBSIDIO!$W$126)+(SUBSIDIO!$N$126*SUBSIDIO!$X$126))*(0.06)/(1-0.06)</f>
        <v>0</v>
      </c>
      <c r="AD126" s="61">
        <f ca="1">(SUBSIDIO!$J$126*SUBSIDIO!$Y$126)*(0.03)/(1-0.03)</f>
        <v>66.500566349617799</v>
      </c>
      <c r="AE126" s="61">
        <f>((SUBSIDIO!$L$126*SUBSIDIO!$Z$126)+(SUBSIDIO!$N$126*SUBSIDIO!$AA$126))*(0.03)/(1-0.03)</f>
        <v>0</v>
      </c>
      <c r="AF126" s="4" t="s">
        <v>588</v>
      </c>
    </row>
    <row r="127" spans="1:32" ht="11.25" customHeight="1" x14ac:dyDescent="0.25">
      <c r="A127" s="4" t="s">
        <v>21</v>
      </c>
      <c r="B127" s="4" t="s">
        <v>35</v>
      </c>
      <c r="C127" s="4" t="s">
        <v>36</v>
      </c>
      <c r="D127" s="4" t="s">
        <v>46</v>
      </c>
      <c r="E127" s="4" t="s">
        <v>47</v>
      </c>
      <c r="F127" s="4" t="s">
        <v>25</v>
      </c>
      <c r="G127" s="4" t="s">
        <v>25</v>
      </c>
      <c r="H127" s="4" t="s">
        <v>25</v>
      </c>
      <c r="I127" s="5">
        <v>44713</v>
      </c>
      <c r="J127" s="6">
        <v>88</v>
      </c>
      <c r="K127" s="62">
        <v>88</v>
      </c>
      <c r="L127" s="6">
        <v>0</v>
      </c>
      <c r="M127" s="61">
        <v>0</v>
      </c>
      <c r="N127" s="6">
        <v>0</v>
      </c>
      <c r="O127" s="61">
        <v>0</v>
      </c>
      <c r="P127" s="6">
        <v>1</v>
      </c>
      <c r="Q127" s="4" t="s">
        <v>26</v>
      </c>
      <c r="R127" s="4">
        <v>0</v>
      </c>
      <c r="S127" s="4">
        <v>16</v>
      </c>
      <c r="T127" s="4">
        <v>0</v>
      </c>
      <c r="U127" s="4">
        <v>0</v>
      </c>
      <c r="V127" s="61">
        <f>IF(ISERROR(VLOOKUP($S$127,'TAR FIN'!$A$1:$O$85,15,0)),0,VLOOKUP($S$127,'TAR FIN'!$A$1:$O$85,15,0))*(1-0.06)</f>
        <v>24.1204</v>
      </c>
      <c r="W127" s="61">
        <f>IF(ISERROR(VLOOKUP($T$127,'TAR FIN'!$A$1:$O$85,15,0)),0,VLOOKUP($T$127,'TAR FIN'!$A$1:$O$85,15,0))</f>
        <v>0</v>
      </c>
      <c r="X127" s="61">
        <f>IF(ISERROR(VLOOKUP($U$127,'TAR FIN'!$A$1:$O$85,15,0)),0,VLOOKUP($U$127,'TAR FIN'!$A$1:$O$85,15,0))</f>
        <v>0</v>
      </c>
      <c r="Y127" s="61">
        <f ca="1">('TUSD BE'!$AM$10+'TUSD BF'!$AM$10+'TUSD CVA'!$AM$10)*1*(1-0.03)</f>
        <v>24.433920211791385</v>
      </c>
      <c r="Z127" s="61"/>
      <c r="AA127" s="61"/>
      <c r="AB127" s="61">
        <f>(SUBSIDIO!$J$127*SUBSIDIO!$V$127)*(0.06)/(1-0.06)</f>
        <v>135.48480000000001</v>
      </c>
      <c r="AC127" s="61">
        <f>((SUBSIDIO!$L$127*SUBSIDIO!$W$127)+(SUBSIDIO!$N$127*SUBSIDIO!$X$127))*(0.06)/(1-0.06)</f>
        <v>0</v>
      </c>
      <c r="AD127" s="61">
        <f ca="1">(SUBSIDIO!$J$127*SUBSIDIO!$Y$127)*(0.03)/(1-0.03)</f>
        <v>66.500566349617799</v>
      </c>
      <c r="AE127" s="61">
        <f>((SUBSIDIO!$L$127*SUBSIDIO!$Z$127)+(SUBSIDIO!$N$127*SUBSIDIO!$AA$127))*(0.03)/(1-0.03)</f>
        <v>0</v>
      </c>
      <c r="AF127" s="4" t="s">
        <v>588</v>
      </c>
    </row>
    <row r="128" spans="1:32" ht="11.25" customHeight="1" x14ac:dyDescent="0.25">
      <c r="A128" s="4" t="s">
        <v>21</v>
      </c>
      <c r="B128" s="4" t="s">
        <v>35</v>
      </c>
      <c r="C128" s="4" t="s">
        <v>36</v>
      </c>
      <c r="D128" s="4" t="s">
        <v>46</v>
      </c>
      <c r="E128" s="4" t="s">
        <v>47</v>
      </c>
      <c r="F128" s="4" t="s">
        <v>25</v>
      </c>
      <c r="G128" s="4" t="s">
        <v>25</v>
      </c>
      <c r="H128" s="4" t="s">
        <v>25</v>
      </c>
      <c r="I128" s="5">
        <v>44743</v>
      </c>
      <c r="J128" s="6">
        <v>88</v>
      </c>
      <c r="K128" s="62">
        <v>88</v>
      </c>
      <c r="L128" s="6">
        <v>0</v>
      </c>
      <c r="M128" s="61">
        <v>0</v>
      </c>
      <c r="N128" s="6">
        <v>0</v>
      </c>
      <c r="O128" s="61">
        <v>0</v>
      </c>
      <c r="P128" s="6">
        <v>1</v>
      </c>
      <c r="Q128" s="4" t="s">
        <v>26</v>
      </c>
      <c r="R128" s="4">
        <v>0</v>
      </c>
      <c r="S128" s="4">
        <v>16</v>
      </c>
      <c r="T128" s="4">
        <v>0</v>
      </c>
      <c r="U128" s="4">
        <v>0</v>
      </c>
      <c r="V128" s="61">
        <f>IF(ISERROR(VLOOKUP($S$128,'TAR FIN'!$A$1:$O$85,15,0)),0,VLOOKUP($S$128,'TAR FIN'!$A$1:$O$85,15,0))*(1-0.06)</f>
        <v>24.1204</v>
      </c>
      <c r="W128" s="61">
        <f>IF(ISERROR(VLOOKUP($T$128,'TAR FIN'!$A$1:$O$85,15,0)),0,VLOOKUP($T$128,'TAR FIN'!$A$1:$O$85,15,0))</f>
        <v>0</v>
      </c>
      <c r="X128" s="61">
        <f>IF(ISERROR(VLOOKUP($U$128,'TAR FIN'!$A$1:$O$85,15,0)),0,VLOOKUP($U$128,'TAR FIN'!$A$1:$O$85,15,0))</f>
        <v>0</v>
      </c>
      <c r="Y128" s="61">
        <f ca="1">('TUSD BE'!$AM$10+'TUSD BF'!$AM$10+'TUSD CVA'!$AM$10)*1*(1-0.03)</f>
        <v>24.433920211791385</v>
      </c>
      <c r="Z128" s="61"/>
      <c r="AA128" s="61"/>
      <c r="AB128" s="61">
        <f>(SUBSIDIO!$J$128*SUBSIDIO!$V$128)*(0.06)/(1-0.06)</f>
        <v>135.48480000000001</v>
      </c>
      <c r="AC128" s="61">
        <f>((SUBSIDIO!$L$128*SUBSIDIO!$W$128)+(SUBSIDIO!$N$128*SUBSIDIO!$X$128))*(0.06)/(1-0.06)</f>
        <v>0</v>
      </c>
      <c r="AD128" s="61">
        <f ca="1">(SUBSIDIO!$J$128*SUBSIDIO!$Y$128)*(0.03)/(1-0.03)</f>
        <v>66.500566349617799</v>
      </c>
      <c r="AE128" s="61">
        <f>((SUBSIDIO!$L$128*SUBSIDIO!$Z$128)+(SUBSIDIO!$N$128*SUBSIDIO!$AA$128))*(0.03)/(1-0.03)</f>
        <v>0</v>
      </c>
      <c r="AF128" s="4" t="s">
        <v>588</v>
      </c>
    </row>
    <row r="129" spans="1:32" ht="11.25" customHeight="1" x14ac:dyDescent="0.25">
      <c r="A129" s="4" t="s">
        <v>21</v>
      </c>
      <c r="B129" s="4" t="s">
        <v>35</v>
      </c>
      <c r="C129" s="4" t="s">
        <v>36</v>
      </c>
      <c r="D129" s="4" t="s">
        <v>46</v>
      </c>
      <c r="E129" s="4" t="s">
        <v>47</v>
      </c>
      <c r="F129" s="4" t="s">
        <v>25</v>
      </c>
      <c r="G129" s="4" t="s">
        <v>25</v>
      </c>
      <c r="H129" s="4" t="s">
        <v>25</v>
      </c>
      <c r="I129" s="5">
        <v>44774</v>
      </c>
      <c r="J129" s="6">
        <v>88</v>
      </c>
      <c r="K129" s="62">
        <v>88</v>
      </c>
      <c r="L129" s="6">
        <v>0</v>
      </c>
      <c r="M129" s="61">
        <v>0</v>
      </c>
      <c r="N129" s="6">
        <v>0</v>
      </c>
      <c r="O129" s="61">
        <v>0</v>
      </c>
      <c r="P129" s="6">
        <v>1</v>
      </c>
      <c r="Q129" s="4" t="s">
        <v>26</v>
      </c>
      <c r="R129" s="4">
        <v>0</v>
      </c>
      <c r="S129" s="4">
        <v>16</v>
      </c>
      <c r="T129" s="4">
        <v>0</v>
      </c>
      <c r="U129" s="4">
        <v>0</v>
      </c>
      <c r="V129" s="61">
        <f>IF(ISERROR(VLOOKUP($S$129,'TAR FIN'!$A$1:$O$85,15,0)),0,VLOOKUP($S$129,'TAR FIN'!$A$1:$O$85,15,0))*(1-0.06)</f>
        <v>24.1204</v>
      </c>
      <c r="W129" s="61">
        <f>IF(ISERROR(VLOOKUP($T$129,'TAR FIN'!$A$1:$O$85,15,0)),0,VLOOKUP($T$129,'TAR FIN'!$A$1:$O$85,15,0))</f>
        <v>0</v>
      </c>
      <c r="X129" s="61">
        <f>IF(ISERROR(VLOOKUP($U$129,'TAR FIN'!$A$1:$O$85,15,0)),0,VLOOKUP($U$129,'TAR FIN'!$A$1:$O$85,15,0))</f>
        <v>0</v>
      </c>
      <c r="Y129" s="61">
        <f ca="1">('TUSD BE'!$AM$10+'TUSD BF'!$AM$10+'TUSD CVA'!$AM$10)*1*(1-0.03)</f>
        <v>24.433920211791385</v>
      </c>
      <c r="Z129" s="61"/>
      <c r="AA129" s="61"/>
      <c r="AB129" s="61">
        <f>(SUBSIDIO!$J$129*SUBSIDIO!$V$129)*(0.06)/(1-0.06)</f>
        <v>135.48480000000001</v>
      </c>
      <c r="AC129" s="61">
        <f>((SUBSIDIO!$L$129*SUBSIDIO!$W$129)+(SUBSIDIO!$N$129*SUBSIDIO!$X$129))*(0.06)/(1-0.06)</f>
        <v>0</v>
      </c>
      <c r="AD129" s="61">
        <f ca="1">(SUBSIDIO!$J$129*SUBSIDIO!$Y$129)*(0.03)/(1-0.03)</f>
        <v>66.500566349617799</v>
      </c>
      <c r="AE129" s="61">
        <f>((SUBSIDIO!$L$129*SUBSIDIO!$Z$129)+(SUBSIDIO!$N$129*SUBSIDIO!$AA$129))*(0.03)/(1-0.03)</f>
        <v>0</v>
      </c>
      <c r="AF129" s="4" t="s">
        <v>588</v>
      </c>
    </row>
    <row r="130" spans="1:32" ht="11.25" customHeight="1" x14ac:dyDescent="0.25">
      <c r="A130" s="4" t="s">
        <v>21</v>
      </c>
      <c r="B130" s="4" t="s">
        <v>35</v>
      </c>
      <c r="C130" s="4" t="s">
        <v>36</v>
      </c>
      <c r="D130" s="4" t="s">
        <v>46</v>
      </c>
      <c r="E130" s="4" t="s">
        <v>47</v>
      </c>
      <c r="F130" s="4" t="s">
        <v>25</v>
      </c>
      <c r="G130" s="4" t="s">
        <v>25</v>
      </c>
      <c r="H130" s="4" t="s">
        <v>37</v>
      </c>
      <c r="I130" s="5">
        <v>44440</v>
      </c>
      <c r="J130" s="6">
        <v>0</v>
      </c>
      <c r="K130" s="61">
        <v>0</v>
      </c>
      <c r="L130" s="6">
        <v>1.157</v>
      </c>
      <c r="M130" s="61">
        <v>1.157</v>
      </c>
      <c r="N130" s="6">
        <v>1.157</v>
      </c>
      <c r="O130" s="61">
        <v>1.157</v>
      </c>
      <c r="P130" s="6">
        <v>0</v>
      </c>
      <c r="Q130" s="4" t="s">
        <v>26</v>
      </c>
      <c r="R130" s="4">
        <v>0</v>
      </c>
      <c r="S130" s="4">
        <v>0</v>
      </c>
      <c r="T130" s="4">
        <v>25</v>
      </c>
      <c r="U130" s="4">
        <v>44</v>
      </c>
      <c r="V130" s="61">
        <f>IF(ISERROR(VLOOKUP($S$130,'TAR FIN'!$A$1:$O$85,15,0)),0,VLOOKUP($S$130,'TAR FIN'!$A$1:$O$85,15,0))</f>
        <v>0</v>
      </c>
      <c r="W130" s="61">
        <f>IF(ISERROR(VLOOKUP($T$130,'TAR FIN'!$A$1:$O$85,15,0)),0,VLOOKUP($T$130,'TAR FIN'!$A$1:$O$85,15,0))*(1-0.06)</f>
        <v>1807.2063999999998</v>
      </c>
      <c r="X130" s="61">
        <f>IF(ISERROR(VLOOKUP($U$130,'TAR FIN'!$A$1:$O$85,15,0)),0,VLOOKUP($U$130,'TAR FIN'!$A$1:$O$85,15,0))*(1-0.06)</f>
        <v>132.84079999999997</v>
      </c>
      <c r="Y130" s="61"/>
      <c r="Z130" s="61">
        <f ca="1">('TUSD BE'!$AM$11+'TUSD BF'!$AM$11+'TUSD CVA'!$AM$11)*1*(1-0.03)</f>
        <v>1873.752279053374</v>
      </c>
      <c r="AA130" s="61">
        <f>('TE BE'!$AB$5+'TE BF'!$AB$5+'TE CVA'!$AB$5)*1*(1-0.03)</f>
        <v>131.73207366460716</v>
      </c>
      <c r="AB130" s="61">
        <f>(SUBSIDIO!$J$130*SUBSIDIO!$V$130)*(0.06)/(1-0.06)</f>
        <v>0</v>
      </c>
      <c r="AC130" s="61">
        <f>((SUBSIDIO!$L$130*SUBSIDIO!$W$130)+(SUBSIDIO!$N$130*SUBSIDIO!$X$130))*(0.06)/(1-0.06)</f>
        <v>143.2745496</v>
      </c>
      <c r="AD130" s="61">
        <f>(SUBSIDIO!$J$130*SUBSIDIO!$Y$130)*(0.03)/(1-0.03)</f>
        <v>0</v>
      </c>
      <c r="AE130" s="61">
        <f ca="1">((SUBSIDIO!$L$130*SUBSIDIO!$Z$130)+(SUBSIDIO!$N$130*SUBSIDIO!$AA$130))*(0.03)/(1-0.03)</f>
        <v>71.763259673032081</v>
      </c>
      <c r="AF130" s="4" t="s">
        <v>588</v>
      </c>
    </row>
    <row r="131" spans="1:32" ht="11.25" customHeight="1" x14ac:dyDescent="0.25">
      <c r="A131" s="4" t="s">
        <v>21</v>
      </c>
      <c r="B131" s="4" t="s">
        <v>35</v>
      </c>
      <c r="C131" s="4" t="s">
        <v>36</v>
      </c>
      <c r="D131" s="4" t="s">
        <v>46</v>
      </c>
      <c r="E131" s="4" t="s">
        <v>47</v>
      </c>
      <c r="F131" s="4" t="s">
        <v>25</v>
      </c>
      <c r="G131" s="4" t="s">
        <v>25</v>
      </c>
      <c r="H131" s="4" t="s">
        <v>37</v>
      </c>
      <c r="I131" s="5">
        <v>44470</v>
      </c>
      <c r="J131" s="6">
        <v>0</v>
      </c>
      <c r="K131" s="61">
        <v>0</v>
      </c>
      <c r="L131" s="6">
        <v>2.4889999999999999</v>
      </c>
      <c r="M131" s="61">
        <v>2.4889999999999999</v>
      </c>
      <c r="N131" s="6">
        <v>2.4889999999999999</v>
      </c>
      <c r="O131" s="61">
        <v>2.4889999999999999</v>
      </c>
      <c r="P131" s="6">
        <v>0</v>
      </c>
      <c r="Q131" s="4" t="s">
        <v>26</v>
      </c>
      <c r="R131" s="4">
        <v>0</v>
      </c>
      <c r="S131" s="4">
        <v>0</v>
      </c>
      <c r="T131" s="4">
        <v>25</v>
      </c>
      <c r="U131" s="4">
        <v>44</v>
      </c>
      <c r="V131" s="61">
        <f>IF(ISERROR(VLOOKUP($S$131,'TAR FIN'!$A$1:$O$85,15,0)),0,VLOOKUP($S$131,'TAR FIN'!$A$1:$O$85,15,0))</f>
        <v>0</v>
      </c>
      <c r="W131" s="61">
        <f>IF(ISERROR(VLOOKUP($T$131,'TAR FIN'!$A$1:$O$85,15,0)),0,VLOOKUP($T$131,'TAR FIN'!$A$1:$O$85,15,0))*(1-0.06)</f>
        <v>1807.2063999999998</v>
      </c>
      <c r="X131" s="61">
        <f>IF(ISERROR(VLOOKUP($U$131,'TAR FIN'!$A$1:$O$85,15,0)),0,VLOOKUP($U$131,'TAR FIN'!$A$1:$O$85,15,0))*(1-0.06)</f>
        <v>132.84079999999997</v>
      </c>
      <c r="Y131" s="61"/>
      <c r="Z131" s="61">
        <f ca="1">('TUSD BE'!$AM$11+'TUSD BF'!$AM$11+'TUSD CVA'!$AM$11)*1*(1-0.03)</f>
        <v>1873.752279053374</v>
      </c>
      <c r="AA131" s="61">
        <f>('TE BE'!$AB$5+'TE BF'!$AB$5+'TE CVA'!$AB$5)*1*(1-0.03)</f>
        <v>131.73207366460716</v>
      </c>
      <c r="AB131" s="61">
        <f>(SUBSIDIO!$J$131*SUBSIDIO!$V$131)*(0.06)/(1-0.06)</f>
        <v>0</v>
      </c>
      <c r="AC131" s="61">
        <f>((SUBSIDIO!$L$131*SUBSIDIO!$W$131)+(SUBSIDIO!$N$131*SUBSIDIO!$X$131))*(0.06)/(1-0.06)</f>
        <v>308.21983919999991</v>
      </c>
      <c r="AD131" s="61">
        <f>(SUBSIDIO!$J$131*SUBSIDIO!$Y$131)*(0.03)/(1-0.03)</f>
        <v>0</v>
      </c>
      <c r="AE131" s="61">
        <f ca="1">((SUBSIDIO!$L$131*SUBSIDIO!$Z$131)+(SUBSIDIO!$N$131*SUBSIDIO!$AA$131))*(0.03)/(1-0.03)</f>
        <v>154.38094496644499</v>
      </c>
      <c r="AF131" s="4" t="s">
        <v>588</v>
      </c>
    </row>
    <row r="132" spans="1:32" ht="11.25" customHeight="1" x14ac:dyDescent="0.25">
      <c r="A132" s="4" t="s">
        <v>21</v>
      </c>
      <c r="B132" s="4" t="s">
        <v>35</v>
      </c>
      <c r="C132" s="4" t="s">
        <v>36</v>
      </c>
      <c r="D132" s="4" t="s">
        <v>46</v>
      </c>
      <c r="E132" s="4" t="s">
        <v>47</v>
      </c>
      <c r="F132" s="4" t="s">
        <v>25</v>
      </c>
      <c r="G132" s="4" t="s">
        <v>25</v>
      </c>
      <c r="H132" s="4" t="s">
        <v>37</v>
      </c>
      <c r="I132" s="5">
        <v>44501</v>
      </c>
      <c r="J132" s="6">
        <v>0</v>
      </c>
      <c r="K132" s="61">
        <v>0</v>
      </c>
      <c r="L132" s="6">
        <v>4.4770000000000003</v>
      </c>
      <c r="M132" s="61">
        <v>4.4770000000000003</v>
      </c>
      <c r="N132" s="6">
        <v>4.4770000000000003</v>
      </c>
      <c r="O132" s="61">
        <v>4.4770000000000003</v>
      </c>
      <c r="P132" s="6">
        <v>0</v>
      </c>
      <c r="Q132" s="4" t="s">
        <v>26</v>
      </c>
      <c r="R132" s="4">
        <v>0</v>
      </c>
      <c r="S132" s="4">
        <v>0</v>
      </c>
      <c r="T132" s="4">
        <v>25</v>
      </c>
      <c r="U132" s="4">
        <v>44</v>
      </c>
      <c r="V132" s="61">
        <f>IF(ISERROR(VLOOKUP($S$132,'TAR FIN'!$A$1:$O$85,15,0)),0,VLOOKUP($S$132,'TAR FIN'!$A$1:$O$85,15,0))</f>
        <v>0</v>
      </c>
      <c r="W132" s="61">
        <f>IF(ISERROR(VLOOKUP($T$132,'TAR FIN'!$A$1:$O$85,15,0)),0,VLOOKUP($T$132,'TAR FIN'!$A$1:$O$85,15,0))*(1-0.06)</f>
        <v>1807.2063999999998</v>
      </c>
      <c r="X132" s="61">
        <f>IF(ISERROR(VLOOKUP($U$132,'TAR FIN'!$A$1:$O$85,15,0)),0,VLOOKUP($U$132,'TAR FIN'!$A$1:$O$85,15,0))*(1-0.06)</f>
        <v>132.84079999999997</v>
      </c>
      <c r="Y132" s="61"/>
      <c r="Z132" s="61">
        <f ca="1">('TUSD BE'!$AM$11+'TUSD BF'!$AM$11+'TUSD CVA'!$AM$11)*1*(1-0.03)</f>
        <v>1873.752279053374</v>
      </c>
      <c r="AA132" s="61">
        <f>('TE BE'!$AB$5+'TE BF'!$AB$5+'TE CVA'!$AB$5)*1*(1-0.03)</f>
        <v>131.73207366460716</v>
      </c>
      <c r="AB132" s="61">
        <f>(SUBSIDIO!$J$132*SUBSIDIO!$V$132)*(0.06)/(1-0.06)</f>
        <v>0</v>
      </c>
      <c r="AC132" s="61">
        <f>((SUBSIDIO!$L$132*SUBSIDIO!$W$132)+(SUBSIDIO!$N$132*SUBSIDIO!$X$132))*(0.06)/(1-0.06)</f>
        <v>554.39944559999992</v>
      </c>
      <c r="AD132" s="61">
        <f>(SUBSIDIO!$J$132*SUBSIDIO!$Y$132)*(0.03)/(1-0.03)</f>
        <v>0</v>
      </c>
      <c r="AE132" s="61">
        <f ca="1">((SUBSIDIO!$L$132*SUBSIDIO!$Z$132)+(SUBSIDIO!$N$132*SUBSIDIO!$AA$132))*(0.03)/(1-0.03)</f>
        <v>277.68722001397117</v>
      </c>
      <c r="AF132" s="4" t="s">
        <v>588</v>
      </c>
    </row>
    <row r="133" spans="1:32" ht="11.25" customHeight="1" x14ac:dyDescent="0.25">
      <c r="A133" s="4" t="s">
        <v>21</v>
      </c>
      <c r="B133" s="4" t="s">
        <v>35</v>
      </c>
      <c r="C133" s="4" t="s">
        <v>36</v>
      </c>
      <c r="D133" s="4" t="s">
        <v>46</v>
      </c>
      <c r="E133" s="4" t="s">
        <v>47</v>
      </c>
      <c r="F133" s="4" t="s">
        <v>25</v>
      </c>
      <c r="G133" s="4" t="s">
        <v>25</v>
      </c>
      <c r="H133" s="4" t="s">
        <v>37</v>
      </c>
      <c r="I133" s="5">
        <v>44531</v>
      </c>
      <c r="J133" s="6">
        <v>0</v>
      </c>
      <c r="K133" s="61">
        <v>0</v>
      </c>
      <c r="L133" s="6">
        <v>5.694</v>
      </c>
      <c r="M133" s="61">
        <v>5.694</v>
      </c>
      <c r="N133" s="6">
        <v>5.694</v>
      </c>
      <c r="O133" s="61">
        <v>5.694</v>
      </c>
      <c r="P133" s="6">
        <v>0</v>
      </c>
      <c r="Q133" s="4" t="s">
        <v>26</v>
      </c>
      <c r="R133" s="4">
        <v>0</v>
      </c>
      <c r="S133" s="4">
        <v>0</v>
      </c>
      <c r="T133" s="4">
        <v>25</v>
      </c>
      <c r="U133" s="4">
        <v>44</v>
      </c>
      <c r="V133" s="61">
        <f>IF(ISERROR(VLOOKUP($S$133,'TAR FIN'!$A$1:$O$85,15,0)),0,VLOOKUP($S$133,'TAR FIN'!$A$1:$O$85,15,0))</f>
        <v>0</v>
      </c>
      <c r="W133" s="61">
        <f>IF(ISERROR(VLOOKUP($T$133,'TAR FIN'!$A$1:$O$85,15,0)),0,VLOOKUP($T$133,'TAR FIN'!$A$1:$O$85,15,0))*(1-0.06)</f>
        <v>1807.2063999999998</v>
      </c>
      <c r="X133" s="61">
        <f>IF(ISERROR(VLOOKUP($U$133,'TAR FIN'!$A$1:$O$85,15,0)),0,VLOOKUP($U$133,'TAR FIN'!$A$1:$O$85,15,0))*(1-0.06)</f>
        <v>132.84079999999997</v>
      </c>
      <c r="Y133" s="61"/>
      <c r="Z133" s="61">
        <f ca="1">('TUSD BE'!$AM$11+'TUSD BF'!$AM$11+'TUSD CVA'!$AM$11)*1*(1-0.03)</f>
        <v>1873.752279053374</v>
      </c>
      <c r="AA133" s="61">
        <f>('TE BE'!$AB$5+'TE BF'!$AB$5+'TE CVA'!$AB$5)*1*(1-0.03)</f>
        <v>131.73207366460716</v>
      </c>
      <c r="AB133" s="61">
        <f>(SUBSIDIO!$J$133*SUBSIDIO!$V$133)*(0.06)/(1-0.06)</f>
        <v>0</v>
      </c>
      <c r="AC133" s="61">
        <f>((SUBSIDIO!$L$133*SUBSIDIO!$W$133)+(SUBSIDIO!$N$133*SUBSIDIO!$X$133))*(0.06)/(1-0.06)</f>
        <v>705.10396319999995</v>
      </c>
      <c r="AD133" s="61">
        <f>(SUBSIDIO!$J$133*SUBSIDIO!$Y$133)*(0.03)/(1-0.03)</f>
        <v>0</v>
      </c>
      <c r="AE133" s="61">
        <f ca="1">((SUBSIDIO!$L$133*SUBSIDIO!$Z$133)+(SUBSIDIO!$N$133*SUBSIDIO!$AA$133))*(0.03)/(1-0.03)</f>
        <v>353.1719970425624</v>
      </c>
      <c r="AF133" s="4" t="s">
        <v>588</v>
      </c>
    </row>
    <row r="134" spans="1:32" ht="11.25" customHeight="1" x14ac:dyDescent="0.25">
      <c r="A134" s="4" t="s">
        <v>21</v>
      </c>
      <c r="B134" s="4" t="s">
        <v>35</v>
      </c>
      <c r="C134" s="4" t="s">
        <v>36</v>
      </c>
      <c r="D134" s="4" t="s">
        <v>46</v>
      </c>
      <c r="E134" s="4" t="s">
        <v>47</v>
      </c>
      <c r="F134" s="4" t="s">
        <v>25</v>
      </c>
      <c r="G134" s="4" t="s">
        <v>25</v>
      </c>
      <c r="H134" s="4" t="s">
        <v>37</v>
      </c>
      <c r="I134" s="5">
        <v>44562</v>
      </c>
      <c r="J134" s="6">
        <v>0</v>
      </c>
      <c r="K134" s="61">
        <v>0</v>
      </c>
      <c r="L134" s="6">
        <v>4.8470000000000004</v>
      </c>
      <c r="M134" s="61">
        <v>4.8470000000000004</v>
      </c>
      <c r="N134" s="6">
        <v>4.8470000000000004</v>
      </c>
      <c r="O134" s="61">
        <v>4.8470000000000004</v>
      </c>
      <c r="P134" s="6">
        <v>0</v>
      </c>
      <c r="Q134" s="4" t="s">
        <v>26</v>
      </c>
      <c r="R134" s="4">
        <v>0</v>
      </c>
      <c r="S134" s="4">
        <v>0</v>
      </c>
      <c r="T134" s="4">
        <v>25</v>
      </c>
      <c r="U134" s="4">
        <v>44</v>
      </c>
      <c r="V134" s="61">
        <f>IF(ISERROR(VLOOKUP($S$134,'TAR FIN'!$A$1:$O$85,15,0)),0,VLOOKUP($S$134,'TAR FIN'!$A$1:$O$85,15,0))</f>
        <v>0</v>
      </c>
      <c r="W134" s="61">
        <f>IF(ISERROR(VLOOKUP($T$134,'TAR FIN'!$A$1:$O$85,15,0)),0,VLOOKUP($T$134,'TAR FIN'!$A$1:$O$85,15,0))*(1-0.06)</f>
        <v>1807.2063999999998</v>
      </c>
      <c r="X134" s="61">
        <f>IF(ISERROR(VLOOKUP($U$134,'TAR FIN'!$A$1:$O$85,15,0)),0,VLOOKUP($U$134,'TAR FIN'!$A$1:$O$85,15,0))*(1-0.06)</f>
        <v>132.84079999999997</v>
      </c>
      <c r="Y134" s="61"/>
      <c r="Z134" s="61">
        <f ca="1">('TUSD BE'!$AM$11+'TUSD BF'!$AM$11+'TUSD CVA'!$AM$11)*1*(1-0.03)</f>
        <v>1873.752279053374</v>
      </c>
      <c r="AA134" s="61">
        <f>('TE BE'!$AB$5+'TE BF'!$AB$5+'TE CVA'!$AB$5)*1*(1-0.03)</f>
        <v>131.73207366460716</v>
      </c>
      <c r="AB134" s="61">
        <f>(SUBSIDIO!$J$134*SUBSIDIO!$V$134)*(0.06)/(1-0.06)</f>
        <v>0</v>
      </c>
      <c r="AC134" s="61">
        <f>((SUBSIDIO!$L$134*SUBSIDIO!$W$134)+(SUBSIDIO!$N$134*SUBSIDIO!$X$134))*(0.06)/(1-0.06)</f>
        <v>600.21758160000013</v>
      </c>
      <c r="AD134" s="61">
        <f>(SUBSIDIO!$J$134*SUBSIDIO!$Y$134)*(0.03)/(1-0.03)</f>
        <v>0</v>
      </c>
      <c r="AE134" s="61">
        <f ca="1">((SUBSIDIO!$L$134*SUBSIDIO!$Z$134)+(SUBSIDIO!$N$134*SUBSIDIO!$AA$134))*(0.03)/(1-0.03)</f>
        <v>300.63657703991919</v>
      </c>
      <c r="AF134" s="4" t="s">
        <v>588</v>
      </c>
    </row>
    <row r="135" spans="1:32" ht="11.25" customHeight="1" x14ac:dyDescent="0.25">
      <c r="A135" s="4" t="s">
        <v>21</v>
      </c>
      <c r="B135" s="4" t="s">
        <v>35</v>
      </c>
      <c r="C135" s="4" t="s">
        <v>36</v>
      </c>
      <c r="D135" s="4" t="s">
        <v>46</v>
      </c>
      <c r="E135" s="4" t="s">
        <v>47</v>
      </c>
      <c r="F135" s="4" t="s">
        <v>25</v>
      </c>
      <c r="G135" s="4" t="s">
        <v>25</v>
      </c>
      <c r="H135" s="4" t="s">
        <v>37</v>
      </c>
      <c r="I135" s="5">
        <v>44593</v>
      </c>
      <c r="J135" s="6">
        <v>0</v>
      </c>
      <c r="K135" s="61">
        <v>0</v>
      </c>
      <c r="L135" s="6">
        <v>4.827</v>
      </c>
      <c r="M135" s="61">
        <v>4.827</v>
      </c>
      <c r="N135" s="6">
        <v>4.827</v>
      </c>
      <c r="O135" s="61">
        <v>4.827</v>
      </c>
      <c r="P135" s="6">
        <v>0</v>
      </c>
      <c r="Q135" s="4" t="s">
        <v>26</v>
      </c>
      <c r="R135" s="4">
        <v>0</v>
      </c>
      <c r="S135" s="4">
        <v>0</v>
      </c>
      <c r="T135" s="4">
        <v>25</v>
      </c>
      <c r="U135" s="4">
        <v>44</v>
      </c>
      <c r="V135" s="61">
        <f>IF(ISERROR(VLOOKUP($S$135,'TAR FIN'!$A$1:$O$85,15,0)),0,VLOOKUP($S$135,'TAR FIN'!$A$1:$O$85,15,0))</f>
        <v>0</v>
      </c>
      <c r="W135" s="61">
        <f>IF(ISERROR(VLOOKUP($T$135,'TAR FIN'!$A$1:$O$85,15,0)),0,VLOOKUP($T$135,'TAR FIN'!$A$1:$O$85,15,0))*(1-0.06)</f>
        <v>1807.2063999999998</v>
      </c>
      <c r="X135" s="61">
        <f>IF(ISERROR(VLOOKUP($U$135,'TAR FIN'!$A$1:$O$85,15,0)),0,VLOOKUP($U$135,'TAR FIN'!$A$1:$O$85,15,0))*(1-0.06)</f>
        <v>132.84079999999997</v>
      </c>
      <c r="Y135" s="61"/>
      <c r="Z135" s="61">
        <f ca="1">('TUSD BE'!$AM$11+'TUSD BF'!$AM$11+'TUSD CVA'!$AM$11)*1*(1-0.03)</f>
        <v>1873.752279053374</v>
      </c>
      <c r="AA135" s="61">
        <f>('TE BE'!$AB$5+'TE BF'!$AB$5+'TE CVA'!$AB$5)*1*(1-0.03)</f>
        <v>131.73207366460716</v>
      </c>
      <c r="AB135" s="61">
        <f>(SUBSIDIO!$J$135*SUBSIDIO!$V$135)*(0.06)/(1-0.06)</f>
        <v>0</v>
      </c>
      <c r="AC135" s="61">
        <f>((SUBSIDIO!$L$135*SUBSIDIO!$W$135)+(SUBSIDIO!$N$135*SUBSIDIO!$X$135))*(0.06)/(1-0.06)</f>
        <v>597.74092559999997</v>
      </c>
      <c r="AD135" s="61">
        <f>(SUBSIDIO!$J$135*SUBSIDIO!$Y$135)*(0.03)/(1-0.03)</f>
        <v>0</v>
      </c>
      <c r="AE135" s="61">
        <f ca="1">((SUBSIDIO!$L$135*SUBSIDIO!$Z$135)+(SUBSIDIO!$N$135*SUBSIDIO!$AA$135))*(0.03)/(1-0.03)</f>
        <v>299.39607125473287</v>
      </c>
      <c r="AF135" s="4" t="s">
        <v>588</v>
      </c>
    </row>
    <row r="136" spans="1:32" ht="11.25" customHeight="1" x14ac:dyDescent="0.25">
      <c r="A136" s="4" t="s">
        <v>21</v>
      </c>
      <c r="B136" s="4" t="s">
        <v>35</v>
      </c>
      <c r="C136" s="4" t="s">
        <v>36</v>
      </c>
      <c r="D136" s="4" t="s">
        <v>46</v>
      </c>
      <c r="E136" s="4" t="s">
        <v>47</v>
      </c>
      <c r="F136" s="4" t="s">
        <v>25</v>
      </c>
      <c r="G136" s="4" t="s">
        <v>25</v>
      </c>
      <c r="H136" s="4" t="s">
        <v>37</v>
      </c>
      <c r="I136" s="5">
        <v>44621</v>
      </c>
      <c r="J136" s="6">
        <v>0</v>
      </c>
      <c r="K136" s="61">
        <v>0</v>
      </c>
      <c r="L136" s="6">
        <v>5.0430000000000001</v>
      </c>
      <c r="M136" s="61">
        <v>5.0430000000000001</v>
      </c>
      <c r="N136" s="6">
        <v>5.0430000000000001</v>
      </c>
      <c r="O136" s="61">
        <v>5.0430000000000001</v>
      </c>
      <c r="P136" s="6">
        <v>0</v>
      </c>
      <c r="Q136" s="4" t="s">
        <v>26</v>
      </c>
      <c r="R136" s="4">
        <v>0</v>
      </c>
      <c r="S136" s="4">
        <v>0</v>
      </c>
      <c r="T136" s="4">
        <v>25</v>
      </c>
      <c r="U136" s="4">
        <v>44</v>
      </c>
      <c r="V136" s="61">
        <f>IF(ISERROR(VLOOKUP($S$136,'TAR FIN'!$A$1:$O$85,15,0)),0,VLOOKUP($S$136,'TAR FIN'!$A$1:$O$85,15,0))</f>
        <v>0</v>
      </c>
      <c r="W136" s="61">
        <f>IF(ISERROR(VLOOKUP($T$136,'TAR FIN'!$A$1:$O$85,15,0)),0,VLOOKUP($T$136,'TAR FIN'!$A$1:$O$85,15,0))*(1-0.06)</f>
        <v>1807.2063999999998</v>
      </c>
      <c r="X136" s="61">
        <f>IF(ISERROR(VLOOKUP($U$136,'TAR FIN'!$A$1:$O$85,15,0)),0,VLOOKUP($U$136,'TAR FIN'!$A$1:$O$85,15,0))*(1-0.06)</f>
        <v>132.84079999999997</v>
      </c>
      <c r="Y136" s="61"/>
      <c r="Z136" s="61">
        <f ca="1">('TUSD BE'!$AM$11+'TUSD BF'!$AM$11+'TUSD CVA'!$AM$11)*1*(1-0.03)</f>
        <v>1873.752279053374</v>
      </c>
      <c r="AA136" s="61">
        <f>('TE BE'!$AB$5+'TE BF'!$AB$5+'TE CVA'!$AB$5)*1*(1-0.03)</f>
        <v>131.73207366460716</v>
      </c>
      <c r="AB136" s="61">
        <f>(SUBSIDIO!$J$136*SUBSIDIO!$V$136)*(0.06)/(1-0.06)</f>
        <v>0</v>
      </c>
      <c r="AC136" s="61">
        <f>((SUBSIDIO!$L$136*SUBSIDIO!$W$136)+(SUBSIDIO!$N$136*SUBSIDIO!$X$136))*(0.06)/(1-0.06)</f>
        <v>624.48881039999992</v>
      </c>
      <c r="AD136" s="61">
        <f>(SUBSIDIO!$J$136*SUBSIDIO!$Y$136)*(0.03)/(1-0.03)</f>
        <v>0</v>
      </c>
      <c r="AE136" s="61">
        <f ca="1">((SUBSIDIO!$L$136*SUBSIDIO!$Z$136)+(SUBSIDIO!$N$136*SUBSIDIO!$AA$136))*(0.03)/(1-0.03)</f>
        <v>312.79353373474572</v>
      </c>
      <c r="AF136" s="4" t="s">
        <v>588</v>
      </c>
    </row>
    <row r="137" spans="1:32" ht="11.25" customHeight="1" x14ac:dyDescent="0.25">
      <c r="A137" s="4" t="s">
        <v>21</v>
      </c>
      <c r="B137" s="4" t="s">
        <v>35</v>
      </c>
      <c r="C137" s="4" t="s">
        <v>36</v>
      </c>
      <c r="D137" s="4" t="s">
        <v>46</v>
      </c>
      <c r="E137" s="4" t="s">
        <v>47</v>
      </c>
      <c r="F137" s="4" t="s">
        <v>25</v>
      </c>
      <c r="G137" s="4" t="s">
        <v>25</v>
      </c>
      <c r="H137" s="4" t="s">
        <v>37</v>
      </c>
      <c r="I137" s="5">
        <v>44652</v>
      </c>
      <c r="J137" s="6">
        <v>0</v>
      </c>
      <c r="K137" s="61">
        <v>0</v>
      </c>
      <c r="L137" s="6">
        <v>3.74</v>
      </c>
      <c r="M137" s="61">
        <v>3.74</v>
      </c>
      <c r="N137" s="6">
        <v>3.74</v>
      </c>
      <c r="O137" s="61">
        <v>3.74</v>
      </c>
      <c r="P137" s="6">
        <v>0</v>
      </c>
      <c r="Q137" s="4" t="s">
        <v>26</v>
      </c>
      <c r="R137" s="4">
        <v>0</v>
      </c>
      <c r="S137" s="4">
        <v>0</v>
      </c>
      <c r="T137" s="4">
        <v>25</v>
      </c>
      <c r="U137" s="4">
        <v>44</v>
      </c>
      <c r="V137" s="61">
        <f>IF(ISERROR(VLOOKUP($S$137,'TAR FIN'!$A$1:$O$85,15,0)),0,VLOOKUP($S$137,'TAR FIN'!$A$1:$O$85,15,0))</f>
        <v>0</v>
      </c>
      <c r="W137" s="61">
        <f>IF(ISERROR(VLOOKUP($T$137,'TAR FIN'!$A$1:$O$85,15,0)),0,VLOOKUP($T$137,'TAR FIN'!$A$1:$O$85,15,0))*(1-0.06)</f>
        <v>1807.2063999999998</v>
      </c>
      <c r="X137" s="61">
        <f>IF(ISERROR(VLOOKUP($U$137,'TAR FIN'!$A$1:$O$85,15,0)),0,VLOOKUP($U$137,'TAR FIN'!$A$1:$O$85,15,0))*(1-0.06)</f>
        <v>132.84079999999997</v>
      </c>
      <c r="Y137" s="61"/>
      <c r="Z137" s="61">
        <f ca="1">('TUSD BE'!$AM$11+'TUSD BF'!$AM$11+'TUSD CVA'!$AM$11)*1*(1-0.03)</f>
        <v>1873.752279053374</v>
      </c>
      <c r="AA137" s="61">
        <f>('TE BE'!$AB$5+'TE BF'!$AB$5+'TE CVA'!$AB$5)*1*(1-0.03)</f>
        <v>131.73207366460716</v>
      </c>
      <c r="AB137" s="61">
        <f>(SUBSIDIO!$J$137*SUBSIDIO!$V$137)*(0.06)/(1-0.06)</f>
        <v>0</v>
      </c>
      <c r="AC137" s="61">
        <f>((SUBSIDIO!$L$137*SUBSIDIO!$W$137)+(SUBSIDIO!$N$137*SUBSIDIO!$X$137))*(0.06)/(1-0.06)</f>
        <v>463.13467199999997</v>
      </c>
      <c r="AD137" s="61">
        <f>(SUBSIDIO!$J$137*SUBSIDIO!$Y$137)*(0.03)/(1-0.03)</f>
        <v>0</v>
      </c>
      <c r="AE137" s="61">
        <f ca="1">((SUBSIDIO!$L$137*SUBSIDIO!$Z$137)+(SUBSIDIO!$N$137*SUBSIDIO!$AA$137))*(0.03)/(1-0.03)</f>
        <v>231.97458182985309</v>
      </c>
      <c r="AF137" s="4" t="s">
        <v>588</v>
      </c>
    </row>
    <row r="138" spans="1:32" ht="11.25" customHeight="1" x14ac:dyDescent="0.25">
      <c r="A138" s="4" t="s">
        <v>21</v>
      </c>
      <c r="B138" s="4" t="s">
        <v>35</v>
      </c>
      <c r="C138" s="4" t="s">
        <v>36</v>
      </c>
      <c r="D138" s="4" t="s">
        <v>46</v>
      </c>
      <c r="E138" s="4" t="s">
        <v>47</v>
      </c>
      <c r="F138" s="4" t="s">
        <v>25</v>
      </c>
      <c r="G138" s="4" t="s">
        <v>25</v>
      </c>
      <c r="H138" s="4" t="s">
        <v>37</v>
      </c>
      <c r="I138" s="5">
        <v>44682</v>
      </c>
      <c r="J138" s="6">
        <v>0</v>
      </c>
      <c r="K138" s="61">
        <v>0</v>
      </c>
      <c r="L138" s="6">
        <v>0.52400000000000002</v>
      </c>
      <c r="M138" s="61">
        <v>0.52400000000000002</v>
      </c>
      <c r="N138" s="6">
        <v>0.52400000000000002</v>
      </c>
      <c r="O138" s="61">
        <v>0.52400000000000002</v>
      </c>
      <c r="P138" s="6">
        <v>0</v>
      </c>
      <c r="Q138" s="4" t="s">
        <v>26</v>
      </c>
      <c r="R138" s="4">
        <v>0</v>
      </c>
      <c r="S138" s="4">
        <v>0</v>
      </c>
      <c r="T138" s="4">
        <v>25</v>
      </c>
      <c r="U138" s="4">
        <v>44</v>
      </c>
      <c r="V138" s="61">
        <f>IF(ISERROR(VLOOKUP($S$138,'TAR FIN'!$A$1:$O$85,15,0)),0,VLOOKUP($S$138,'TAR FIN'!$A$1:$O$85,15,0))</f>
        <v>0</v>
      </c>
      <c r="W138" s="61">
        <f>IF(ISERROR(VLOOKUP($T$138,'TAR FIN'!$A$1:$O$85,15,0)),0,VLOOKUP($T$138,'TAR FIN'!$A$1:$O$85,15,0))*(1-0.06)</f>
        <v>1807.2063999999998</v>
      </c>
      <c r="X138" s="61">
        <f>IF(ISERROR(VLOOKUP($U$138,'TAR FIN'!$A$1:$O$85,15,0)),0,VLOOKUP($U$138,'TAR FIN'!$A$1:$O$85,15,0))*(1-0.06)</f>
        <v>132.84079999999997</v>
      </c>
      <c r="Y138" s="61"/>
      <c r="Z138" s="61">
        <f ca="1">('TUSD BE'!$AM$11+'TUSD BF'!$AM$11+'TUSD CVA'!$AM$11)*1*(1-0.03)</f>
        <v>1873.752279053374</v>
      </c>
      <c r="AA138" s="61">
        <f>('TE BE'!$AB$5+'TE BF'!$AB$5+'TE CVA'!$AB$5)*1*(1-0.03)</f>
        <v>131.73207366460716</v>
      </c>
      <c r="AB138" s="61">
        <f>(SUBSIDIO!$J$138*SUBSIDIO!$V$138)*(0.06)/(1-0.06)</f>
        <v>0</v>
      </c>
      <c r="AC138" s="61">
        <f>((SUBSIDIO!$L$138*SUBSIDIO!$W$138)+(SUBSIDIO!$N$138*SUBSIDIO!$X$138))*(0.06)/(1-0.06)</f>
        <v>64.888387199999997</v>
      </c>
      <c r="AD138" s="61">
        <f>(SUBSIDIO!$J$138*SUBSIDIO!$Y$138)*(0.03)/(1-0.03)</f>
        <v>0</v>
      </c>
      <c r="AE138" s="61">
        <f ca="1">((SUBSIDIO!$L$138*SUBSIDIO!$Z$138)+(SUBSIDIO!$N$138*SUBSIDIO!$AA$138))*(0.03)/(1-0.03)</f>
        <v>32.501251571883159</v>
      </c>
      <c r="AF138" s="4" t="s">
        <v>588</v>
      </c>
    </row>
    <row r="139" spans="1:32" ht="11.25" customHeight="1" x14ac:dyDescent="0.25">
      <c r="A139" s="4" t="s">
        <v>21</v>
      </c>
      <c r="B139" s="4" t="s">
        <v>35</v>
      </c>
      <c r="C139" s="4" t="s">
        <v>36</v>
      </c>
      <c r="D139" s="4" t="s">
        <v>46</v>
      </c>
      <c r="E139" s="4" t="s">
        <v>47</v>
      </c>
      <c r="F139" s="4" t="s">
        <v>25</v>
      </c>
      <c r="G139" s="4" t="s">
        <v>25</v>
      </c>
      <c r="H139" s="4" t="s">
        <v>37</v>
      </c>
      <c r="I139" s="5">
        <v>44743</v>
      </c>
      <c r="J139" s="6">
        <v>0</v>
      </c>
      <c r="K139" s="61">
        <v>0</v>
      </c>
      <c r="L139" s="6">
        <v>0.77600000000000002</v>
      </c>
      <c r="M139" s="61">
        <v>0.77600000000000002</v>
      </c>
      <c r="N139" s="6">
        <v>0.77600000000000002</v>
      </c>
      <c r="O139" s="61">
        <v>0.77600000000000002</v>
      </c>
      <c r="P139" s="6">
        <v>0</v>
      </c>
      <c r="Q139" s="4" t="s">
        <v>26</v>
      </c>
      <c r="R139" s="4">
        <v>0</v>
      </c>
      <c r="S139" s="4">
        <v>0</v>
      </c>
      <c r="T139" s="4">
        <v>25</v>
      </c>
      <c r="U139" s="4">
        <v>44</v>
      </c>
      <c r="V139" s="61">
        <f>IF(ISERROR(VLOOKUP($S$139,'TAR FIN'!$A$1:$O$85,15,0)),0,VLOOKUP($S$139,'TAR FIN'!$A$1:$O$85,15,0))</f>
        <v>0</v>
      </c>
      <c r="W139" s="61">
        <f>IF(ISERROR(VLOOKUP($T$139,'TAR FIN'!$A$1:$O$85,15,0)),0,VLOOKUP($T$139,'TAR FIN'!$A$1:$O$85,15,0))*(1-0.06)</f>
        <v>1807.2063999999998</v>
      </c>
      <c r="X139" s="61">
        <f>IF(ISERROR(VLOOKUP($U$139,'TAR FIN'!$A$1:$O$85,15,0)),0,VLOOKUP($U$139,'TAR FIN'!$A$1:$O$85,15,0))*(1-0.06)</f>
        <v>132.84079999999997</v>
      </c>
      <c r="Y139" s="61"/>
      <c r="Z139" s="61">
        <f ca="1">('TUSD BE'!$AM$11+'TUSD BF'!$AM$11+'TUSD CVA'!$AM$11)*1*(1-0.03)</f>
        <v>1873.752279053374</v>
      </c>
      <c r="AA139" s="61">
        <f>('TE BE'!$AB$5+'TE BF'!$AB$5+'TE CVA'!$AB$5)*1*(1-0.03)</f>
        <v>131.73207366460716</v>
      </c>
      <c r="AB139" s="61">
        <f>(SUBSIDIO!$J$139*SUBSIDIO!$V$139)*(0.06)/(1-0.06)</f>
        <v>0</v>
      </c>
      <c r="AC139" s="61">
        <f>((SUBSIDIO!$L$139*SUBSIDIO!$W$139)+(SUBSIDIO!$N$139*SUBSIDIO!$X$139))*(0.06)/(1-0.06)</f>
        <v>96.094252800000007</v>
      </c>
      <c r="AD139" s="61">
        <f>(SUBSIDIO!$J$139*SUBSIDIO!$Y$139)*(0.03)/(1-0.03)</f>
        <v>0</v>
      </c>
      <c r="AE139" s="61">
        <f ca="1">((SUBSIDIO!$L$139*SUBSIDIO!$Z$139)+(SUBSIDIO!$N$139*SUBSIDIO!$AA$139))*(0.03)/(1-0.03)</f>
        <v>48.13162446523156</v>
      </c>
      <c r="AF139" s="4" t="s">
        <v>588</v>
      </c>
    </row>
    <row r="140" spans="1:32" ht="11.25" customHeight="1" x14ac:dyDescent="0.25">
      <c r="A140" s="4" t="s">
        <v>21</v>
      </c>
      <c r="B140" s="4" t="s">
        <v>35</v>
      </c>
      <c r="C140" s="4" t="s">
        <v>36</v>
      </c>
      <c r="D140" s="4" t="s">
        <v>46</v>
      </c>
      <c r="E140" s="4" t="s">
        <v>47</v>
      </c>
      <c r="F140" s="4" t="s">
        <v>25</v>
      </c>
      <c r="G140" s="4" t="s">
        <v>25</v>
      </c>
      <c r="H140" s="4" t="s">
        <v>37</v>
      </c>
      <c r="I140" s="5">
        <v>44774</v>
      </c>
      <c r="J140" s="6">
        <v>0</v>
      </c>
      <c r="K140" s="61">
        <v>0</v>
      </c>
      <c r="L140" s="6">
        <v>2.86</v>
      </c>
      <c r="M140" s="61">
        <v>2.86</v>
      </c>
      <c r="N140" s="6">
        <v>2.86</v>
      </c>
      <c r="O140" s="61">
        <v>2.86</v>
      </c>
      <c r="P140" s="6">
        <v>0</v>
      </c>
      <c r="Q140" s="4" t="s">
        <v>26</v>
      </c>
      <c r="R140" s="4">
        <v>0</v>
      </c>
      <c r="S140" s="4">
        <v>0</v>
      </c>
      <c r="T140" s="4">
        <v>25</v>
      </c>
      <c r="U140" s="4">
        <v>44</v>
      </c>
      <c r="V140" s="61">
        <f>IF(ISERROR(VLOOKUP($S$140,'TAR FIN'!$A$1:$O$85,15,0)),0,VLOOKUP($S$140,'TAR FIN'!$A$1:$O$85,15,0))</f>
        <v>0</v>
      </c>
      <c r="W140" s="61">
        <f>IF(ISERROR(VLOOKUP($T$140,'TAR FIN'!$A$1:$O$85,15,0)),0,VLOOKUP($T$140,'TAR FIN'!$A$1:$O$85,15,0))*(1-0.06)</f>
        <v>1807.2063999999998</v>
      </c>
      <c r="X140" s="61">
        <f>IF(ISERROR(VLOOKUP($U$140,'TAR FIN'!$A$1:$O$85,15,0)),0,VLOOKUP($U$140,'TAR FIN'!$A$1:$O$85,15,0))*(1-0.06)</f>
        <v>132.84079999999997</v>
      </c>
      <c r="Y140" s="61"/>
      <c r="Z140" s="61">
        <f ca="1">('TUSD BE'!$AM$11+'TUSD BF'!$AM$11+'TUSD CVA'!$AM$11)*1*(1-0.03)</f>
        <v>1873.752279053374</v>
      </c>
      <c r="AA140" s="61">
        <f>('TE BE'!$AB$5+'TE BF'!$AB$5+'TE CVA'!$AB$5)*1*(1-0.03)</f>
        <v>131.73207366460716</v>
      </c>
      <c r="AB140" s="61">
        <f>(SUBSIDIO!$J$140*SUBSIDIO!$V$140)*(0.06)/(1-0.06)</f>
        <v>0</v>
      </c>
      <c r="AC140" s="61">
        <f>((SUBSIDIO!$L$140*SUBSIDIO!$W$140)+(SUBSIDIO!$N$140*SUBSIDIO!$X$140))*(0.06)/(1-0.06)</f>
        <v>354.16180799999995</v>
      </c>
      <c r="AD140" s="61">
        <f>(SUBSIDIO!$J$140*SUBSIDIO!$Y$140)*(0.03)/(1-0.03)</f>
        <v>0</v>
      </c>
      <c r="AE140" s="61">
        <f ca="1">((SUBSIDIO!$L$140*SUBSIDIO!$Z$140)+(SUBSIDIO!$N$140*SUBSIDIO!$AA$140))*(0.03)/(1-0.03)</f>
        <v>177.39232728165234</v>
      </c>
      <c r="AF140" s="4" t="s">
        <v>588</v>
      </c>
    </row>
    <row r="141" spans="1:32" ht="11.25" customHeight="1" x14ac:dyDescent="0.25">
      <c r="A141" s="4" t="s">
        <v>21</v>
      </c>
      <c r="B141" s="4" t="s">
        <v>22</v>
      </c>
      <c r="C141" s="4" t="s">
        <v>23</v>
      </c>
      <c r="D141" s="4" t="s">
        <v>24</v>
      </c>
      <c r="E141" s="4" t="s">
        <v>24</v>
      </c>
      <c r="F141" s="4" t="s">
        <v>25</v>
      </c>
      <c r="G141" s="4" t="s">
        <v>25</v>
      </c>
      <c r="H141" s="4" t="s">
        <v>25</v>
      </c>
      <c r="I141" s="5">
        <v>44440</v>
      </c>
      <c r="J141" s="6">
        <v>0</v>
      </c>
      <c r="K141" s="6">
        <v>0</v>
      </c>
      <c r="L141" s="6">
        <v>753.95</v>
      </c>
      <c r="M141" s="6">
        <v>753.95</v>
      </c>
      <c r="N141" s="6">
        <v>753.95</v>
      </c>
      <c r="O141" s="6">
        <v>753.95</v>
      </c>
      <c r="P141" s="6">
        <v>4009</v>
      </c>
      <c r="Q141" s="4" t="s">
        <v>26</v>
      </c>
      <c r="R141" s="4">
        <v>0</v>
      </c>
      <c r="S141" s="4">
        <v>0</v>
      </c>
      <c r="T141" s="4">
        <v>2</v>
      </c>
      <c r="U141" s="4">
        <v>32</v>
      </c>
      <c r="V141" s="6">
        <f>IF(ISERROR(VLOOKUP($S$141,'TAR FIN'!$A$1:$O$85,15,0)),0,VLOOKUP($S$141,'TAR FIN'!$A$1:$O$85,15,0))</f>
        <v>0</v>
      </c>
      <c r="W141" s="6">
        <f>IF(ISERROR(VLOOKUP($T$141,'TAR FIN'!$A$1:$O$85,15,0)),0,VLOOKUP($T$141,'TAR FIN'!$A$1:$O$85,15,0))</f>
        <v>377.01</v>
      </c>
      <c r="X141" s="6">
        <f>IF(ISERROR(VLOOKUP($U$141,'TAR FIN'!$A$1:$O$85,15,0)),0,VLOOKUP($U$141,'TAR FIN'!$A$1:$O$85,15,0))</f>
        <v>141.32</v>
      </c>
      <c r="Y141" s="6"/>
      <c r="Z141" s="6">
        <f ca="1">('TUSD BE'!$AM$20+'TUSD BF'!$AM$20+'TUSD CVA'!$AM$20)*1</f>
        <v>415.67450254064073</v>
      </c>
      <c r="AA141" s="6">
        <f>('TE BE'!$AB$10+'TE BF'!$AB$10+'TE CVA'!$AB$10)*1</f>
        <v>135.80626150990429</v>
      </c>
      <c r="AB141" s="6">
        <f t="shared" ref="AB141:AB193" si="8">(J141-K141)*V141</f>
        <v>0</v>
      </c>
      <c r="AC141" s="6">
        <f t="shared" ref="AC141" si="9">(L141-M141)*W141+(N141-O141)*X141</f>
        <v>0</v>
      </c>
      <c r="AD141" s="6">
        <f t="shared" ref="AD141:AD193" si="10">(J141-K141)*Y141</f>
        <v>0</v>
      </c>
      <c r="AE141" s="6">
        <f t="shared" ref="AE141" ca="1" si="11">(L141-M141)*Z141+(N141-O141)*AA141</f>
        <v>0</v>
      </c>
    </row>
    <row r="142" spans="1:32" ht="11.25" customHeight="1" x14ac:dyDescent="0.25">
      <c r="A142" s="4" t="s">
        <v>21</v>
      </c>
      <c r="B142" s="4" t="s">
        <v>22</v>
      </c>
      <c r="C142" s="4" t="s">
        <v>23</v>
      </c>
      <c r="D142" s="4" t="s">
        <v>24</v>
      </c>
      <c r="E142" s="4" t="s">
        <v>29</v>
      </c>
      <c r="F142" s="4" t="s">
        <v>25</v>
      </c>
      <c r="G142" s="4" t="s">
        <v>25</v>
      </c>
      <c r="H142" s="4" t="s">
        <v>25</v>
      </c>
      <c r="I142" s="5">
        <v>44440</v>
      </c>
      <c r="J142" s="6">
        <v>0</v>
      </c>
      <c r="K142" s="6">
        <v>0</v>
      </c>
      <c r="L142" s="6">
        <v>1.0249999999999999</v>
      </c>
      <c r="M142" s="6">
        <v>1.0249999999999999</v>
      </c>
      <c r="N142" s="6">
        <v>1.0249999999999999</v>
      </c>
      <c r="O142" s="6">
        <v>1.0249999999999999</v>
      </c>
      <c r="P142" s="6">
        <v>3</v>
      </c>
      <c r="Q142" s="4" t="s">
        <v>26</v>
      </c>
      <c r="R142" s="4">
        <v>0</v>
      </c>
      <c r="S142" s="4">
        <v>0</v>
      </c>
      <c r="T142" s="4">
        <v>21</v>
      </c>
      <c r="U142" s="4">
        <v>39</v>
      </c>
      <c r="V142" s="6">
        <f>IF(ISERROR(VLOOKUP($S$142,'TAR FIN'!$A$1:$O$85,15,0)),0,VLOOKUP($S$142,'TAR FIN'!$A$1:$O$85,15,0))</f>
        <v>0</v>
      </c>
      <c r="W142" s="6">
        <f>IF(ISERROR(VLOOKUP($T$142,'TAR FIN'!$A$1:$O$85,15,0)),0,VLOOKUP($T$142,'TAR FIN'!$A$1:$O$85,15,0))</f>
        <v>108.8</v>
      </c>
      <c r="X142" s="6">
        <f>IF(ISERROR(VLOOKUP($U$142,'TAR FIN'!$A$1:$O$85,15,0)),0,VLOOKUP($U$142,'TAR FIN'!$A$1:$O$85,15,0))</f>
        <v>49.46</v>
      </c>
      <c r="Y142" s="6"/>
      <c r="Z142" s="6">
        <f ca="1">('TUSD BE'!$AM$21+'TUSD BF'!$AM$21+'TUSD CVA'!$AM$21-('TUSD BE'!$P$21+'TUSD BF'!$P$21+'TUSD CVA'!$P$21)-('TUSD BE'!$Q$21+'TUSD BF'!$Q$21+'TUSD CVA'!$Q$21)-('TUSD BE'!$R$21+'TUSD BF'!$R$21+'TUSD CVA'!$R$21))*(1-CUSTOS!$M$34)</f>
        <v>108.24753272667745</v>
      </c>
      <c r="AA142" s="6">
        <f>('TE BE'!$AB$11+'TE BF'!$AB$11+'TE CVA'!$AB$11)*(1-CUSTOS!$M$34)</f>
        <v>47.532191528466498</v>
      </c>
      <c r="AB142" s="6">
        <f t="shared" si="8"/>
        <v>0</v>
      </c>
      <c r="AC142" s="6">
        <f>(L142-M142)*(W142+X142)+($W$182+$X$182-$W$142-$X$142)*(L142)</f>
        <v>301.24749999999995</v>
      </c>
      <c r="AD142" s="6">
        <f t="shared" si="10"/>
        <v>0</v>
      </c>
      <c r="AE142" s="6">
        <f ca="1">(L142-M142)*(Z142+AA142)+($Z$182+$AA$182-$Z$142-$AA$142)*(L142)</f>
        <v>296.53783224282756</v>
      </c>
      <c r="AF142" s="4" t="s">
        <v>591</v>
      </c>
    </row>
    <row r="143" spans="1:32" ht="11.25" customHeight="1" x14ac:dyDescent="0.25">
      <c r="A143" s="4" t="s">
        <v>21</v>
      </c>
      <c r="B143" s="4" t="s">
        <v>22</v>
      </c>
      <c r="C143" s="4" t="s">
        <v>23</v>
      </c>
      <c r="D143" s="4" t="s">
        <v>24</v>
      </c>
      <c r="E143" s="4" t="s">
        <v>29</v>
      </c>
      <c r="F143" s="4" t="s">
        <v>25</v>
      </c>
      <c r="G143" s="4" t="s">
        <v>25</v>
      </c>
      <c r="H143" s="4" t="s">
        <v>25</v>
      </c>
      <c r="I143" s="5">
        <v>44470</v>
      </c>
      <c r="J143" s="6">
        <v>0</v>
      </c>
      <c r="K143" s="6">
        <v>0</v>
      </c>
      <c r="L143" s="6">
        <v>1.05</v>
      </c>
      <c r="M143" s="6">
        <v>1.05</v>
      </c>
      <c r="N143" s="6">
        <v>1.05</v>
      </c>
      <c r="O143" s="6">
        <v>1.05</v>
      </c>
      <c r="P143" s="6">
        <v>0</v>
      </c>
      <c r="Q143" s="4" t="s">
        <v>26</v>
      </c>
      <c r="R143" s="4">
        <v>0</v>
      </c>
      <c r="S143" s="4">
        <v>0</v>
      </c>
      <c r="T143" s="4">
        <v>21</v>
      </c>
      <c r="U143" s="4">
        <v>39</v>
      </c>
      <c r="V143" s="6">
        <f>IF(ISERROR(VLOOKUP($S$143,'TAR FIN'!$A$1:$O$85,15,0)),0,VLOOKUP($S$143,'TAR FIN'!$A$1:$O$85,15,0))</f>
        <v>0</v>
      </c>
      <c r="W143" s="6">
        <f>IF(ISERROR(VLOOKUP($T$143,'TAR FIN'!$A$1:$O$85,15,0)),0,VLOOKUP($T$143,'TAR FIN'!$A$1:$O$85,15,0))</f>
        <v>108.8</v>
      </c>
      <c r="X143" s="6">
        <f>IF(ISERROR(VLOOKUP($U$143,'TAR FIN'!$A$1:$O$85,15,0)),0,VLOOKUP($U$143,'TAR FIN'!$A$1:$O$85,15,0))</f>
        <v>49.46</v>
      </c>
      <c r="Y143" s="6"/>
      <c r="Z143" s="6">
        <f ca="1">('TUSD BE'!$AM$21+'TUSD BF'!$AM$21+'TUSD CVA'!$AM$21-('TUSD BE'!$P$21+'TUSD BF'!$P$21+'TUSD CVA'!$P$21)-('TUSD BE'!$Q$21+'TUSD BF'!$Q$21+'TUSD CVA'!$Q$21)-('TUSD BE'!$R$21+'TUSD BF'!$R$21+'TUSD CVA'!$R$21))*(1-CUSTOS!$M$34)</f>
        <v>108.24753272667745</v>
      </c>
      <c r="AA143" s="6">
        <f>('TE BE'!$AB$11+'TE BF'!$AB$11+'TE CVA'!$AB$11)*(1-CUSTOS!$M$34)</f>
        <v>47.532191528466498</v>
      </c>
      <c r="AB143" s="6">
        <f t="shared" si="8"/>
        <v>0</v>
      </c>
      <c r="AC143" s="6">
        <f>(L143-M143)*(W143+X143)+($W$182+$X$182-$W$143-$X$143)*(L143)</f>
        <v>308.59499999999997</v>
      </c>
      <c r="AD143" s="6">
        <f t="shared" si="10"/>
        <v>0</v>
      </c>
      <c r="AE143" s="6">
        <f ca="1">(L143-M143)*(Z143+AA143)+($Z$182+$AA$182-$Z$143-$AA$143)*(L143)</f>
        <v>303.77046229753074</v>
      </c>
      <c r="AF143" s="4" t="s">
        <v>591</v>
      </c>
    </row>
    <row r="144" spans="1:32" ht="11.25" customHeight="1" x14ac:dyDescent="0.25">
      <c r="A144" s="4" t="s">
        <v>21</v>
      </c>
      <c r="B144" s="4" t="s">
        <v>22</v>
      </c>
      <c r="C144" s="4" t="s">
        <v>23</v>
      </c>
      <c r="D144" s="4" t="s">
        <v>24</v>
      </c>
      <c r="E144" s="4" t="s">
        <v>29</v>
      </c>
      <c r="F144" s="4" t="s">
        <v>25</v>
      </c>
      <c r="G144" s="4" t="s">
        <v>25</v>
      </c>
      <c r="H144" s="4" t="s">
        <v>25</v>
      </c>
      <c r="I144" s="5">
        <v>44501</v>
      </c>
      <c r="J144" s="6">
        <v>0</v>
      </c>
      <c r="K144" s="6">
        <v>0</v>
      </c>
      <c r="L144" s="6">
        <v>1.1399999999999999</v>
      </c>
      <c r="M144" s="6">
        <v>1.1399999999999999</v>
      </c>
      <c r="N144" s="6">
        <v>1.1399999999999999</v>
      </c>
      <c r="O144" s="6">
        <v>1.1399999999999999</v>
      </c>
      <c r="P144" s="6">
        <v>1</v>
      </c>
      <c r="Q144" s="4" t="s">
        <v>26</v>
      </c>
      <c r="R144" s="4">
        <v>0</v>
      </c>
      <c r="S144" s="4">
        <v>0</v>
      </c>
      <c r="T144" s="4">
        <v>21</v>
      </c>
      <c r="U144" s="4">
        <v>39</v>
      </c>
      <c r="V144" s="6">
        <f>IF(ISERROR(VLOOKUP($S$144,'TAR FIN'!$A$1:$O$85,15,0)),0,VLOOKUP($S$144,'TAR FIN'!$A$1:$O$85,15,0))</f>
        <v>0</v>
      </c>
      <c r="W144" s="6">
        <f>IF(ISERROR(VLOOKUP($T$144,'TAR FIN'!$A$1:$O$85,15,0)),0,VLOOKUP($T$144,'TAR FIN'!$A$1:$O$85,15,0))</f>
        <v>108.8</v>
      </c>
      <c r="X144" s="6">
        <f>IF(ISERROR(VLOOKUP($U$144,'TAR FIN'!$A$1:$O$85,15,0)),0,VLOOKUP($U$144,'TAR FIN'!$A$1:$O$85,15,0))</f>
        <v>49.46</v>
      </c>
      <c r="Y144" s="6"/>
      <c r="Z144" s="6">
        <f ca="1">('TUSD BE'!$AM$21+'TUSD BF'!$AM$21+'TUSD CVA'!$AM$21-('TUSD BE'!$P$21+'TUSD BF'!$P$21+'TUSD CVA'!$P$21)-('TUSD BE'!$Q$21+'TUSD BF'!$Q$21+'TUSD CVA'!$Q$21)-('TUSD BE'!$R$21+'TUSD BF'!$R$21+'TUSD CVA'!$R$21))*(1-CUSTOS!$M$34)</f>
        <v>108.24753272667745</v>
      </c>
      <c r="AA144" s="6">
        <f>('TE BE'!$AB$11+'TE BF'!$AB$11+'TE CVA'!$AB$11)*(1-CUSTOS!$M$34)</f>
        <v>47.532191528466498</v>
      </c>
      <c r="AB144" s="6">
        <f t="shared" si="8"/>
        <v>0</v>
      </c>
      <c r="AC144" s="6">
        <f>(L144-M144)*(W144+X144)+($W$182+$X$182-$W$144-$X$144)*(L144)</f>
        <v>335.04599999999994</v>
      </c>
      <c r="AD144" s="6">
        <f t="shared" si="10"/>
        <v>0</v>
      </c>
      <c r="AE144" s="6">
        <f ca="1">(L144-M144)*(Z144+AA144)+($Z$182+$AA$182-$Z$144-$AA$144)*(L144)</f>
        <v>329.80793049446191</v>
      </c>
      <c r="AF144" s="4" t="s">
        <v>591</v>
      </c>
    </row>
    <row r="145" spans="1:32" ht="11.25" customHeight="1" x14ac:dyDescent="0.25">
      <c r="A145" s="4" t="s">
        <v>21</v>
      </c>
      <c r="B145" s="4" t="s">
        <v>22</v>
      </c>
      <c r="C145" s="4" t="s">
        <v>23</v>
      </c>
      <c r="D145" s="4" t="s">
        <v>24</v>
      </c>
      <c r="E145" s="4" t="s">
        <v>29</v>
      </c>
      <c r="F145" s="4" t="s">
        <v>25</v>
      </c>
      <c r="G145" s="4" t="s">
        <v>25</v>
      </c>
      <c r="H145" s="4" t="s">
        <v>25</v>
      </c>
      <c r="I145" s="5">
        <v>44531</v>
      </c>
      <c r="J145" s="6">
        <v>0</v>
      </c>
      <c r="K145" s="6">
        <v>0</v>
      </c>
      <c r="L145" s="6">
        <v>1.1399999999999999</v>
      </c>
      <c r="M145" s="6">
        <v>1.1399999999999999</v>
      </c>
      <c r="N145" s="6">
        <v>1.1399999999999999</v>
      </c>
      <c r="O145" s="6">
        <v>1.1399999999999999</v>
      </c>
      <c r="P145" s="6">
        <v>1</v>
      </c>
      <c r="Q145" s="4" t="s">
        <v>26</v>
      </c>
      <c r="R145" s="4">
        <v>0</v>
      </c>
      <c r="S145" s="4">
        <v>0</v>
      </c>
      <c r="T145" s="4">
        <v>21</v>
      </c>
      <c r="U145" s="4">
        <v>39</v>
      </c>
      <c r="V145" s="6">
        <f>IF(ISERROR(VLOOKUP($S$145,'TAR FIN'!$A$1:$O$85,15,0)),0,VLOOKUP($S$145,'TAR FIN'!$A$1:$O$85,15,0))</f>
        <v>0</v>
      </c>
      <c r="W145" s="6">
        <f>IF(ISERROR(VLOOKUP($T$145,'TAR FIN'!$A$1:$O$85,15,0)),0,VLOOKUP($T$145,'TAR FIN'!$A$1:$O$85,15,0))</f>
        <v>108.8</v>
      </c>
      <c r="X145" s="6">
        <f>IF(ISERROR(VLOOKUP($U$145,'TAR FIN'!$A$1:$O$85,15,0)),0,VLOOKUP($U$145,'TAR FIN'!$A$1:$O$85,15,0))</f>
        <v>49.46</v>
      </c>
      <c r="Y145" s="6"/>
      <c r="Z145" s="6">
        <f ca="1">('TUSD BE'!$AM$21+'TUSD BF'!$AM$21+'TUSD CVA'!$AM$21-('TUSD BE'!$P$21+'TUSD BF'!$P$21+'TUSD CVA'!$P$21)-('TUSD BE'!$Q$21+'TUSD BF'!$Q$21+'TUSD CVA'!$Q$21)-('TUSD BE'!$R$21+'TUSD BF'!$R$21+'TUSD CVA'!$R$21))*(1-CUSTOS!$M$34)</f>
        <v>108.24753272667745</v>
      </c>
      <c r="AA145" s="6">
        <f>('TE BE'!$AB$11+'TE BF'!$AB$11+'TE CVA'!$AB$11)*(1-CUSTOS!$M$34)</f>
        <v>47.532191528466498</v>
      </c>
      <c r="AB145" s="6">
        <f t="shared" si="8"/>
        <v>0</v>
      </c>
      <c r="AC145" s="6">
        <f>(L145-M145)*(W145+X145)+($W$182+$X$182-$W$145-$X$145)*(L145)</f>
        <v>335.04599999999994</v>
      </c>
      <c r="AD145" s="6">
        <f t="shared" si="10"/>
        <v>0</v>
      </c>
      <c r="AE145" s="6">
        <f ca="1">(L145-M145)*(Z145+AA145)+($Z$182+$AA$182-$Z$145-$AA$145)*(L145)</f>
        <v>329.80793049446191</v>
      </c>
      <c r="AF145" s="4" t="s">
        <v>591</v>
      </c>
    </row>
    <row r="146" spans="1:32" ht="11.25" customHeight="1" x14ac:dyDescent="0.25">
      <c r="A146" s="4" t="s">
        <v>21</v>
      </c>
      <c r="B146" s="4" t="s">
        <v>22</v>
      </c>
      <c r="C146" s="4" t="s">
        <v>23</v>
      </c>
      <c r="D146" s="4" t="s">
        <v>24</v>
      </c>
      <c r="E146" s="4" t="s">
        <v>29</v>
      </c>
      <c r="F146" s="4" t="s">
        <v>25</v>
      </c>
      <c r="G146" s="4" t="s">
        <v>25</v>
      </c>
      <c r="H146" s="4" t="s">
        <v>25</v>
      </c>
      <c r="I146" s="5">
        <v>44562</v>
      </c>
      <c r="J146" s="6">
        <v>0</v>
      </c>
      <c r="K146" s="6">
        <v>0</v>
      </c>
      <c r="L146" s="6">
        <v>1.17</v>
      </c>
      <c r="M146" s="6">
        <v>1.17</v>
      </c>
      <c r="N146" s="6">
        <v>1.17</v>
      </c>
      <c r="O146" s="6">
        <v>1.17</v>
      </c>
      <c r="P146" s="6">
        <v>1</v>
      </c>
      <c r="Q146" s="4" t="s">
        <v>26</v>
      </c>
      <c r="R146" s="4">
        <v>0</v>
      </c>
      <c r="S146" s="4">
        <v>0</v>
      </c>
      <c r="T146" s="4">
        <v>21</v>
      </c>
      <c r="U146" s="4">
        <v>39</v>
      </c>
      <c r="V146" s="6">
        <f>IF(ISERROR(VLOOKUP($S$146,'TAR FIN'!$A$1:$O$85,15,0)),0,VLOOKUP($S$146,'TAR FIN'!$A$1:$O$85,15,0))</f>
        <v>0</v>
      </c>
      <c r="W146" s="6">
        <f>IF(ISERROR(VLOOKUP($T$146,'TAR FIN'!$A$1:$O$85,15,0)),0,VLOOKUP($T$146,'TAR FIN'!$A$1:$O$85,15,0))</f>
        <v>108.8</v>
      </c>
      <c r="X146" s="6">
        <f>IF(ISERROR(VLOOKUP($U$146,'TAR FIN'!$A$1:$O$85,15,0)),0,VLOOKUP($U$146,'TAR FIN'!$A$1:$O$85,15,0))</f>
        <v>49.46</v>
      </c>
      <c r="Y146" s="6"/>
      <c r="Z146" s="6">
        <f ca="1">('TUSD BE'!$AM$21+'TUSD BF'!$AM$21+'TUSD CVA'!$AM$21-('TUSD BE'!$P$21+'TUSD BF'!$P$21+'TUSD CVA'!$P$21)-('TUSD BE'!$Q$21+'TUSD BF'!$Q$21+'TUSD CVA'!$Q$21)-('TUSD BE'!$R$21+'TUSD BF'!$R$21+'TUSD CVA'!$R$21))*(1-CUSTOS!$M$34)</f>
        <v>108.24753272667745</v>
      </c>
      <c r="AA146" s="6">
        <f>('TE BE'!$AB$11+'TE BF'!$AB$11+'TE CVA'!$AB$11)*(1-CUSTOS!$M$34)</f>
        <v>47.532191528466498</v>
      </c>
      <c r="AB146" s="6">
        <f t="shared" si="8"/>
        <v>0</v>
      </c>
      <c r="AC146" s="6">
        <f>(L146-M146)*(W146+X146)+($W$182+$X$182-$W$146-$X$146)*(L146)</f>
        <v>343.86299999999994</v>
      </c>
      <c r="AD146" s="6">
        <f t="shared" si="10"/>
        <v>0</v>
      </c>
      <c r="AE146" s="6">
        <f ca="1">(L146-M146)*(Z146+AA146)+($Z$182+$AA$182-$Z$146-$AA$146)*(L146)</f>
        <v>338.48708656010564</v>
      </c>
      <c r="AF146" s="4" t="s">
        <v>591</v>
      </c>
    </row>
    <row r="147" spans="1:32" ht="11.25" customHeight="1" x14ac:dyDescent="0.25">
      <c r="A147" s="4" t="s">
        <v>21</v>
      </c>
      <c r="B147" s="4" t="s">
        <v>22</v>
      </c>
      <c r="C147" s="4" t="s">
        <v>23</v>
      </c>
      <c r="D147" s="4" t="s">
        <v>24</v>
      </c>
      <c r="E147" s="4" t="s">
        <v>29</v>
      </c>
      <c r="F147" s="4" t="s">
        <v>25</v>
      </c>
      <c r="G147" s="4" t="s">
        <v>25</v>
      </c>
      <c r="H147" s="4" t="s">
        <v>25</v>
      </c>
      <c r="I147" s="5">
        <v>44593</v>
      </c>
      <c r="J147" s="6">
        <v>0</v>
      </c>
      <c r="K147" s="6">
        <v>0</v>
      </c>
      <c r="L147" s="6">
        <v>2.25</v>
      </c>
      <c r="M147" s="6">
        <v>2.25</v>
      </c>
      <c r="N147" s="6">
        <v>2.25</v>
      </c>
      <c r="O147" s="6">
        <v>2.25</v>
      </c>
      <c r="P147" s="6">
        <v>0</v>
      </c>
      <c r="Q147" s="4" t="s">
        <v>26</v>
      </c>
      <c r="R147" s="4">
        <v>0</v>
      </c>
      <c r="S147" s="4">
        <v>0</v>
      </c>
      <c r="T147" s="4">
        <v>21</v>
      </c>
      <c r="U147" s="4">
        <v>39</v>
      </c>
      <c r="V147" s="6">
        <f>IF(ISERROR(VLOOKUP($S$147,'TAR FIN'!$A$1:$O$85,15,0)),0,VLOOKUP($S$147,'TAR FIN'!$A$1:$O$85,15,0))</f>
        <v>0</v>
      </c>
      <c r="W147" s="6">
        <f>IF(ISERROR(VLOOKUP($T$147,'TAR FIN'!$A$1:$O$85,15,0)),0,VLOOKUP($T$147,'TAR FIN'!$A$1:$O$85,15,0))</f>
        <v>108.8</v>
      </c>
      <c r="X147" s="6">
        <f>IF(ISERROR(VLOOKUP($U$147,'TAR FIN'!$A$1:$O$85,15,0)),0,VLOOKUP($U$147,'TAR FIN'!$A$1:$O$85,15,0))</f>
        <v>49.46</v>
      </c>
      <c r="Y147" s="6"/>
      <c r="Z147" s="6">
        <f ca="1">('TUSD BE'!$AM$21+'TUSD BF'!$AM$21+'TUSD CVA'!$AM$21-('TUSD BE'!$P$21+'TUSD BF'!$P$21+'TUSD CVA'!$P$21)-('TUSD BE'!$Q$21+'TUSD BF'!$Q$21+'TUSD CVA'!$Q$21)-('TUSD BE'!$R$21+'TUSD BF'!$R$21+'TUSD CVA'!$R$21))*(1-CUSTOS!$M$34)</f>
        <v>108.24753272667745</v>
      </c>
      <c r="AA147" s="6">
        <f>('TE BE'!$AB$11+'TE BF'!$AB$11+'TE CVA'!$AB$11)*(1-CUSTOS!$M$34)</f>
        <v>47.532191528466498</v>
      </c>
      <c r="AB147" s="6">
        <f t="shared" si="8"/>
        <v>0</v>
      </c>
      <c r="AC147" s="6">
        <f>(L147-M147)*(W147+X147)+($W$182+$X$182-$W$147-$X$147)*(L147)</f>
        <v>661.27499999999998</v>
      </c>
      <c r="AD147" s="6">
        <f t="shared" si="10"/>
        <v>0</v>
      </c>
      <c r="AE147" s="6">
        <f ca="1">(L147-M147)*(Z147+AA147)+($Z$182+$AA$182-$Z$147-$AA$147)*(L147)</f>
        <v>650.9367049232801</v>
      </c>
      <c r="AF147" s="4" t="s">
        <v>591</v>
      </c>
    </row>
    <row r="148" spans="1:32" ht="11.25" customHeight="1" x14ac:dyDescent="0.25">
      <c r="A148" s="4" t="s">
        <v>28</v>
      </c>
      <c r="B148" s="4" t="s">
        <v>22</v>
      </c>
      <c r="C148" s="4" t="s">
        <v>23</v>
      </c>
      <c r="D148" s="4" t="s">
        <v>24</v>
      </c>
      <c r="E148" s="4" t="s">
        <v>29</v>
      </c>
      <c r="F148" s="4" t="s">
        <v>25</v>
      </c>
      <c r="G148" s="4" t="s">
        <v>25</v>
      </c>
      <c r="H148" s="4" t="s">
        <v>25</v>
      </c>
      <c r="I148" s="5">
        <v>44593</v>
      </c>
      <c r="J148" s="6">
        <v>0</v>
      </c>
      <c r="K148" s="6">
        <v>0</v>
      </c>
      <c r="L148" s="6">
        <v>0.01</v>
      </c>
      <c r="M148" s="6">
        <v>3.5000000000000001E-3</v>
      </c>
      <c r="N148" s="6">
        <v>0.01</v>
      </c>
      <c r="O148" s="6">
        <v>3.5000000000000001E-3</v>
      </c>
      <c r="P148" s="6">
        <v>0</v>
      </c>
      <c r="Q148" s="4" t="s">
        <v>26</v>
      </c>
      <c r="R148" s="4">
        <v>0</v>
      </c>
      <c r="S148" s="4">
        <v>0</v>
      </c>
      <c r="T148" s="4">
        <v>21</v>
      </c>
      <c r="U148" s="4">
        <v>39</v>
      </c>
      <c r="V148" s="6">
        <f>IF(ISERROR(VLOOKUP($S$148,'TAR FIN'!$A$1:$O$85,15,0)),0,VLOOKUP($S$148,'TAR FIN'!$A$1:$O$85,15,0))</f>
        <v>0</v>
      </c>
      <c r="W148" s="6">
        <f>IF(ISERROR(VLOOKUP($T$148,'TAR FIN'!$A$1:$O$85,15,0)),0,VLOOKUP($T$148,'TAR FIN'!$A$1:$O$85,15,0))</f>
        <v>108.8</v>
      </c>
      <c r="X148" s="6">
        <f>IF(ISERROR(VLOOKUP($U$148,'TAR FIN'!$A$1:$O$85,15,0)),0,VLOOKUP($U$148,'TAR FIN'!$A$1:$O$85,15,0))</f>
        <v>49.46</v>
      </c>
      <c r="Y148" s="6"/>
      <c r="Z148" s="6">
        <f ca="1">('TUSD BE'!$AM$21+'TUSD BF'!$AM$21+'TUSD CVA'!$AM$21-('TUSD BE'!$P$21+'TUSD BF'!$P$21+'TUSD CVA'!$P$21)-('TUSD BE'!$Q$21+'TUSD BF'!$Q$21+'TUSD CVA'!$Q$21)-('TUSD BE'!$R$21+'TUSD BF'!$R$21+'TUSD CVA'!$R$21))*(1-CUSTOS!$M$34)</f>
        <v>108.24753272667745</v>
      </c>
      <c r="AA148" s="6">
        <f>('TE BE'!$AB$11+'TE BF'!$AB$11+'TE CVA'!$AB$11)*(1-CUSTOS!$M$34)</f>
        <v>47.532191528466498</v>
      </c>
      <c r="AB148" s="6">
        <f t="shared" si="8"/>
        <v>0</v>
      </c>
      <c r="AC148" s="6">
        <f>(L148-M148)*(W148+X148)+($W$182+$X$182-$W$148-$X$148)*(L148)</f>
        <v>3.9676899999999997</v>
      </c>
      <c r="AD148" s="6">
        <f t="shared" si="10"/>
        <v>0</v>
      </c>
      <c r="AE148" s="6">
        <f ca="1">(L148-M148)*(Z148+AA148)+($Z$182+$AA$182-$Z$148-$AA$148)*(L148)</f>
        <v>3.9056202295396809</v>
      </c>
      <c r="AF148" s="4" t="s">
        <v>591</v>
      </c>
    </row>
    <row r="149" spans="1:32" ht="11.25" customHeight="1" x14ac:dyDescent="0.25">
      <c r="A149" s="4" t="s">
        <v>21</v>
      </c>
      <c r="B149" s="4" t="s">
        <v>22</v>
      </c>
      <c r="C149" s="4" t="s">
        <v>23</v>
      </c>
      <c r="D149" s="4" t="s">
        <v>24</v>
      </c>
      <c r="E149" s="4" t="s">
        <v>29</v>
      </c>
      <c r="F149" s="4" t="s">
        <v>25</v>
      </c>
      <c r="G149" s="4" t="s">
        <v>25</v>
      </c>
      <c r="H149" s="4" t="s">
        <v>25</v>
      </c>
      <c r="I149" s="5">
        <v>44621</v>
      </c>
      <c r="J149" s="6">
        <v>0</v>
      </c>
      <c r="K149" s="6">
        <v>0</v>
      </c>
      <c r="L149" s="6">
        <v>2.34</v>
      </c>
      <c r="M149" s="6">
        <v>2.34</v>
      </c>
      <c r="N149" s="6">
        <v>2.34</v>
      </c>
      <c r="O149" s="6">
        <v>2.34</v>
      </c>
      <c r="P149" s="6">
        <v>0</v>
      </c>
      <c r="Q149" s="4" t="s">
        <v>26</v>
      </c>
      <c r="R149" s="4">
        <v>0</v>
      </c>
      <c r="S149" s="4">
        <v>0</v>
      </c>
      <c r="T149" s="4">
        <v>21</v>
      </c>
      <c r="U149" s="4">
        <v>39</v>
      </c>
      <c r="V149" s="6">
        <f>IF(ISERROR(VLOOKUP($S$149,'TAR FIN'!$A$1:$O$85,15,0)),0,VLOOKUP($S$149,'TAR FIN'!$A$1:$O$85,15,0))</f>
        <v>0</v>
      </c>
      <c r="W149" s="6">
        <f>IF(ISERROR(VLOOKUP($T$149,'TAR FIN'!$A$1:$O$85,15,0)),0,VLOOKUP($T$149,'TAR FIN'!$A$1:$O$85,15,0))</f>
        <v>108.8</v>
      </c>
      <c r="X149" s="6">
        <f>IF(ISERROR(VLOOKUP($U$149,'TAR FIN'!$A$1:$O$85,15,0)),0,VLOOKUP($U$149,'TAR FIN'!$A$1:$O$85,15,0))</f>
        <v>49.46</v>
      </c>
      <c r="Y149" s="6"/>
      <c r="Z149" s="6">
        <f ca="1">('TUSD BE'!$AM$21+'TUSD BF'!$AM$21+'TUSD CVA'!$AM$21-('TUSD BE'!$P$21+'TUSD BF'!$P$21+'TUSD CVA'!$P$21)-('TUSD BE'!$Q$21+'TUSD BF'!$Q$21+'TUSD CVA'!$Q$21)-('TUSD BE'!$R$21+'TUSD BF'!$R$21+'TUSD CVA'!$R$21))*(1-CUSTOS!$M$34)</f>
        <v>108.24753272667745</v>
      </c>
      <c r="AA149" s="6">
        <f>('TE BE'!$AB$11+'TE BF'!$AB$11+'TE CVA'!$AB$11)*(1-CUSTOS!$M$34)</f>
        <v>47.532191528466498</v>
      </c>
      <c r="AB149" s="6">
        <f t="shared" si="8"/>
        <v>0</v>
      </c>
      <c r="AC149" s="6">
        <f>(L149-M149)*(W149+X149)+($W$182+$X$182-$W$149-$X$149)*(L149)</f>
        <v>687.72599999999989</v>
      </c>
      <c r="AD149" s="6">
        <f t="shared" si="10"/>
        <v>0</v>
      </c>
      <c r="AE149" s="6">
        <f ca="1">(L149-M149)*(Z149+AA149)+($Z$182+$AA$182-$Z$149-$AA$149)*(L149)</f>
        <v>676.97417312021128</v>
      </c>
      <c r="AF149" s="4" t="s">
        <v>591</v>
      </c>
    </row>
    <row r="150" spans="1:32" ht="11.25" customHeight="1" x14ac:dyDescent="0.25">
      <c r="A150" s="4" t="s">
        <v>21</v>
      </c>
      <c r="B150" s="4" t="s">
        <v>22</v>
      </c>
      <c r="C150" s="4" t="s">
        <v>23</v>
      </c>
      <c r="D150" s="4" t="s">
        <v>24</v>
      </c>
      <c r="E150" s="4" t="s">
        <v>29</v>
      </c>
      <c r="F150" s="4" t="s">
        <v>25</v>
      </c>
      <c r="G150" s="4" t="s">
        <v>25</v>
      </c>
      <c r="H150" s="4" t="s">
        <v>25</v>
      </c>
      <c r="I150" s="5">
        <v>44652</v>
      </c>
      <c r="J150" s="6">
        <v>0</v>
      </c>
      <c r="K150" s="6">
        <v>0</v>
      </c>
      <c r="L150" s="6">
        <v>4.08</v>
      </c>
      <c r="M150" s="6">
        <v>4.08</v>
      </c>
      <c r="N150" s="6">
        <v>4.08</v>
      </c>
      <c r="O150" s="6">
        <v>4.08</v>
      </c>
      <c r="P150" s="6">
        <v>3</v>
      </c>
      <c r="Q150" s="4" t="s">
        <v>26</v>
      </c>
      <c r="R150" s="4">
        <v>0</v>
      </c>
      <c r="S150" s="4">
        <v>0</v>
      </c>
      <c r="T150" s="4">
        <v>21</v>
      </c>
      <c r="U150" s="4">
        <v>39</v>
      </c>
      <c r="V150" s="6">
        <f>IF(ISERROR(VLOOKUP($S$150,'TAR FIN'!$A$1:$O$85,15,0)),0,VLOOKUP($S$150,'TAR FIN'!$A$1:$O$85,15,0))</f>
        <v>0</v>
      </c>
      <c r="W150" s="6">
        <f>IF(ISERROR(VLOOKUP($T$150,'TAR FIN'!$A$1:$O$85,15,0)),0,VLOOKUP($T$150,'TAR FIN'!$A$1:$O$85,15,0))</f>
        <v>108.8</v>
      </c>
      <c r="X150" s="6">
        <f>IF(ISERROR(VLOOKUP($U$150,'TAR FIN'!$A$1:$O$85,15,0)),0,VLOOKUP($U$150,'TAR FIN'!$A$1:$O$85,15,0))</f>
        <v>49.46</v>
      </c>
      <c r="Y150" s="6"/>
      <c r="Z150" s="6">
        <f ca="1">('TUSD BE'!$AM$21+'TUSD BF'!$AM$21+'TUSD CVA'!$AM$21-('TUSD BE'!$P$21+'TUSD BF'!$P$21+'TUSD CVA'!$P$21)-('TUSD BE'!$Q$21+'TUSD BF'!$Q$21+'TUSD CVA'!$Q$21)-('TUSD BE'!$R$21+'TUSD BF'!$R$21+'TUSD CVA'!$R$21))*(1-CUSTOS!$M$34)</f>
        <v>108.24753272667745</v>
      </c>
      <c r="AA150" s="6">
        <f>('TE BE'!$AB$11+'TE BF'!$AB$11+'TE CVA'!$AB$11)*(1-CUSTOS!$M$34)</f>
        <v>47.532191528466498</v>
      </c>
      <c r="AB150" s="6">
        <f t="shared" si="8"/>
        <v>0</v>
      </c>
      <c r="AC150" s="6">
        <f>(L150-M150)*(W150+X150)+($W$182+$X$182-$W$150-$X$150)*(L150)</f>
        <v>1199.1119999999999</v>
      </c>
      <c r="AD150" s="6">
        <f t="shared" si="10"/>
        <v>0</v>
      </c>
      <c r="AE150" s="6">
        <f ca="1">(L150-M150)*(Z150+AA150)+($Z$182+$AA$182-$Z$150-$AA$150)*(L150)</f>
        <v>1180.3652249275481</v>
      </c>
      <c r="AF150" s="4" t="s">
        <v>591</v>
      </c>
    </row>
    <row r="151" spans="1:32" ht="11.25" customHeight="1" x14ac:dyDescent="0.25">
      <c r="A151" s="4" t="s">
        <v>21</v>
      </c>
      <c r="B151" s="4" t="s">
        <v>22</v>
      </c>
      <c r="C151" s="4" t="s">
        <v>23</v>
      </c>
      <c r="D151" s="4" t="s">
        <v>24</v>
      </c>
      <c r="E151" s="4" t="s">
        <v>29</v>
      </c>
      <c r="F151" s="4" t="s">
        <v>25</v>
      </c>
      <c r="G151" s="4" t="s">
        <v>25</v>
      </c>
      <c r="H151" s="4" t="s">
        <v>25</v>
      </c>
      <c r="I151" s="5">
        <v>44682</v>
      </c>
      <c r="J151" s="6">
        <v>0</v>
      </c>
      <c r="K151" s="6">
        <v>0</v>
      </c>
      <c r="L151" s="6">
        <v>4.1399999999999997</v>
      </c>
      <c r="M151" s="6">
        <v>4.1399999999999997</v>
      </c>
      <c r="N151" s="6">
        <v>4.1399999999999997</v>
      </c>
      <c r="O151" s="6">
        <v>4.1399999999999997</v>
      </c>
      <c r="P151" s="6">
        <v>1</v>
      </c>
      <c r="Q151" s="4" t="s">
        <v>26</v>
      </c>
      <c r="R151" s="4">
        <v>0</v>
      </c>
      <c r="S151" s="4">
        <v>0</v>
      </c>
      <c r="T151" s="4">
        <v>21</v>
      </c>
      <c r="U151" s="4">
        <v>39</v>
      </c>
      <c r="V151" s="6">
        <f>IF(ISERROR(VLOOKUP($S$151,'TAR FIN'!$A$1:$O$85,15,0)),0,VLOOKUP($S$151,'TAR FIN'!$A$1:$O$85,15,0))</f>
        <v>0</v>
      </c>
      <c r="W151" s="6">
        <f>IF(ISERROR(VLOOKUP($T$151,'TAR FIN'!$A$1:$O$85,15,0)),0,VLOOKUP($T$151,'TAR FIN'!$A$1:$O$85,15,0))</f>
        <v>108.8</v>
      </c>
      <c r="X151" s="6">
        <f>IF(ISERROR(VLOOKUP($U$151,'TAR FIN'!$A$1:$O$85,15,0)),0,VLOOKUP($U$151,'TAR FIN'!$A$1:$O$85,15,0))</f>
        <v>49.46</v>
      </c>
      <c r="Y151" s="6"/>
      <c r="Z151" s="6">
        <f ca="1">('TUSD BE'!$AM$21+'TUSD BF'!$AM$21+'TUSD CVA'!$AM$21-('TUSD BE'!$P$21+'TUSD BF'!$P$21+'TUSD CVA'!$P$21)-('TUSD BE'!$Q$21+'TUSD BF'!$Q$21+'TUSD CVA'!$Q$21)-('TUSD BE'!$R$21+'TUSD BF'!$R$21+'TUSD CVA'!$R$21))*(1-CUSTOS!$M$34)</f>
        <v>108.24753272667745</v>
      </c>
      <c r="AA151" s="6">
        <f>('TE BE'!$AB$11+'TE BF'!$AB$11+'TE CVA'!$AB$11)*(1-CUSTOS!$M$34)</f>
        <v>47.532191528466498</v>
      </c>
      <c r="AB151" s="6">
        <f t="shared" si="8"/>
        <v>0</v>
      </c>
      <c r="AC151" s="6">
        <f>(L151-M151)*(W151+X151)+($W$182+$X$182-$W$151-$X$151)*(L151)</f>
        <v>1216.7459999999999</v>
      </c>
      <c r="AD151" s="6">
        <f t="shared" si="10"/>
        <v>0</v>
      </c>
      <c r="AE151" s="6">
        <f ca="1">(L151-M151)*(Z151+AA151)+($Z$182+$AA$182-$Z$151-$AA$151)*(L151)</f>
        <v>1197.7235370588353</v>
      </c>
      <c r="AF151" s="4" t="s">
        <v>591</v>
      </c>
    </row>
    <row r="152" spans="1:32" ht="11.25" customHeight="1" x14ac:dyDescent="0.25">
      <c r="A152" s="4" t="s">
        <v>28</v>
      </c>
      <c r="B152" s="4" t="s">
        <v>22</v>
      </c>
      <c r="C152" s="4" t="s">
        <v>23</v>
      </c>
      <c r="D152" s="4" t="s">
        <v>24</v>
      </c>
      <c r="E152" s="4" t="s">
        <v>29</v>
      </c>
      <c r="F152" s="4" t="s">
        <v>25</v>
      </c>
      <c r="G152" s="4" t="s">
        <v>25</v>
      </c>
      <c r="H152" s="4" t="s">
        <v>25</v>
      </c>
      <c r="I152" s="5">
        <v>44682</v>
      </c>
      <c r="J152" s="6">
        <v>0</v>
      </c>
      <c r="K152" s="6">
        <v>0</v>
      </c>
      <c r="L152" s="6">
        <v>1.0999999999999999E-2</v>
      </c>
      <c r="M152" s="6">
        <v>3.8500000000000001E-3</v>
      </c>
      <c r="N152" s="6">
        <v>1.0999999999999999E-2</v>
      </c>
      <c r="O152" s="6">
        <v>3.8500000000000001E-3</v>
      </c>
      <c r="P152" s="6">
        <v>0</v>
      </c>
      <c r="Q152" s="4" t="s">
        <v>26</v>
      </c>
      <c r="R152" s="4">
        <v>0</v>
      </c>
      <c r="S152" s="4">
        <v>0</v>
      </c>
      <c r="T152" s="4">
        <v>21</v>
      </c>
      <c r="U152" s="4">
        <v>39</v>
      </c>
      <c r="V152" s="6">
        <f>IF(ISERROR(VLOOKUP($S$152,'TAR FIN'!$A$1:$O$85,15,0)),0,VLOOKUP($S$152,'TAR FIN'!$A$1:$O$85,15,0))</f>
        <v>0</v>
      </c>
      <c r="W152" s="6">
        <f>IF(ISERROR(VLOOKUP($T$152,'TAR FIN'!$A$1:$O$85,15,0)),0,VLOOKUP($T$152,'TAR FIN'!$A$1:$O$85,15,0))</f>
        <v>108.8</v>
      </c>
      <c r="X152" s="6">
        <f>IF(ISERROR(VLOOKUP($U$152,'TAR FIN'!$A$1:$O$85,15,0)),0,VLOOKUP($U$152,'TAR FIN'!$A$1:$O$85,15,0))</f>
        <v>49.46</v>
      </c>
      <c r="Y152" s="6"/>
      <c r="Z152" s="6">
        <f ca="1">('TUSD BE'!$AM$21+'TUSD BF'!$AM$21+'TUSD CVA'!$AM$21-('TUSD BE'!$P$21+'TUSD BF'!$P$21+'TUSD CVA'!$P$21)-('TUSD BE'!$Q$21+'TUSD BF'!$Q$21+'TUSD CVA'!$Q$21)-('TUSD BE'!$R$21+'TUSD BF'!$R$21+'TUSD CVA'!$R$21))*(1-CUSTOS!$M$34)</f>
        <v>108.24753272667745</v>
      </c>
      <c r="AA152" s="6">
        <f>('TE BE'!$AB$11+'TE BF'!$AB$11+'TE CVA'!$AB$11)*(1-CUSTOS!$M$34)</f>
        <v>47.532191528466498</v>
      </c>
      <c r="AB152" s="6">
        <f t="shared" si="8"/>
        <v>0</v>
      </c>
      <c r="AC152" s="6">
        <f>(L152-M152)*(W152+X152)+($W$182+$X$182-$W$152-$X$152)*(L152)</f>
        <v>4.3644589999999992</v>
      </c>
      <c r="AD152" s="6">
        <f t="shared" si="10"/>
        <v>0</v>
      </c>
      <c r="AE152" s="6">
        <f ca="1">(L152-M152)*(Z152+AA152)+($Z$182+$AA$182-$Z$152-$AA$152)*(L152)</f>
        <v>4.2961822524936482</v>
      </c>
      <c r="AF152" s="4" t="s">
        <v>591</v>
      </c>
    </row>
    <row r="153" spans="1:32" ht="11.25" customHeight="1" x14ac:dyDescent="0.25">
      <c r="A153" s="4" t="s">
        <v>21</v>
      </c>
      <c r="B153" s="4" t="s">
        <v>22</v>
      </c>
      <c r="C153" s="4" t="s">
        <v>23</v>
      </c>
      <c r="D153" s="4" t="s">
        <v>24</v>
      </c>
      <c r="E153" s="4" t="s">
        <v>29</v>
      </c>
      <c r="F153" s="4" t="s">
        <v>25</v>
      </c>
      <c r="G153" s="4" t="s">
        <v>25</v>
      </c>
      <c r="H153" s="4" t="s">
        <v>25</v>
      </c>
      <c r="I153" s="5">
        <v>44713</v>
      </c>
      <c r="J153" s="6">
        <v>0</v>
      </c>
      <c r="K153" s="6">
        <v>0</v>
      </c>
      <c r="L153" s="6">
        <v>4.2</v>
      </c>
      <c r="M153" s="6">
        <v>4.2</v>
      </c>
      <c r="N153" s="6">
        <v>4.2</v>
      </c>
      <c r="O153" s="6">
        <v>4.2</v>
      </c>
      <c r="P153" s="6">
        <v>4</v>
      </c>
      <c r="Q153" s="4" t="s">
        <v>26</v>
      </c>
      <c r="R153" s="4">
        <v>0</v>
      </c>
      <c r="S153" s="4">
        <v>0</v>
      </c>
      <c r="T153" s="4">
        <v>21</v>
      </c>
      <c r="U153" s="4">
        <v>39</v>
      </c>
      <c r="V153" s="6">
        <f>IF(ISERROR(VLOOKUP($S$153,'TAR FIN'!$A$1:$O$85,15,0)),0,VLOOKUP($S$153,'TAR FIN'!$A$1:$O$85,15,0))</f>
        <v>0</v>
      </c>
      <c r="W153" s="6">
        <f>IF(ISERROR(VLOOKUP($T$153,'TAR FIN'!$A$1:$O$85,15,0)),0,VLOOKUP($T$153,'TAR FIN'!$A$1:$O$85,15,0))</f>
        <v>108.8</v>
      </c>
      <c r="X153" s="6">
        <f>IF(ISERROR(VLOOKUP($U$153,'TAR FIN'!$A$1:$O$85,15,0)),0,VLOOKUP($U$153,'TAR FIN'!$A$1:$O$85,15,0))</f>
        <v>49.46</v>
      </c>
      <c r="Y153" s="6"/>
      <c r="Z153" s="6">
        <f ca="1">('TUSD BE'!$AM$21+'TUSD BF'!$AM$21+'TUSD CVA'!$AM$21-('TUSD BE'!$P$21+'TUSD BF'!$P$21+'TUSD CVA'!$P$21)-('TUSD BE'!$Q$21+'TUSD BF'!$Q$21+'TUSD CVA'!$Q$21)-('TUSD BE'!$R$21+'TUSD BF'!$R$21+'TUSD CVA'!$R$21))*(1-CUSTOS!$M$34)</f>
        <v>108.24753272667745</v>
      </c>
      <c r="AA153" s="6">
        <f>('TE BE'!$AB$11+'TE BF'!$AB$11+'TE CVA'!$AB$11)*(1-CUSTOS!$M$34)</f>
        <v>47.532191528466498</v>
      </c>
      <c r="AB153" s="6">
        <f t="shared" si="8"/>
        <v>0</v>
      </c>
      <c r="AC153" s="6">
        <f>(L153-M153)*(W153+X153)+($W$182+$X$182-$W$153-$X$153)*(L153)</f>
        <v>1234.3799999999999</v>
      </c>
      <c r="AD153" s="6">
        <f t="shared" si="10"/>
        <v>0</v>
      </c>
      <c r="AE153" s="6">
        <f ca="1">(L153-M153)*(Z153+AA153)+($Z$182+$AA$182-$Z$153-$AA$153)*(L153)</f>
        <v>1215.081849190123</v>
      </c>
      <c r="AF153" s="4" t="s">
        <v>591</v>
      </c>
    </row>
    <row r="154" spans="1:32" ht="11.25" customHeight="1" x14ac:dyDescent="0.25">
      <c r="A154" s="4" t="s">
        <v>28</v>
      </c>
      <c r="B154" s="4" t="s">
        <v>22</v>
      </c>
      <c r="C154" s="4" t="s">
        <v>23</v>
      </c>
      <c r="D154" s="4" t="s">
        <v>24</v>
      </c>
      <c r="E154" s="4" t="s">
        <v>29</v>
      </c>
      <c r="F154" s="4" t="s">
        <v>25</v>
      </c>
      <c r="G154" s="4" t="s">
        <v>25</v>
      </c>
      <c r="H154" s="4" t="s">
        <v>25</v>
      </c>
      <c r="I154" s="5">
        <v>44713</v>
      </c>
      <c r="J154" s="6">
        <v>0</v>
      </c>
      <c r="K154" s="6">
        <v>0</v>
      </c>
      <c r="L154" s="6">
        <v>0.03</v>
      </c>
      <c r="M154" s="6">
        <v>1.0500000000000001E-2</v>
      </c>
      <c r="N154" s="6">
        <v>0.03</v>
      </c>
      <c r="O154" s="6">
        <v>1.0500000000000001E-2</v>
      </c>
      <c r="P154" s="6">
        <v>0</v>
      </c>
      <c r="Q154" s="4" t="s">
        <v>26</v>
      </c>
      <c r="R154" s="4">
        <v>0</v>
      </c>
      <c r="S154" s="4">
        <v>0</v>
      </c>
      <c r="T154" s="4">
        <v>21</v>
      </c>
      <c r="U154" s="4">
        <v>39</v>
      </c>
      <c r="V154" s="6">
        <f>IF(ISERROR(VLOOKUP($S$154,'TAR FIN'!$A$1:$O$85,15,0)),0,VLOOKUP($S$154,'TAR FIN'!$A$1:$O$85,15,0))</f>
        <v>0</v>
      </c>
      <c r="W154" s="6">
        <f>IF(ISERROR(VLOOKUP($T$154,'TAR FIN'!$A$1:$O$85,15,0)),0,VLOOKUP($T$154,'TAR FIN'!$A$1:$O$85,15,0))</f>
        <v>108.8</v>
      </c>
      <c r="X154" s="6">
        <f>IF(ISERROR(VLOOKUP($U$154,'TAR FIN'!$A$1:$O$85,15,0)),0,VLOOKUP($U$154,'TAR FIN'!$A$1:$O$85,15,0))</f>
        <v>49.46</v>
      </c>
      <c r="Y154" s="6"/>
      <c r="Z154" s="6">
        <f ca="1">('TUSD BE'!$AM$21+'TUSD BF'!$AM$21+'TUSD CVA'!$AM$21-('TUSD BE'!$P$21+'TUSD BF'!$P$21+'TUSD CVA'!$P$21)-('TUSD BE'!$Q$21+'TUSD BF'!$Q$21+'TUSD CVA'!$Q$21)-('TUSD BE'!$R$21+'TUSD BF'!$R$21+'TUSD CVA'!$R$21))*(1-CUSTOS!$M$34)</f>
        <v>108.24753272667745</v>
      </c>
      <c r="AA154" s="6">
        <f>('TE BE'!$AB$11+'TE BF'!$AB$11+'TE CVA'!$AB$11)*(1-CUSTOS!$M$34)</f>
        <v>47.532191528466498</v>
      </c>
      <c r="AB154" s="6">
        <f t="shared" si="8"/>
        <v>0</v>
      </c>
      <c r="AC154" s="6">
        <f>(L154-M154)*(W154+X154)+($W$182+$X$182-$W$154-$X$154)*(L154)</f>
        <v>11.903069999999998</v>
      </c>
      <c r="AD154" s="6">
        <f t="shared" si="10"/>
        <v>0</v>
      </c>
      <c r="AE154" s="6">
        <f ca="1">(L154-M154)*(Z154+AA154)+($Z$182+$AA$182-$Z$154-$AA$154)*(L154)</f>
        <v>11.716860688619041</v>
      </c>
      <c r="AF154" s="4" t="s">
        <v>591</v>
      </c>
    </row>
    <row r="155" spans="1:32" ht="11.25" customHeight="1" x14ac:dyDescent="0.25">
      <c r="A155" s="4" t="s">
        <v>21</v>
      </c>
      <c r="B155" s="4" t="s">
        <v>22</v>
      </c>
      <c r="C155" s="4" t="s">
        <v>23</v>
      </c>
      <c r="D155" s="4" t="s">
        <v>24</v>
      </c>
      <c r="E155" s="4" t="s">
        <v>29</v>
      </c>
      <c r="F155" s="4" t="s">
        <v>25</v>
      </c>
      <c r="G155" s="4" t="s">
        <v>25</v>
      </c>
      <c r="H155" s="4" t="s">
        <v>25</v>
      </c>
      <c r="I155" s="5">
        <v>44743</v>
      </c>
      <c r="J155" s="6">
        <v>0</v>
      </c>
      <c r="K155" s="6">
        <v>0</v>
      </c>
      <c r="L155" s="6">
        <v>3.87</v>
      </c>
      <c r="M155" s="6">
        <v>3.87</v>
      </c>
      <c r="N155" s="6">
        <v>3.87</v>
      </c>
      <c r="O155" s="6">
        <v>3.87</v>
      </c>
      <c r="P155" s="6">
        <v>4</v>
      </c>
      <c r="Q155" s="4" t="s">
        <v>26</v>
      </c>
      <c r="R155" s="4">
        <v>0</v>
      </c>
      <c r="S155" s="4">
        <v>0</v>
      </c>
      <c r="T155" s="4">
        <v>21</v>
      </c>
      <c r="U155" s="4">
        <v>39</v>
      </c>
      <c r="V155" s="6">
        <f>IF(ISERROR(VLOOKUP($S$155,'TAR FIN'!$A$1:$O$85,15,0)),0,VLOOKUP($S$155,'TAR FIN'!$A$1:$O$85,15,0))</f>
        <v>0</v>
      </c>
      <c r="W155" s="6">
        <f>IF(ISERROR(VLOOKUP($T$155,'TAR FIN'!$A$1:$O$85,15,0)),0,VLOOKUP($T$155,'TAR FIN'!$A$1:$O$85,15,0))</f>
        <v>108.8</v>
      </c>
      <c r="X155" s="6">
        <f>IF(ISERROR(VLOOKUP($U$155,'TAR FIN'!$A$1:$O$85,15,0)),0,VLOOKUP($U$155,'TAR FIN'!$A$1:$O$85,15,0))</f>
        <v>49.46</v>
      </c>
      <c r="Y155" s="6"/>
      <c r="Z155" s="6">
        <f ca="1">('TUSD BE'!$AM$21+'TUSD BF'!$AM$21+'TUSD CVA'!$AM$21-('TUSD BE'!$P$21+'TUSD BF'!$P$21+'TUSD CVA'!$P$21)-('TUSD BE'!$Q$21+'TUSD BF'!$Q$21+'TUSD CVA'!$Q$21)-('TUSD BE'!$R$21+'TUSD BF'!$R$21+'TUSD CVA'!$R$21))*(1-CUSTOS!$M$34)</f>
        <v>108.24753272667745</v>
      </c>
      <c r="AA155" s="6">
        <f>('TE BE'!$AB$11+'TE BF'!$AB$11+'TE CVA'!$AB$11)*(1-CUSTOS!$M$34)</f>
        <v>47.532191528466498</v>
      </c>
      <c r="AB155" s="6">
        <f t="shared" si="8"/>
        <v>0</v>
      </c>
      <c r="AC155" s="6">
        <f>(L155-M155)*(W155+X155)+($W$182+$X$182-$W$155-$X$155)*(L155)</f>
        <v>1137.393</v>
      </c>
      <c r="AD155" s="6">
        <f t="shared" si="10"/>
        <v>0</v>
      </c>
      <c r="AE155" s="6">
        <f ca="1">(L155-M155)*(Z155+AA155)+($Z$182+$AA$182-$Z$155-$AA$155)*(L155)</f>
        <v>1119.6111324680419</v>
      </c>
      <c r="AF155" s="4" t="s">
        <v>591</v>
      </c>
    </row>
    <row r="156" spans="1:32" ht="11.25" customHeight="1" x14ac:dyDescent="0.25">
      <c r="A156" s="4" t="s">
        <v>28</v>
      </c>
      <c r="B156" s="4" t="s">
        <v>22</v>
      </c>
      <c r="C156" s="4" t="s">
        <v>23</v>
      </c>
      <c r="D156" s="4" t="s">
        <v>24</v>
      </c>
      <c r="E156" s="4" t="s">
        <v>29</v>
      </c>
      <c r="F156" s="4" t="s">
        <v>25</v>
      </c>
      <c r="G156" s="4" t="s">
        <v>25</v>
      </c>
      <c r="H156" s="4" t="s">
        <v>25</v>
      </c>
      <c r="I156" s="5">
        <v>44743</v>
      </c>
      <c r="J156" s="6">
        <v>0</v>
      </c>
      <c r="K156" s="6">
        <v>0</v>
      </c>
      <c r="L156" s="6">
        <v>0.03</v>
      </c>
      <c r="M156" s="6">
        <v>0.03</v>
      </c>
      <c r="N156" s="6">
        <v>0.03</v>
      </c>
      <c r="O156" s="6">
        <v>0.03</v>
      </c>
      <c r="P156" s="6">
        <v>1</v>
      </c>
      <c r="Q156" s="4" t="s">
        <v>26</v>
      </c>
      <c r="R156" s="4">
        <v>0</v>
      </c>
      <c r="S156" s="4">
        <v>0</v>
      </c>
      <c r="T156" s="4">
        <v>21</v>
      </c>
      <c r="U156" s="4">
        <v>39</v>
      </c>
      <c r="V156" s="6">
        <f>IF(ISERROR(VLOOKUP($S$156,'TAR FIN'!$A$1:$O$85,15,0)),0,VLOOKUP($S$156,'TAR FIN'!$A$1:$O$85,15,0))</f>
        <v>0</v>
      </c>
      <c r="W156" s="6">
        <f>IF(ISERROR(VLOOKUP($T$156,'TAR FIN'!$A$1:$O$85,15,0)),0,VLOOKUP($T$156,'TAR FIN'!$A$1:$O$85,15,0))</f>
        <v>108.8</v>
      </c>
      <c r="X156" s="6">
        <f>IF(ISERROR(VLOOKUP($U$156,'TAR FIN'!$A$1:$O$85,15,0)),0,VLOOKUP($U$156,'TAR FIN'!$A$1:$O$85,15,0))</f>
        <v>49.46</v>
      </c>
      <c r="Y156" s="6"/>
      <c r="Z156" s="6">
        <f ca="1">('TUSD BE'!$AM$21+'TUSD BF'!$AM$21+'TUSD CVA'!$AM$21-('TUSD BE'!$P$21+'TUSD BF'!$P$21+'TUSD CVA'!$P$21)-('TUSD BE'!$Q$21+'TUSD BF'!$Q$21+'TUSD CVA'!$Q$21)-('TUSD BE'!$R$21+'TUSD BF'!$R$21+'TUSD CVA'!$R$21))*(1-CUSTOS!$M$34)</f>
        <v>108.24753272667745</v>
      </c>
      <c r="AA156" s="6">
        <f>('TE BE'!$AB$11+'TE BF'!$AB$11+'TE CVA'!$AB$11)*(1-CUSTOS!$M$34)</f>
        <v>47.532191528466498</v>
      </c>
      <c r="AB156" s="6">
        <f t="shared" si="8"/>
        <v>0</v>
      </c>
      <c r="AC156" s="6">
        <f>(L156-M156)*(W156+X156)+($W$182+$X$182-$W$156-$X$156)*(L156)</f>
        <v>8.8169999999999984</v>
      </c>
      <c r="AD156" s="6">
        <f t="shared" si="10"/>
        <v>0</v>
      </c>
      <c r="AE156" s="6">
        <f ca="1">(L156-M156)*(Z156+AA156)+($Z$182+$AA$182-$Z$156-$AA$156)*(L156)</f>
        <v>8.6791560656437348</v>
      </c>
      <c r="AF156" s="4" t="s">
        <v>591</v>
      </c>
    </row>
    <row r="157" spans="1:32" ht="11.25" customHeight="1" x14ac:dyDescent="0.25">
      <c r="A157" s="4" t="s">
        <v>21</v>
      </c>
      <c r="B157" s="4" t="s">
        <v>22</v>
      </c>
      <c r="C157" s="4" t="s">
        <v>23</v>
      </c>
      <c r="D157" s="4" t="s">
        <v>24</v>
      </c>
      <c r="E157" s="4" t="s">
        <v>29</v>
      </c>
      <c r="F157" s="4" t="s">
        <v>25</v>
      </c>
      <c r="G157" s="4" t="s">
        <v>25</v>
      </c>
      <c r="H157" s="4" t="s">
        <v>25</v>
      </c>
      <c r="I157" s="5">
        <v>44774</v>
      </c>
      <c r="J157" s="6">
        <v>0</v>
      </c>
      <c r="K157" s="6">
        <v>0</v>
      </c>
      <c r="L157" s="6">
        <v>3.93</v>
      </c>
      <c r="M157" s="6">
        <v>3.93</v>
      </c>
      <c r="N157" s="6">
        <v>3.93</v>
      </c>
      <c r="O157" s="6">
        <v>3.93</v>
      </c>
      <c r="P157" s="6">
        <v>7</v>
      </c>
      <c r="Q157" s="4" t="s">
        <v>26</v>
      </c>
      <c r="R157" s="4">
        <v>0</v>
      </c>
      <c r="S157" s="4">
        <v>0</v>
      </c>
      <c r="T157" s="4">
        <v>21</v>
      </c>
      <c r="U157" s="4">
        <v>39</v>
      </c>
      <c r="V157" s="6">
        <f>IF(ISERROR(VLOOKUP($S$157,'TAR FIN'!$A$1:$O$85,15,0)),0,VLOOKUP($S$157,'TAR FIN'!$A$1:$O$85,15,0))</f>
        <v>0</v>
      </c>
      <c r="W157" s="6">
        <f>IF(ISERROR(VLOOKUP($T$157,'TAR FIN'!$A$1:$O$85,15,0)),0,VLOOKUP($T$157,'TAR FIN'!$A$1:$O$85,15,0))</f>
        <v>108.8</v>
      </c>
      <c r="X157" s="6">
        <f>IF(ISERROR(VLOOKUP($U$157,'TAR FIN'!$A$1:$O$85,15,0)),0,VLOOKUP($U$157,'TAR FIN'!$A$1:$O$85,15,0))</f>
        <v>49.46</v>
      </c>
      <c r="Y157" s="6"/>
      <c r="Z157" s="6">
        <f ca="1">('TUSD BE'!$AM$21+'TUSD BF'!$AM$21+'TUSD CVA'!$AM$21-('TUSD BE'!$P$21+'TUSD BF'!$P$21+'TUSD CVA'!$P$21)-('TUSD BE'!$Q$21+'TUSD BF'!$Q$21+'TUSD CVA'!$Q$21)-('TUSD BE'!$R$21+'TUSD BF'!$R$21+'TUSD CVA'!$R$21))*(1-CUSTOS!$M$34)</f>
        <v>108.24753272667745</v>
      </c>
      <c r="AA157" s="6">
        <f>('TE BE'!$AB$11+'TE BF'!$AB$11+'TE CVA'!$AB$11)*(1-CUSTOS!$M$34)</f>
        <v>47.532191528466498</v>
      </c>
      <c r="AB157" s="6">
        <f t="shared" si="8"/>
        <v>0</v>
      </c>
      <c r="AC157" s="6">
        <f>(L157-M157)*(W157+X157)+($W$182+$X$182-$W$157-$X$157)*(L157)</f>
        <v>1155.027</v>
      </c>
      <c r="AD157" s="6">
        <f t="shared" si="10"/>
        <v>0</v>
      </c>
      <c r="AE157" s="6">
        <f ca="1">(L157-M157)*(Z157+AA157)+($Z$182+$AA$182-$Z$157-$AA$157)*(L157)</f>
        <v>1136.9694445993293</v>
      </c>
      <c r="AF157" s="4" t="s">
        <v>591</v>
      </c>
    </row>
    <row r="158" spans="1:32" ht="11.25" customHeight="1" x14ac:dyDescent="0.25">
      <c r="A158" s="4" t="s">
        <v>21</v>
      </c>
      <c r="B158" s="4" t="s">
        <v>22</v>
      </c>
      <c r="C158" s="4" t="s">
        <v>23</v>
      </c>
      <c r="D158" s="4" t="s">
        <v>24</v>
      </c>
      <c r="E158" s="4" t="s">
        <v>30</v>
      </c>
      <c r="F158" s="4" t="s">
        <v>25</v>
      </c>
      <c r="G158" s="4" t="s">
        <v>25</v>
      </c>
      <c r="H158" s="4" t="s">
        <v>25</v>
      </c>
      <c r="I158" s="5">
        <v>44440</v>
      </c>
      <c r="J158" s="6">
        <v>0</v>
      </c>
      <c r="K158" s="6">
        <v>0</v>
      </c>
      <c r="L158" s="6">
        <v>2.0699999999999998</v>
      </c>
      <c r="M158" s="6">
        <v>2.0699999999999998</v>
      </c>
      <c r="N158" s="6">
        <v>2.0699999999999998</v>
      </c>
      <c r="O158" s="6">
        <v>2.0699999999999998</v>
      </c>
      <c r="P158" s="6">
        <v>5</v>
      </c>
      <c r="Q158" s="4" t="s">
        <v>26</v>
      </c>
      <c r="R158" s="4">
        <v>0</v>
      </c>
      <c r="S158" s="4">
        <v>0</v>
      </c>
      <c r="T158" s="4">
        <v>9</v>
      </c>
      <c r="U158" s="4">
        <v>52</v>
      </c>
      <c r="V158" s="6">
        <f>IF(ISERROR(VLOOKUP($S$158,'TAR FIN'!$A$1:$O$85,15,0)),0,VLOOKUP($S$158,'TAR FIN'!$A$1:$O$85,15,0))</f>
        <v>0</v>
      </c>
      <c r="W158" s="6">
        <f>IF(ISERROR(VLOOKUP($T$158,'TAR FIN'!$A$1:$O$85,15,0)),0,VLOOKUP($T$158,'TAR FIN'!$A$1:$O$85,15,0))</f>
        <v>186.51</v>
      </c>
      <c r="X158" s="6">
        <f>IF(ISERROR(VLOOKUP($U$158,'TAR FIN'!$A$1:$O$85,15,0)),0,VLOOKUP($U$158,'TAR FIN'!$A$1:$O$85,15,0))</f>
        <v>84.79</v>
      </c>
      <c r="Y158" s="6"/>
      <c r="Z158" s="6">
        <f ca="1">('TUSD BE'!$AM$22+'TUSD BF'!$AM$22+'TUSD CVA'!$AM$22-('TUSD BE'!$P$22+'TUSD BF'!$P$22+'TUSD CVA'!$P$22)-('TUSD BE'!$Q$22+'TUSD BF'!$Q$22+'TUSD CVA'!$Q$22)-('TUSD BE'!$R$22+'TUSD BF'!$R$22+'TUSD CVA'!$R$22))*(1-CUSTOS!$M$35)</f>
        <v>185.56719896001849</v>
      </c>
      <c r="AA158" s="6">
        <f>('TE BE'!$AB$12+'TE BF'!$AB$12+'TE CVA'!$AB$12)*(1-CUSTOS!$M$35)</f>
        <v>81.48375690594257</v>
      </c>
      <c r="AB158" s="6">
        <f t="shared" si="8"/>
        <v>0</v>
      </c>
      <c r="AC158" s="6">
        <f>(L158-M158)*(W158+X158)+($W$182+$X$182-$W$158-$X$158)*(L158)</f>
        <v>374.38019999999989</v>
      </c>
      <c r="AD158" s="6">
        <f t="shared" si="10"/>
        <v>0</v>
      </c>
      <c r="AE158" s="6">
        <f ca="1">(L158-M158)*(Z158+AA158)+($Z$182+$AA$182-$Z$158-$AA$158)*(L158)</f>
        <v>368.53031909502619</v>
      </c>
      <c r="AF158" s="4" t="s">
        <v>591</v>
      </c>
    </row>
    <row r="159" spans="1:32" ht="11.25" customHeight="1" x14ac:dyDescent="0.25">
      <c r="A159" s="4" t="s">
        <v>21</v>
      </c>
      <c r="B159" s="4" t="s">
        <v>22</v>
      </c>
      <c r="C159" s="4" t="s">
        <v>23</v>
      </c>
      <c r="D159" s="4" t="s">
        <v>24</v>
      </c>
      <c r="E159" s="4" t="s">
        <v>30</v>
      </c>
      <c r="F159" s="4" t="s">
        <v>25</v>
      </c>
      <c r="G159" s="4" t="s">
        <v>25</v>
      </c>
      <c r="H159" s="4" t="s">
        <v>25</v>
      </c>
      <c r="I159" s="5">
        <v>44470</v>
      </c>
      <c r="J159" s="6">
        <v>0</v>
      </c>
      <c r="K159" s="6">
        <v>0</v>
      </c>
      <c r="L159" s="6">
        <v>2.2440000000000002</v>
      </c>
      <c r="M159" s="6">
        <v>2.2440000000000002</v>
      </c>
      <c r="N159" s="6">
        <v>2.2440000000000002</v>
      </c>
      <c r="O159" s="6">
        <v>2.2440000000000002</v>
      </c>
      <c r="P159" s="6">
        <v>9</v>
      </c>
      <c r="Q159" s="4" t="s">
        <v>26</v>
      </c>
      <c r="R159" s="4">
        <v>0</v>
      </c>
      <c r="S159" s="4">
        <v>0</v>
      </c>
      <c r="T159" s="4">
        <v>9</v>
      </c>
      <c r="U159" s="4">
        <v>52</v>
      </c>
      <c r="V159" s="6">
        <f>IF(ISERROR(VLOOKUP($S$159,'TAR FIN'!$A$1:$O$85,15,0)),0,VLOOKUP($S$159,'TAR FIN'!$A$1:$O$85,15,0))</f>
        <v>0</v>
      </c>
      <c r="W159" s="6">
        <f>IF(ISERROR(VLOOKUP($T$159,'TAR FIN'!$A$1:$O$85,15,0)),0,VLOOKUP($T$159,'TAR FIN'!$A$1:$O$85,15,0))</f>
        <v>186.51</v>
      </c>
      <c r="X159" s="6">
        <f>IF(ISERROR(VLOOKUP($U$159,'TAR FIN'!$A$1:$O$85,15,0)),0,VLOOKUP($U$159,'TAR FIN'!$A$1:$O$85,15,0))</f>
        <v>84.79</v>
      </c>
      <c r="Y159" s="6"/>
      <c r="Z159" s="6">
        <f ca="1">('TUSD BE'!$AM$22+'TUSD BF'!$AM$22+'TUSD CVA'!$AM$22-('TUSD BE'!$P$22+'TUSD BF'!$P$22+'TUSD CVA'!$P$22)-('TUSD BE'!$Q$22+'TUSD BF'!$Q$22+'TUSD CVA'!$Q$22)-('TUSD BE'!$R$22+'TUSD BF'!$R$22+'TUSD CVA'!$R$22))*(1-CUSTOS!$M$35)</f>
        <v>185.56719896001849</v>
      </c>
      <c r="AA159" s="6">
        <f>('TE BE'!$AB$12+'TE BF'!$AB$12+'TE CVA'!$AB$12)*(1-CUSTOS!$M$35)</f>
        <v>81.48375690594257</v>
      </c>
      <c r="AB159" s="6">
        <f t="shared" si="8"/>
        <v>0</v>
      </c>
      <c r="AC159" s="6">
        <f>(L159-M159)*(W159+X159)+($W$182+$X$182-$W$159-$X$159)*(L159)</f>
        <v>405.84983999999992</v>
      </c>
      <c r="AD159" s="6">
        <f t="shared" si="10"/>
        <v>0</v>
      </c>
      <c r="AE159" s="6">
        <f ca="1">(L159-M159)*(Z159+AA159)+($Z$182+$AA$182-$Z$159-$AA$159)*(L159)</f>
        <v>399.50822997547772</v>
      </c>
      <c r="AF159" s="4" t="s">
        <v>591</v>
      </c>
    </row>
    <row r="160" spans="1:32" ht="11.25" customHeight="1" x14ac:dyDescent="0.25">
      <c r="A160" s="4" t="s">
        <v>21</v>
      </c>
      <c r="B160" s="4" t="s">
        <v>22</v>
      </c>
      <c r="C160" s="4" t="s">
        <v>23</v>
      </c>
      <c r="D160" s="4" t="s">
        <v>24</v>
      </c>
      <c r="E160" s="4" t="s">
        <v>30</v>
      </c>
      <c r="F160" s="4" t="s">
        <v>25</v>
      </c>
      <c r="G160" s="4" t="s">
        <v>25</v>
      </c>
      <c r="H160" s="4" t="s">
        <v>25</v>
      </c>
      <c r="I160" s="5">
        <v>44501</v>
      </c>
      <c r="J160" s="6">
        <v>0</v>
      </c>
      <c r="K160" s="6">
        <v>0</v>
      </c>
      <c r="L160" s="6">
        <v>2.5049999999999999</v>
      </c>
      <c r="M160" s="6">
        <v>2.5049999999999999</v>
      </c>
      <c r="N160" s="6">
        <v>2.5049999999999999</v>
      </c>
      <c r="O160" s="6">
        <v>2.5049999999999999</v>
      </c>
      <c r="P160" s="6">
        <v>5</v>
      </c>
      <c r="Q160" s="4" t="s">
        <v>26</v>
      </c>
      <c r="R160" s="4">
        <v>0</v>
      </c>
      <c r="S160" s="4">
        <v>0</v>
      </c>
      <c r="T160" s="4">
        <v>9</v>
      </c>
      <c r="U160" s="4">
        <v>52</v>
      </c>
      <c r="V160" s="6">
        <f>IF(ISERROR(VLOOKUP($S$160,'TAR FIN'!$A$1:$O$85,15,0)),0,VLOOKUP($S$160,'TAR FIN'!$A$1:$O$85,15,0))</f>
        <v>0</v>
      </c>
      <c r="W160" s="6">
        <f>IF(ISERROR(VLOOKUP($T$160,'TAR FIN'!$A$1:$O$85,15,0)),0,VLOOKUP($T$160,'TAR FIN'!$A$1:$O$85,15,0))</f>
        <v>186.51</v>
      </c>
      <c r="X160" s="6">
        <f>IF(ISERROR(VLOOKUP($U$160,'TAR FIN'!$A$1:$O$85,15,0)),0,VLOOKUP($U$160,'TAR FIN'!$A$1:$O$85,15,0))</f>
        <v>84.79</v>
      </c>
      <c r="Y160" s="6"/>
      <c r="Z160" s="6">
        <f ca="1">('TUSD BE'!$AM$22+'TUSD BF'!$AM$22+'TUSD CVA'!$AM$22-('TUSD BE'!$P$22+'TUSD BF'!$P$22+'TUSD CVA'!$P$22)-('TUSD BE'!$Q$22+'TUSD BF'!$Q$22+'TUSD CVA'!$Q$22)-('TUSD BE'!$R$22+'TUSD BF'!$R$22+'TUSD CVA'!$R$22))*(1-CUSTOS!$M$35)</f>
        <v>185.56719896001849</v>
      </c>
      <c r="AA160" s="6">
        <f>('TE BE'!$AB$12+'TE BF'!$AB$12+'TE CVA'!$AB$12)*(1-CUSTOS!$M$35)</f>
        <v>81.48375690594257</v>
      </c>
      <c r="AB160" s="6">
        <f t="shared" si="8"/>
        <v>0</v>
      </c>
      <c r="AC160" s="6">
        <f>(L160-M160)*(W160+X160)+($W$182+$X$182-$W$160-$X$160)*(L160)</f>
        <v>453.0542999999999</v>
      </c>
      <c r="AD160" s="6">
        <f t="shared" si="10"/>
        <v>0</v>
      </c>
      <c r="AE160" s="6">
        <f ca="1">(L160-M160)*(Z160+AA160)+($Z$182+$AA$182-$Z$160-$AA$160)*(L160)</f>
        <v>445.9750962961549</v>
      </c>
      <c r="AF160" s="4" t="s">
        <v>591</v>
      </c>
    </row>
    <row r="161" spans="1:32" ht="11.25" customHeight="1" x14ac:dyDescent="0.25">
      <c r="A161" s="4" t="s">
        <v>21</v>
      </c>
      <c r="B161" s="4" t="s">
        <v>22</v>
      </c>
      <c r="C161" s="4" t="s">
        <v>23</v>
      </c>
      <c r="D161" s="4" t="s">
        <v>24</v>
      </c>
      <c r="E161" s="4" t="s">
        <v>30</v>
      </c>
      <c r="F161" s="4" t="s">
        <v>25</v>
      </c>
      <c r="G161" s="4" t="s">
        <v>25</v>
      </c>
      <c r="H161" s="4" t="s">
        <v>25</v>
      </c>
      <c r="I161" s="5">
        <v>44531</v>
      </c>
      <c r="J161" s="6">
        <v>0</v>
      </c>
      <c r="K161" s="6">
        <v>0</v>
      </c>
      <c r="L161" s="6">
        <v>2.444</v>
      </c>
      <c r="M161" s="6">
        <v>2.444</v>
      </c>
      <c r="N161" s="6">
        <v>2.444</v>
      </c>
      <c r="O161" s="6">
        <v>2.444</v>
      </c>
      <c r="P161" s="6">
        <v>3</v>
      </c>
      <c r="Q161" s="4" t="s">
        <v>26</v>
      </c>
      <c r="R161" s="4">
        <v>0</v>
      </c>
      <c r="S161" s="4">
        <v>0</v>
      </c>
      <c r="T161" s="4">
        <v>9</v>
      </c>
      <c r="U161" s="4">
        <v>52</v>
      </c>
      <c r="V161" s="6">
        <f>IF(ISERROR(VLOOKUP($S$161,'TAR FIN'!$A$1:$O$85,15,0)),0,VLOOKUP($S$161,'TAR FIN'!$A$1:$O$85,15,0))</f>
        <v>0</v>
      </c>
      <c r="W161" s="6">
        <f>IF(ISERROR(VLOOKUP($T$161,'TAR FIN'!$A$1:$O$85,15,0)),0,VLOOKUP($T$161,'TAR FIN'!$A$1:$O$85,15,0))</f>
        <v>186.51</v>
      </c>
      <c r="X161" s="6">
        <f>IF(ISERROR(VLOOKUP($U$161,'TAR FIN'!$A$1:$O$85,15,0)),0,VLOOKUP($U$161,'TAR FIN'!$A$1:$O$85,15,0))</f>
        <v>84.79</v>
      </c>
      <c r="Y161" s="6"/>
      <c r="Z161" s="6">
        <f ca="1">('TUSD BE'!$AM$22+'TUSD BF'!$AM$22+'TUSD CVA'!$AM$22-('TUSD BE'!$P$22+'TUSD BF'!$P$22+'TUSD CVA'!$P$22)-('TUSD BE'!$Q$22+'TUSD BF'!$Q$22+'TUSD CVA'!$Q$22)-('TUSD BE'!$R$22+'TUSD BF'!$R$22+'TUSD CVA'!$R$22))*(1-CUSTOS!$M$35)</f>
        <v>185.56719896001849</v>
      </c>
      <c r="AA161" s="6">
        <f>('TE BE'!$AB$12+'TE BF'!$AB$12+'TE CVA'!$AB$12)*(1-CUSTOS!$M$35)</f>
        <v>81.48375690594257</v>
      </c>
      <c r="AB161" s="6">
        <f t="shared" si="8"/>
        <v>0</v>
      </c>
      <c r="AC161" s="6">
        <f>(L161-M161)*(W161+X161)+($W$182+$X$182-$W$161-$X$161)*(L161)</f>
        <v>442.02183999999988</v>
      </c>
      <c r="AD161" s="6">
        <f t="shared" si="10"/>
        <v>0</v>
      </c>
      <c r="AE161" s="6">
        <f ca="1">(L161-M161)*(Z161+AA161)+($Z$182+$AA$182-$Z$161-$AA$161)*(L161)</f>
        <v>435.11502409093913</v>
      </c>
      <c r="AF161" s="4" t="s">
        <v>591</v>
      </c>
    </row>
    <row r="162" spans="1:32" ht="11.25" customHeight="1" x14ac:dyDescent="0.25">
      <c r="A162" s="4" t="s">
        <v>21</v>
      </c>
      <c r="B162" s="4" t="s">
        <v>22</v>
      </c>
      <c r="C162" s="4" t="s">
        <v>23</v>
      </c>
      <c r="D162" s="4" t="s">
        <v>24</v>
      </c>
      <c r="E162" s="4" t="s">
        <v>30</v>
      </c>
      <c r="F162" s="4" t="s">
        <v>25</v>
      </c>
      <c r="G162" s="4" t="s">
        <v>25</v>
      </c>
      <c r="H162" s="4" t="s">
        <v>25</v>
      </c>
      <c r="I162" s="5">
        <v>44562</v>
      </c>
      <c r="J162" s="6">
        <v>0</v>
      </c>
      <c r="K162" s="6">
        <v>0</v>
      </c>
      <c r="L162" s="6">
        <v>2.5230000000000001</v>
      </c>
      <c r="M162" s="6">
        <v>2.5230000000000001</v>
      </c>
      <c r="N162" s="6">
        <v>2.5230000000000001</v>
      </c>
      <c r="O162" s="6">
        <v>2.5230000000000001</v>
      </c>
      <c r="P162" s="6">
        <v>5</v>
      </c>
      <c r="Q162" s="4" t="s">
        <v>26</v>
      </c>
      <c r="R162" s="4">
        <v>0</v>
      </c>
      <c r="S162" s="4">
        <v>0</v>
      </c>
      <c r="T162" s="4">
        <v>9</v>
      </c>
      <c r="U162" s="4">
        <v>52</v>
      </c>
      <c r="V162" s="6">
        <f>IF(ISERROR(VLOOKUP($S$162,'TAR FIN'!$A$1:$O$85,15,0)),0,VLOOKUP($S$162,'TAR FIN'!$A$1:$O$85,15,0))</f>
        <v>0</v>
      </c>
      <c r="W162" s="6">
        <f>IF(ISERROR(VLOOKUP($T$162,'TAR FIN'!$A$1:$O$85,15,0)),0,VLOOKUP($T$162,'TAR FIN'!$A$1:$O$85,15,0))</f>
        <v>186.51</v>
      </c>
      <c r="X162" s="6">
        <f>IF(ISERROR(VLOOKUP($U$162,'TAR FIN'!$A$1:$O$85,15,0)),0,VLOOKUP($U$162,'TAR FIN'!$A$1:$O$85,15,0))</f>
        <v>84.79</v>
      </c>
      <c r="Y162" s="6"/>
      <c r="Z162" s="6">
        <f ca="1">('TUSD BE'!$AM$22+'TUSD BF'!$AM$22+'TUSD CVA'!$AM$22-('TUSD BE'!$P$22+'TUSD BF'!$P$22+'TUSD CVA'!$P$22)-('TUSD BE'!$Q$22+'TUSD BF'!$Q$22+'TUSD CVA'!$Q$22)-('TUSD BE'!$R$22+'TUSD BF'!$R$22+'TUSD CVA'!$R$22))*(1-CUSTOS!$M$35)</f>
        <v>185.56719896001849</v>
      </c>
      <c r="AA162" s="6">
        <f>('TE BE'!$AB$12+'TE BF'!$AB$12+'TE CVA'!$AB$12)*(1-CUSTOS!$M$35)</f>
        <v>81.48375690594257</v>
      </c>
      <c r="AB162" s="6">
        <f t="shared" si="8"/>
        <v>0</v>
      </c>
      <c r="AC162" s="6">
        <f>(L162-M162)*(W162+X162)+($W$182+$X$182-$W$162-$X$162)*(L162)</f>
        <v>456.30977999999993</v>
      </c>
      <c r="AD162" s="6">
        <f t="shared" si="10"/>
        <v>0</v>
      </c>
      <c r="AE162" s="6">
        <f ca="1">(L162-M162)*(Z162+AA162)+($Z$182+$AA$182-$Z$162-$AA$162)*(L162)</f>
        <v>449.17970776654647</v>
      </c>
      <c r="AF162" s="4" t="s">
        <v>591</v>
      </c>
    </row>
    <row r="163" spans="1:32" ht="11.25" customHeight="1" x14ac:dyDescent="0.25">
      <c r="A163" s="4" t="s">
        <v>21</v>
      </c>
      <c r="B163" s="4" t="s">
        <v>22</v>
      </c>
      <c r="C163" s="4" t="s">
        <v>23</v>
      </c>
      <c r="D163" s="4" t="s">
        <v>24</v>
      </c>
      <c r="E163" s="4" t="s">
        <v>30</v>
      </c>
      <c r="F163" s="4" t="s">
        <v>25</v>
      </c>
      <c r="G163" s="4" t="s">
        <v>25</v>
      </c>
      <c r="H163" s="4" t="s">
        <v>25</v>
      </c>
      <c r="I163" s="5">
        <v>44593</v>
      </c>
      <c r="J163" s="6">
        <v>0</v>
      </c>
      <c r="K163" s="6">
        <v>0</v>
      </c>
      <c r="L163" s="6">
        <v>4.7779999999999996</v>
      </c>
      <c r="M163" s="6">
        <v>4.7779999999999996</v>
      </c>
      <c r="N163" s="6">
        <v>4.7779999999999996</v>
      </c>
      <c r="O163" s="6">
        <v>4.7779999999999996</v>
      </c>
      <c r="P163" s="6">
        <v>17</v>
      </c>
      <c r="Q163" s="4" t="s">
        <v>26</v>
      </c>
      <c r="R163" s="4">
        <v>0</v>
      </c>
      <c r="S163" s="4">
        <v>0</v>
      </c>
      <c r="T163" s="4">
        <v>9</v>
      </c>
      <c r="U163" s="4">
        <v>52</v>
      </c>
      <c r="V163" s="6">
        <f>IF(ISERROR(VLOOKUP($S$163,'TAR FIN'!$A$1:$O$85,15,0)),0,VLOOKUP($S$163,'TAR FIN'!$A$1:$O$85,15,0))</f>
        <v>0</v>
      </c>
      <c r="W163" s="6">
        <f>IF(ISERROR(VLOOKUP($T$163,'TAR FIN'!$A$1:$O$85,15,0)),0,VLOOKUP($T$163,'TAR FIN'!$A$1:$O$85,15,0))</f>
        <v>186.51</v>
      </c>
      <c r="X163" s="6">
        <f>IF(ISERROR(VLOOKUP($U$163,'TAR FIN'!$A$1:$O$85,15,0)),0,VLOOKUP($U$163,'TAR FIN'!$A$1:$O$85,15,0))</f>
        <v>84.79</v>
      </c>
      <c r="Y163" s="6"/>
      <c r="Z163" s="6">
        <f ca="1">('TUSD BE'!$AM$22+'TUSD BF'!$AM$22+'TUSD CVA'!$AM$22-('TUSD BE'!$P$22+'TUSD BF'!$P$22+'TUSD CVA'!$P$22)-('TUSD BE'!$Q$22+'TUSD BF'!$Q$22+'TUSD CVA'!$Q$22)-('TUSD BE'!$R$22+'TUSD BF'!$R$22+'TUSD CVA'!$R$22))*(1-CUSTOS!$M$35)</f>
        <v>185.56719896001849</v>
      </c>
      <c r="AA163" s="6">
        <f>('TE BE'!$AB$12+'TE BF'!$AB$12+'TE CVA'!$AB$12)*(1-CUSTOS!$M$35)</f>
        <v>81.48375690594257</v>
      </c>
      <c r="AB163" s="6">
        <f t="shared" si="8"/>
        <v>0</v>
      </c>
      <c r="AC163" s="6">
        <f>(L163-M163)*(W163+X163)+($W$182+$X$182-$W$163-$X$163)*(L163)</f>
        <v>864.14907999999969</v>
      </c>
      <c r="AD163" s="6">
        <f t="shared" si="10"/>
        <v>0</v>
      </c>
      <c r="AE163" s="6">
        <f ca="1">(L163-M163)*(Z163+AA163)+($Z$182+$AA$182-$Z$163-$AA$163)*(L163)</f>
        <v>850.64631141837447</v>
      </c>
      <c r="AF163" s="4" t="s">
        <v>591</v>
      </c>
    </row>
    <row r="164" spans="1:32" ht="11.25" customHeight="1" x14ac:dyDescent="0.25">
      <c r="A164" s="4" t="s">
        <v>21</v>
      </c>
      <c r="B164" s="4" t="s">
        <v>22</v>
      </c>
      <c r="C164" s="4" t="s">
        <v>23</v>
      </c>
      <c r="D164" s="4" t="s">
        <v>24</v>
      </c>
      <c r="E164" s="4" t="s">
        <v>30</v>
      </c>
      <c r="F164" s="4" t="s">
        <v>25</v>
      </c>
      <c r="G164" s="4" t="s">
        <v>25</v>
      </c>
      <c r="H164" s="4" t="s">
        <v>25</v>
      </c>
      <c r="I164" s="5">
        <v>44621</v>
      </c>
      <c r="J164" s="6">
        <v>0</v>
      </c>
      <c r="K164" s="6">
        <v>0</v>
      </c>
      <c r="L164" s="6">
        <v>4.8440000000000003</v>
      </c>
      <c r="M164" s="6">
        <v>4.8440000000000003</v>
      </c>
      <c r="N164" s="6">
        <v>4.8440000000000003</v>
      </c>
      <c r="O164" s="6">
        <v>4.8440000000000003</v>
      </c>
      <c r="P164" s="6">
        <v>22</v>
      </c>
      <c r="Q164" s="4" t="s">
        <v>26</v>
      </c>
      <c r="R164" s="4">
        <v>0</v>
      </c>
      <c r="S164" s="4">
        <v>0</v>
      </c>
      <c r="T164" s="4">
        <v>9</v>
      </c>
      <c r="U164" s="4">
        <v>52</v>
      </c>
      <c r="V164" s="6">
        <f>IF(ISERROR(VLOOKUP($S$164,'TAR FIN'!$A$1:$O$85,15,0)),0,VLOOKUP($S$164,'TAR FIN'!$A$1:$O$85,15,0))</f>
        <v>0</v>
      </c>
      <c r="W164" s="6">
        <f>IF(ISERROR(VLOOKUP($T$164,'TAR FIN'!$A$1:$O$85,15,0)),0,VLOOKUP($T$164,'TAR FIN'!$A$1:$O$85,15,0))</f>
        <v>186.51</v>
      </c>
      <c r="X164" s="6">
        <f>IF(ISERROR(VLOOKUP($U$164,'TAR FIN'!$A$1:$O$85,15,0)),0,VLOOKUP($U$164,'TAR FIN'!$A$1:$O$85,15,0))</f>
        <v>84.79</v>
      </c>
      <c r="Y164" s="6"/>
      <c r="Z164" s="6">
        <f ca="1">('TUSD BE'!$AM$22+'TUSD BF'!$AM$22+'TUSD CVA'!$AM$22-('TUSD BE'!$P$22+'TUSD BF'!$P$22+'TUSD CVA'!$P$22)-('TUSD BE'!$Q$22+'TUSD BF'!$Q$22+'TUSD CVA'!$Q$22)-('TUSD BE'!$R$22+'TUSD BF'!$R$22+'TUSD CVA'!$R$22))*(1-CUSTOS!$M$35)</f>
        <v>185.56719896001849</v>
      </c>
      <c r="AA164" s="6">
        <f>('TE BE'!$AB$12+'TE BF'!$AB$12+'TE CVA'!$AB$12)*(1-CUSTOS!$M$35)</f>
        <v>81.48375690594257</v>
      </c>
      <c r="AB164" s="6">
        <f t="shared" si="8"/>
        <v>0</v>
      </c>
      <c r="AC164" s="6">
        <f>(L164-M164)*(W164+X164)+($W$182+$X$182-$W$164-$X$164)*(L164)</f>
        <v>876.08583999999985</v>
      </c>
      <c r="AD164" s="6">
        <f t="shared" si="10"/>
        <v>0</v>
      </c>
      <c r="AE164" s="6">
        <f ca="1">(L164-M164)*(Z164+AA164)+($Z$182+$AA$182-$Z$164-$AA$164)*(L164)</f>
        <v>862.39655347647681</v>
      </c>
      <c r="AF164" s="4" t="s">
        <v>591</v>
      </c>
    </row>
    <row r="165" spans="1:32" ht="11.25" customHeight="1" x14ac:dyDescent="0.25">
      <c r="A165" s="4" t="s">
        <v>21</v>
      </c>
      <c r="B165" s="4" t="s">
        <v>22</v>
      </c>
      <c r="C165" s="4" t="s">
        <v>23</v>
      </c>
      <c r="D165" s="4" t="s">
        <v>24</v>
      </c>
      <c r="E165" s="4" t="s">
        <v>30</v>
      </c>
      <c r="F165" s="4" t="s">
        <v>25</v>
      </c>
      <c r="G165" s="4" t="s">
        <v>25</v>
      </c>
      <c r="H165" s="4" t="s">
        <v>25</v>
      </c>
      <c r="I165" s="5">
        <v>44652</v>
      </c>
      <c r="J165" s="6">
        <v>0</v>
      </c>
      <c r="K165" s="6">
        <v>0</v>
      </c>
      <c r="L165" s="6">
        <v>8.1080000000000005</v>
      </c>
      <c r="M165" s="6">
        <v>8.1080000000000005</v>
      </c>
      <c r="N165" s="6">
        <v>8.1080000000000005</v>
      </c>
      <c r="O165" s="6">
        <v>8.1080000000000005</v>
      </c>
      <c r="P165" s="6">
        <v>34</v>
      </c>
      <c r="Q165" s="4" t="s">
        <v>26</v>
      </c>
      <c r="R165" s="4">
        <v>0</v>
      </c>
      <c r="S165" s="4">
        <v>0</v>
      </c>
      <c r="T165" s="4">
        <v>9</v>
      </c>
      <c r="U165" s="4">
        <v>52</v>
      </c>
      <c r="V165" s="6">
        <f>IF(ISERROR(VLOOKUP($S$165,'TAR FIN'!$A$1:$O$85,15,0)),0,VLOOKUP($S$165,'TAR FIN'!$A$1:$O$85,15,0))</f>
        <v>0</v>
      </c>
      <c r="W165" s="6">
        <f>IF(ISERROR(VLOOKUP($T$165,'TAR FIN'!$A$1:$O$85,15,0)),0,VLOOKUP($T$165,'TAR FIN'!$A$1:$O$85,15,0))</f>
        <v>186.51</v>
      </c>
      <c r="X165" s="6">
        <f>IF(ISERROR(VLOOKUP($U$165,'TAR FIN'!$A$1:$O$85,15,0)),0,VLOOKUP($U$165,'TAR FIN'!$A$1:$O$85,15,0))</f>
        <v>84.79</v>
      </c>
      <c r="Y165" s="6"/>
      <c r="Z165" s="6">
        <f ca="1">('TUSD BE'!$AM$22+'TUSD BF'!$AM$22+'TUSD CVA'!$AM$22-('TUSD BE'!$P$22+'TUSD BF'!$P$22+'TUSD CVA'!$P$22)-('TUSD BE'!$Q$22+'TUSD BF'!$Q$22+'TUSD CVA'!$Q$22)-('TUSD BE'!$R$22+'TUSD BF'!$R$22+'TUSD CVA'!$R$22))*(1-CUSTOS!$M$35)</f>
        <v>185.56719896001849</v>
      </c>
      <c r="AA165" s="6">
        <f>('TE BE'!$AB$12+'TE BF'!$AB$12+'TE CVA'!$AB$12)*(1-CUSTOS!$M$35)</f>
        <v>81.48375690594257</v>
      </c>
      <c r="AB165" s="6">
        <f t="shared" si="8"/>
        <v>0</v>
      </c>
      <c r="AC165" s="6">
        <f>(L165-M165)*(W165+X165)+($W$182+$X$182-$W$165-$X$165)*(L165)</f>
        <v>1466.4128799999999</v>
      </c>
      <c r="AD165" s="6">
        <f t="shared" si="10"/>
        <v>0</v>
      </c>
      <c r="AE165" s="6">
        <f ca="1">(L165-M165)*(Z165+AA165)+($Z$182+$AA$182-$Z$165-$AA$165)*(L165)</f>
        <v>1443.4994334408079</v>
      </c>
      <c r="AF165" s="4" t="s">
        <v>591</v>
      </c>
    </row>
    <row r="166" spans="1:32" ht="11.25" customHeight="1" x14ac:dyDescent="0.25">
      <c r="A166" s="4" t="s">
        <v>21</v>
      </c>
      <c r="B166" s="4" t="s">
        <v>22</v>
      </c>
      <c r="C166" s="4" t="s">
        <v>23</v>
      </c>
      <c r="D166" s="4" t="s">
        <v>24</v>
      </c>
      <c r="E166" s="4" t="s">
        <v>30</v>
      </c>
      <c r="F166" s="4" t="s">
        <v>25</v>
      </c>
      <c r="G166" s="4" t="s">
        <v>25</v>
      </c>
      <c r="H166" s="4" t="s">
        <v>25</v>
      </c>
      <c r="I166" s="5">
        <v>44682</v>
      </c>
      <c r="J166" s="6">
        <v>0</v>
      </c>
      <c r="K166" s="6">
        <v>0</v>
      </c>
      <c r="L166" s="6">
        <v>8.173</v>
      </c>
      <c r="M166" s="6">
        <v>8.173</v>
      </c>
      <c r="N166" s="6">
        <v>8.173</v>
      </c>
      <c r="O166" s="6">
        <v>8.173</v>
      </c>
      <c r="P166" s="6">
        <v>38</v>
      </c>
      <c r="Q166" s="4" t="s">
        <v>26</v>
      </c>
      <c r="R166" s="4">
        <v>0</v>
      </c>
      <c r="S166" s="4">
        <v>0</v>
      </c>
      <c r="T166" s="4">
        <v>9</v>
      </c>
      <c r="U166" s="4">
        <v>52</v>
      </c>
      <c r="V166" s="6">
        <f>IF(ISERROR(VLOOKUP($S$166,'TAR FIN'!$A$1:$O$85,15,0)),0,VLOOKUP($S$166,'TAR FIN'!$A$1:$O$85,15,0))</f>
        <v>0</v>
      </c>
      <c r="W166" s="6">
        <f>IF(ISERROR(VLOOKUP($T$166,'TAR FIN'!$A$1:$O$85,15,0)),0,VLOOKUP($T$166,'TAR FIN'!$A$1:$O$85,15,0))</f>
        <v>186.51</v>
      </c>
      <c r="X166" s="6">
        <f>IF(ISERROR(VLOOKUP($U$166,'TAR FIN'!$A$1:$O$85,15,0)),0,VLOOKUP($U$166,'TAR FIN'!$A$1:$O$85,15,0))</f>
        <v>84.79</v>
      </c>
      <c r="Y166" s="6"/>
      <c r="Z166" s="6">
        <f ca="1">('TUSD BE'!$AM$22+'TUSD BF'!$AM$22+'TUSD CVA'!$AM$22-('TUSD BE'!$P$22+'TUSD BF'!$P$22+'TUSD CVA'!$P$22)-('TUSD BE'!$Q$22+'TUSD BF'!$Q$22+'TUSD CVA'!$Q$22)-('TUSD BE'!$R$22+'TUSD BF'!$R$22+'TUSD CVA'!$R$22))*(1-CUSTOS!$M$35)</f>
        <v>185.56719896001849</v>
      </c>
      <c r="AA166" s="6">
        <f>('TE BE'!$AB$12+'TE BF'!$AB$12+'TE CVA'!$AB$12)*(1-CUSTOS!$M$35)</f>
        <v>81.48375690594257</v>
      </c>
      <c r="AB166" s="6">
        <f t="shared" si="8"/>
        <v>0</v>
      </c>
      <c r="AC166" s="6">
        <f>(L166-M166)*(W166+X166)+($W$182+$X$182-$W$166-$X$166)*(L166)</f>
        <v>1478.1687799999997</v>
      </c>
      <c r="AD166" s="6">
        <f t="shared" si="10"/>
        <v>0</v>
      </c>
      <c r="AE166" s="6">
        <f ca="1">(L166-M166)*(Z166+AA166)+($Z$182+$AA$182-$Z$166-$AA$166)*(L166)</f>
        <v>1455.071641528333</v>
      </c>
      <c r="AF166" s="4" t="s">
        <v>591</v>
      </c>
    </row>
    <row r="167" spans="1:32" ht="11.25" customHeight="1" x14ac:dyDescent="0.25">
      <c r="A167" s="4" t="s">
        <v>21</v>
      </c>
      <c r="B167" s="4" t="s">
        <v>22</v>
      </c>
      <c r="C167" s="4" t="s">
        <v>23</v>
      </c>
      <c r="D167" s="4" t="s">
        <v>24</v>
      </c>
      <c r="E167" s="4" t="s">
        <v>30</v>
      </c>
      <c r="F167" s="4" t="s">
        <v>25</v>
      </c>
      <c r="G167" s="4" t="s">
        <v>25</v>
      </c>
      <c r="H167" s="4" t="s">
        <v>25</v>
      </c>
      <c r="I167" s="5">
        <v>44713</v>
      </c>
      <c r="J167" s="6">
        <v>0</v>
      </c>
      <c r="K167" s="6">
        <v>0</v>
      </c>
      <c r="L167" s="6">
        <v>8.3079999999999998</v>
      </c>
      <c r="M167" s="6">
        <v>8.3079999999999998</v>
      </c>
      <c r="N167" s="6">
        <v>8.3079999999999998</v>
      </c>
      <c r="O167" s="6">
        <v>8.3079999999999998</v>
      </c>
      <c r="P167" s="6">
        <v>38</v>
      </c>
      <c r="Q167" s="4" t="s">
        <v>26</v>
      </c>
      <c r="R167" s="4">
        <v>0</v>
      </c>
      <c r="S167" s="4">
        <v>0</v>
      </c>
      <c r="T167" s="4">
        <v>9</v>
      </c>
      <c r="U167" s="4">
        <v>52</v>
      </c>
      <c r="V167" s="6">
        <f>IF(ISERROR(VLOOKUP($S$167,'TAR FIN'!$A$1:$O$85,15,0)),0,VLOOKUP($S$167,'TAR FIN'!$A$1:$O$85,15,0))</f>
        <v>0</v>
      </c>
      <c r="W167" s="6">
        <f>IF(ISERROR(VLOOKUP($T$167,'TAR FIN'!$A$1:$O$85,15,0)),0,VLOOKUP($T$167,'TAR FIN'!$A$1:$O$85,15,0))</f>
        <v>186.51</v>
      </c>
      <c r="X167" s="6">
        <f>IF(ISERROR(VLOOKUP($U$167,'TAR FIN'!$A$1:$O$85,15,0)),0,VLOOKUP($U$167,'TAR FIN'!$A$1:$O$85,15,0))</f>
        <v>84.79</v>
      </c>
      <c r="Y167" s="6"/>
      <c r="Z167" s="6">
        <f ca="1">('TUSD BE'!$AM$22+'TUSD BF'!$AM$22+'TUSD CVA'!$AM$22-('TUSD BE'!$P$22+'TUSD BF'!$P$22+'TUSD CVA'!$P$22)-('TUSD BE'!$Q$22+'TUSD BF'!$Q$22+'TUSD CVA'!$Q$22)-('TUSD BE'!$R$22+'TUSD BF'!$R$22+'TUSD CVA'!$R$22))*(1-CUSTOS!$M$35)</f>
        <v>185.56719896001849</v>
      </c>
      <c r="AA167" s="6">
        <f>('TE BE'!$AB$12+'TE BF'!$AB$12+'TE CVA'!$AB$12)*(1-CUSTOS!$M$35)</f>
        <v>81.48375690594257</v>
      </c>
      <c r="AB167" s="6">
        <f t="shared" si="8"/>
        <v>0</v>
      </c>
      <c r="AC167" s="6">
        <f>(L167-M167)*(W167+X167)+($W$182+$X$182-$W$167-$X$167)*(L167)</f>
        <v>1502.5848799999997</v>
      </c>
      <c r="AD167" s="6">
        <f t="shared" si="10"/>
        <v>0</v>
      </c>
      <c r="AE167" s="6">
        <f ca="1">(L167-M167)*(Z167+AA167)+($Z$182+$AA$182-$Z$167-$AA$167)*(L167)</f>
        <v>1479.1062275562695</v>
      </c>
      <c r="AF167" s="4" t="s">
        <v>591</v>
      </c>
    </row>
    <row r="168" spans="1:32" ht="11.25" customHeight="1" x14ac:dyDescent="0.25">
      <c r="A168" s="4" t="s">
        <v>21</v>
      </c>
      <c r="B168" s="4" t="s">
        <v>22</v>
      </c>
      <c r="C168" s="4" t="s">
        <v>23</v>
      </c>
      <c r="D168" s="4" t="s">
        <v>24</v>
      </c>
      <c r="E168" s="4" t="s">
        <v>30</v>
      </c>
      <c r="F168" s="4" t="s">
        <v>25</v>
      </c>
      <c r="G168" s="4" t="s">
        <v>25</v>
      </c>
      <c r="H168" s="4" t="s">
        <v>25</v>
      </c>
      <c r="I168" s="5">
        <v>44743</v>
      </c>
      <c r="J168" s="6">
        <v>0</v>
      </c>
      <c r="K168" s="6">
        <v>0</v>
      </c>
      <c r="L168" s="6">
        <v>7.3650000000000002</v>
      </c>
      <c r="M168" s="6">
        <v>7.3650000000000002</v>
      </c>
      <c r="N168" s="6">
        <v>7.3650000000000002</v>
      </c>
      <c r="O168" s="6">
        <v>7.3650000000000002</v>
      </c>
      <c r="P168" s="6">
        <v>35</v>
      </c>
      <c r="Q168" s="4" t="s">
        <v>26</v>
      </c>
      <c r="R168" s="4">
        <v>0</v>
      </c>
      <c r="S168" s="4">
        <v>0</v>
      </c>
      <c r="T168" s="4">
        <v>9</v>
      </c>
      <c r="U168" s="4">
        <v>52</v>
      </c>
      <c r="V168" s="6">
        <f>IF(ISERROR(VLOOKUP($S$168,'TAR FIN'!$A$1:$O$85,15,0)),0,VLOOKUP($S$168,'TAR FIN'!$A$1:$O$85,15,0))</f>
        <v>0</v>
      </c>
      <c r="W168" s="6">
        <f>IF(ISERROR(VLOOKUP($T$168,'TAR FIN'!$A$1:$O$85,15,0)),0,VLOOKUP($T$168,'TAR FIN'!$A$1:$O$85,15,0))</f>
        <v>186.51</v>
      </c>
      <c r="X168" s="6">
        <f>IF(ISERROR(VLOOKUP($U$168,'TAR FIN'!$A$1:$O$85,15,0)),0,VLOOKUP($U$168,'TAR FIN'!$A$1:$O$85,15,0))</f>
        <v>84.79</v>
      </c>
      <c r="Y168" s="6"/>
      <c r="Z168" s="6">
        <f ca="1">('TUSD BE'!$AM$22+'TUSD BF'!$AM$22+'TUSD CVA'!$AM$22-('TUSD BE'!$P$22+'TUSD BF'!$P$22+'TUSD CVA'!$P$22)-('TUSD BE'!$Q$22+'TUSD BF'!$Q$22+'TUSD CVA'!$Q$22)-('TUSD BE'!$R$22+'TUSD BF'!$R$22+'TUSD CVA'!$R$22))*(1-CUSTOS!$M$35)</f>
        <v>185.56719896001849</v>
      </c>
      <c r="AA168" s="6">
        <f>('TE BE'!$AB$12+'TE BF'!$AB$12+'TE CVA'!$AB$12)*(1-CUSTOS!$M$35)</f>
        <v>81.48375690594257</v>
      </c>
      <c r="AB168" s="6">
        <f t="shared" si="8"/>
        <v>0</v>
      </c>
      <c r="AC168" s="6">
        <f>(L168-M168)*(W168+X168)+($W$182+$X$182-$W$168-$X$168)*(L168)</f>
        <v>1332.0338999999997</v>
      </c>
      <c r="AD168" s="6">
        <f t="shared" si="10"/>
        <v>0</v>
      </c>
      <c r="AE168" s="6">
        <f ca="1">(L168-M168)*(Z168+AA168)+($Z$182+$AA$182-$Z$168-$AA$168)*(L168)</f>
        <v>1311.2201933018687</v>
      </c>
      <c r="AF168" s="4" t="s">
        <v>591</v>
      </c>
    </row>
    <row r="169" spans="1:32" ht="11.25" customHeight="1" x14ac:dyDescent="0.25">
      <c r="A169" s="4" t="s">
        <v>21</v>
      </c>
      <c r="B169" s="4" t="s">
        <v>22</v>
      </c>
      <c r="C169" s="4" t="s">
        <v>23</v>
      </c>
      <c r="D169" s="4" t="s">
        <v>24</v>
      </c>
      <c r="E169" s="4" t="s">
        <v>30</v>
      </c>
      <c r="F169" s="4" t="s">
        <v>25</v>
      </c>
      <c r="G169" s="4" t="s">
        <v>25</v>
      </c>
      <c r="H169" s="4" t="s">
        <v>25</v>
      </c>
      <c r="I169" s="5">
        <v>44774</v>
      </c>
      <c r="J169" s="6">
        <v>0</v>
      </c>
      <c r="K169" s="6">
        <v>0</v>
      </c>
      <c r="L169" s="6">
        <v>7.5730000000000004</v>
      </c>
      <c r="M169" s="6">
        <v>7.5730000000000004</v>
      </c>
      <c r="N169" s="6">
        <v>7.5730000000000004</v>
      </c>
      <c r="O169" s="6">
        <v>7.5730000000000004</v>
      </c>
      <c r="P169" s="6">
        <v>32</v>
      </c>
      <c r="Q169" s="4" t="s">
        <v>26</v>
      </c>
      <c r="R169" s="4">
        <v>0</v>
      </c>
      <c r="S169" s="4">
        <v>0</v>
      </c>
      <c r="T169" s="4">
        <v>9</v>
      </c>
      <c r="U169" s="4">
        <v>52</v>
      </c>
      <c r="V169" s="6">
        <f>IF(ISERROR(VLOOKUP($S$169,'TAR FIN'!$A$1:$O$85,15,0)),0,VLOOKUP($S$169,'TAR FIN'!$A$1:$O$85,15,0))</f>
        <v>0</v>
      </c>
      <c r="W169" s="6">
        <f>IF(ISERROR(VLOOKUP($T$169,'TAR FIN'!$A$1:$O$85,15,0)),0,VLOOKUP($T$169,'TAR FIN'!$A$1:$O$85,15,0))</f>
        <v>186.51</v>
      </c>
      <c r="X169" s="6">
        <f>IF(ISERROR(VLOOKUP($U$169,'TAR FIN'!$A$1:$O$85,15,0)),0,VLOOKUP($U$169,'TAR FIN'!$A$1:$O$85,15,0))</f>
        <v>84.79</v>
      </c>
      <c r="Y169" s="6"/>
      <c r="Z169" s="6">
        <f ca="1">('TUSD BE'!$AM$22+'TUSD BF'!$AM$22+'TUSD CVA'!$AM$22-('TUSD BE'!$P$22+'TUSD BF'!$P$22+'TUSD CVA'!$P$22)-('TUSD BE'!$Q$22+'TUSD BF'!$Q$22+'TUSD CVA'!$Q$22)-('TUSD BE'!$R$22+'TUSD BF'!$R$22+'TUSD CVA'!$R$22))*(1-CUSTOS!$M$35)</f>
        <v>185.56719896001849</v>
      </c>
      <c r="AA169" s="6">
        <f>('TE BE'!$AB$12+'TE BF'!$AB$12+'TE CVA'!$AB$12)*(1-CUSTOS!$M$35)</f>
        <v>81.48375690594257</v>
      </c>
      <c r="AB169" s="6">
        <f t="shared" si="8"/>
        <v>0</v>
      </c>
      <c r="AC169" s="6">
        <f>(L169-M169)*(W169+X169)+($W$182+$X$182-$W$169-$X$169)*(L169)</f>
        <v>1369.6527799999997</v>
      </c>
      <c r="AD169" s="6">
        <f t="shared" si="10"/>
        <v>0</v>
      </c>
      <c r="AE169" s="6">
        <f ca="1">(L169-M169)*(Z169+AA169)+($Z$182+$AA$182-$Z$169-$AA$169)*(L169)</f>
        <v>1348.2512591819486</v>
      </c>
      <c r="AF169" s="4" t="s">
        <v>591</v>
      </c>
    </row>
    <row r="170" spans="1:32" ht="11.25" customHeight="1" x14ac:dyDescent="0.25">
      <c r="A170" s="4" t="s">
        <v>21</v>
      </c>
      <c r="B170" s="4" t="s">
        <v>22</v>
      </c>
      <c r="C170" s="4" t="s">
        <v>23</v>
      </c>
      <c r="D170" s="4" t="s">
        <v>24</v>
      </c>
      <c r="E170" s="4" t="s">
        <v>31</v>
      </c>
      <c r="F170" s="4" t="s">
        <v>25</v>
      </c>
      <c r="G170" s="4" t="s">
        <v>25</v>
      </c>
      <c r="H170" s="4" t="s">
        <v>25</v>
      </c>
      <c r="I170" s="5">
        <v>44440</v>
      </c>
      <c r="J170" s="6">
        <v>0</v>
      </c>
      <c r="K170" s="6">
        <v>0</v>
      </c>
      <c r="L170" s="6">
        <v>2.093</v>
      </c>
      <c r="M170" s="6">
        <v>2.093</v>
      </c>
      <c r="N170" s="6">
        <v>2.093</v>
      </c>
      <c r="O170" s="6">
        <v>2.093</v>
      </c>
      <c r="P170" s="6">
        <v>19</v>
      </c>
      <c r="Q170" s="4" t="s">
        <v>26</v>
      </c>
      <c r="R170" s="4">
        <v>0</v>
      </c>
      <c r="S170" s="4">
        <v>0</v>
      </c>
      <c r="T170" s="4">
        <v>8</v>
      </c>
      <c r="U170" s="4">
        <v>61</v>
      </c>
      <c r="V170" s="6">
        <f>IF(ISERROR(VLOOKUP($S$170,'TAR FIN'!$A$1:$O$85,15,0)),0,VLOOKUP($S$170,'TAR FIN'!$A$1:$O$85,15,0))</f>
        <v>0</v>
      </c>
      <c r="W170" s="6">
        <f>IF(ISERROR(VLOOKUP($T$170,'TAR FIN'!$A$1:$O$85,15,0)),0,VLOOKUP($T$170,'TAR FIN'!$A$1:$O$85,15,0))</f>
        <v>279.76</v>
      </c>
      <c r="X170" s="6">
        <f>IF(ISERROR(VLOOKUP($U$170,'TAR FIN'!$A$1:$O$85,15,0)),0,VLOOKUP($U$170,'TAR FIN'!$A$1:$O$85,15,0))</f>
        <v>127.19</v>
      </c>
      <c r="Y170" s="6"/>
      <c r="Z170" s="6">
        <f ca="1">('TUSD BE'!$AM$23+'TUSD BF'!$AM$23+'TUSD CVA'!$AM$23-('TUSD BE'!$P$23+'TUSD BF'!$P$23+'TUSD CVA'!$P$23)-('TUSD BE'!$Q$23+'TUSD BF'!$Q$23+'TUSD CVA'!$Q$23)-('TUSD BE'!$R$23+'TUSD BF'!$R$23+'TUSD CVA'!$R$23))*(1-CUSTOS!$M$36)</f>
        <v>278.35079844002775</v>
      </c>
      <c r="AA170" s="6">
        <f>('TE BE'!$AB$13+'TE BF'!$AB$13+'TE CVA'!$AB$13)*(1-CUSTOS!$M$36)</f>
        <v>122.22563535891386</v>
      </c>
      <c r="AB170" s="6">
        <f t="shared" si="8"/>
        <v>0</v>
      </c>
      <c r="AC170" s="6">
        <f>(L170-M170)*(W170+X170)+($W$182+$X$182-$W$170-$X$170)*(L170)</f>
        <v>94.62452999999995</v>
      </c>
      <c r="AD170" s="6">
        <f t="shared" si="10"/>
        <v>0</v>
      </c>
      <c r="AE170" s="6">
        <f ca="1">(L170-M170)*(Z170+AA170)+($Z$182+$AA$182-$Z$170-$AA$170)*(L170)</f>
        <v>93.156275104576068</v>
      </c>
      <c r="AF170" s="4" t="s">
        <v>591</v>
      </c>
    </row>
    <row r="171" spans="1:32" ht="11.25" customHeight="1" x14ac:dyDescent="0.25">
      <c r="A171" s="4" t="s">
        <v>21</v>
      </c>
      <c r="B171" s="4" t="s">
        <v>22</v>
      </c>
      <c r="C171" s="4" t="s">
        <v>23</v>
      </c>
      <c r="D171" s="4" t="s">
        <v>24</v>
      </c>
      <c r="E171" s="4" t="s">
        <v>31</v>
      </c>
      <c r="F171" s="4" t="s">
        <v>25</v>
      </c>
      <c r="G171" s="4" t="s">
        <v>25</v>
      </c>
      <c r="H171" s="4" t="s">
        <v>25</v>
      </c>
      <c r="I171" s="5">
        <v>44470</v>
      </c>
      <c r="J171" s="6">
        <v>0</v>
      </c>
      <c r="K171" s="6">
        <v>0</v>
      </c>
      <c r="L171" s="6">
        <v>2.202</v>
      </c>
      <c r="M171" s="6">
        <v>2.202</v>
      </c>
      <c r="N171" s="6">
        <v>2.202</v>
      </c>
      <c r="O171" s="6">
        <v>2.202</v>
      </c>
      <c r="P171" s="6">
        <v>18</v>
      </c>
      <c r="Q171" s="4" t="s">
        <v>26</v>
      </c>
      <c r="R171" s="4">
        <v>0</v>
      </c>
      <c r="S171" s="4">
        <v>0</v>
      </c>
      <c r="T171" s="4">
        <v>8</v>
      </c>
      <c r="U171" s="4">
        <v>61</v>
      </c>
      <c r="V171" s="6">
        <f>IF(ISERROR(VLOOKUP($S$171,'TAR FIN'!$A$1:$O$85,15,0)),0,VLOOKUP($S$171,'TAR FIN'!$A$1:$O$85,15,0))</f>
        <v>0</v>
      </c>
      <c r="W171" s="6">
        <f>IF(ISERROR(VLOOKUP($T$171,'TAR FIN'!$A$1:$O$85,15,0)),0,VLOOKUP($T$171,'TAR FIN'!$A$1:$O$85,15,0))</f>
        <v>279.76</v>
      </c>
      <c r="X171" s="6">
        <f>IF(ISERROR(VLOOKUP($U$171,'TAR FIN'!$A$1:$O$85,15,0)),0,VLOOKUP($U$171,'TAR FIN'!$A$1:$O$85,15,0))</f>
        <v>127.19</v>
      </c>
      <c r="Y171" s="6"/>
      <c r="Z171" s="6">
        <f ca="1">('TUSD BE'!$AM$23+'TUSD BF'!$AM$23+'TUSD CVA'!$AM$23-('TUSD BE'!$P$23+'TUSD BF'!$P$23+'TUSD CVA'!$P$23)-('TUSD BE'!$Q$23+'TUSD BF'!$Q$23+'TUSD CVA'!$Q$23)-('TUSD BE'!$R$23+'TUSD BF'!$R$23+'TUSD CVA'!$R$23))*(1-CUSTOS!$M$36)</f>
        <v>278.35079844002775</v>
      </c>
      <c r="AA171" s="6">
        <f>('TE BE'!$AB$13+'TE BF'!$AB$13+'TE CVA'!$AB$13)*(1-CUSTOS!$M$36)</f>
        <v>122.22563535891386</v>
      </c>
      <c r="AB171" s="6">
        <f t="shared" si="8"/>
        <v>0</v>
      </c>
      <c r="AC171" s="6">
        <f>(L171-M171)*(W171+X171)+($W$182+$X$182-$W$171-$X$171)*(L171)</f>
        <v>99.552419999999955</v>
      </c>
      <c r="AD171" s="6">
        <f t="shared" si="10"/>
        <v>0</v>
      </c>
      <c r="AE171" s="6">
        <f ca="1">(L171-M171)*(Z171+AA171)+($Z$182+$AA$182-$Z$171-$AA$171)*(L171)</f>
        <v>98.00770080280769</v>
      </c>
      <c r="AF171" s="4" t="s">
        <v>591</v>
      </c>
    </row>
    <row r="172" spans="1:32" ht="11.25" customHeight="1" x14ac:dyDescent="0.25">
      <c r="A172" s="4" t="s">
        <v>21</v>
      </c>
      <c r="B172" s="4" t="s">
        <v>22</v>
      </c>
      <c r="C172" s="4" t="s">
        <v>23</v>
      </c>
      <c r="D172" s="4" t="s">
        <v>24</v>
      </c>
      <c r="E172" s="4" t="s">
        <v>31</v>
      </c>
      <c r="F172" s="4" t="s">
        <v>25</v>
      </c>
      <c r="G172" s="4" t="s">
        <v>25</v>
      </c>
      <c r="H172" s="4" t="s">
        <v>25</v>
      </c>
      <c r="I172" s="5">
        <v>44501</v>
      </c>
      <c r="J172" s="6">
        <v>0</v>
      </c>
      <c r="K172" s="6">
        <v>0</v>
      </c>
      <c r="L172" s="6">
        <v>2.254</v>
      </c>
      <c r="M172" s="6">
        <v>2.254</v>
      </c>
      <c r="N172" s="6">
        <v>2.254</v>
      </c>
      <c r="O172" s="6">
        <v>2.254</v>
      </c>
      <c r="P172" s="6">
        <v>23</v>
      </c>
      <c r="Q172" s="4" t="s">
        <v>26</v>
      </c>
      <c r="R172" s="4">
        <v>0</v>
      </c>
      <c r="S172" s="4">
        <v>0</v>
      </c>
      <c r="T172" s="4">
        <v>8</v>
      </c>
      <c r="U172" s="4">
        <v>61</v>
      </c>
      <c r="V172" s="6">
        <f>IF(ISERROR(VLOOKUP($S$172,'TAR FIN'!$A$1:$O$85,15,0)),0,VLOOKUP($S$172,'TAR FIN'!$A$1:$O$85,15,0))</f>
        <v>0</v>
      </c>
      <c r="W172" s="6">
        <f>IF(ISERROR(VLOOKUP($T$172,'TAR FIN'!$A$1:$O$85,15,0)),0,VLOOKUP($T$172,'TAR FIN'!$A$1:$O$85,15,0))</f>
        <v>279.76</v>
      </c>
      <c r="X172" s="6">
        <f>IF(ISERROR(VLOOKUP($U$172,'TAR FIN'!$A$1:$O$85,15,0)),0,VLOOKUP($U$172,'TAR FIN'!$A$1:$O$85,15,0))</f>
        <v>127.19</v>
      </c>
      <c r="Y172" s="6"/>
      <c r="Z172" s="6">
        <f ca="1">('TUSD BE'!$AM$23+'TUSD BF'!$AM$23+'TUSD CVA'!$AM$23-('TUSD BE'!$P$23+'TUSD BF'!$P$23+'TUSD CVA'!$P$23)-('TUSD BE'!$Q$23+'TUSD BF'!$Q$23+'TUSD CVA'!$Q$23)-('TUSD BE'!$R$23+'TUSD BF'!$R$23+'TUSD CVA'!$R$23))*(1-CUSTOS!$M$36)</f>
        <v>278.35079844002775</v>
      </c>
      <c r="AA172" s="6">
        <f>('TE BE'!$AB$13+'TE BF'!$AB$13+'TE CVA'!$AB$13)*(1-CUSTOS!$M$36)</f>
        <v>122.22563535891386</v>
      </c>
      <c r="AB172" s="6">
        <f t="shared" si="8"/>
        <v>0</v>
      </c>
      <c r="AC172" s="6">
        <f>(L172-M172)*(W172+X172)+($W$182+$X$182-$W$172-$X$172)*(L172)</f>
        <v>101.90333999999996</v>
      </c>
      <c r="AD172" s="6">
        <f t="shared" si="10"/>
        <v>0</v>
      </c>
      <c r="AE172" s="6">
        <f ca="1">(L172-M172)*(Z172+AA172)+($Z$182+$AA$182-$Z$172-$AA$172)*(L172)</f>
        <v>100.32214242031269</v>
      </c>
      <c r="AF172" s="4" t="s">
        <v>591</v>
      </c>
    </row>
    <row r="173" spans="1:32" ht="11.25" customHeight="1" x14ac:dyDescent="0.25">
      <c r="A173" s="4" t="s">
        <v>21</v>
      </c>
      <c r="B173" s="4" t="s">
        <v>22</v>
      </c>
      <c r="C173" s="4" t="s">
        <v>23</v>
      </c>
      <c r="D173" s="4" t="s">
        <v>24</v>
      </c>
      <c r="E173" s="4" t="s">
        <v>31</v>
      </c>
      <c r="F173" s="4" t="s">
        <v>25</v>
      </c>
      <c r="G173" s="4" t="s">
        <v>25</v>
      </c>
      <c r="H173" s="4" t="s">
        <v>25</v>
      </c>
      <c r="I173" s="5">
        <v>44531</v>
      </c>
      <c r="J173" s="6">
        <v>0</v>
      </c>
      <c r="K173" s="6">
        <v>0</v>
      </c>
      <c r="L173" s="6">
        <v>2.601</v>
      </c>
      <c r="M173" s="6">
        <v>2.601</v>
      </c>
      <c r="N173" s="6">
        <v>2.601</v>
      </c>
      <c r="O173" s="6">
        <v>2.601</v>
      </c>
      <c r="P173" s="6">
        <v>23</v>
      </c>
      <c r="Q173" s="4" t="s">
        <v>26</v>
      </c>
      <c r="R173" s="4">
        <v>0</v>
      </c>
      <c r="S173" s="4">
        <v>0</v>
      </c>
      <c r="T173" s="4">
        <v>8</v>
      </c>
      <c r="U173" s="4">
        <v>61</v>
      </c>
      <c r="V173" s="6">
        <f>IF(ISERROR(VLOOKUP($S$173,'TAR FIN'!$A$1:$O$85,15,0)),0,VLOOKUP($S$173,'TAR FIN'!$A$1:$O$85,15,0))</f>
        <v>0</v>
      </c>
      <c r="W173" s="6">
        <f>IF(ISERROR(VLOOKUP($T$173,'TAR FIN'!$A$1:$O$85,15,0)),0,VLOOKUP($T$173,'TAR FIN'!$A$1:$O$85,15,0))</f>
        <v>279.76</v>
      </c>
      <c r="X173" s="6">
        <f>IF(ISERROR(VLOOKUP($U$173,'TAR FIN'!$A$1:$O$85,15,0)),0,VLOOKUP($U$173,'TAR FIN'!$A$1:$O$85,15,0))</f>
        <v>127.19</v>
      </c>
      <c r="Y173" s="6"/>
      <c r="Z173" s="6">
        <f ca="1">('TUSD BE'!$AM$23+'TUSD BF'!$AM$23+'TUSD CVA'!$AM$23-('TUSD BE'!$P$23+'TUSD BF'!$P$23+'TUSD CVA'!$P$23)-('TUSD BE'!$Q$23+'TUSD BF'!$Q$23+'TUSD CVA'!$Q$23)-('TUSD BE'!$R$23+'TUSD BF'!$R$23+'TUSD CVA'!$R$23))*(1-CUSTOS!$M$36)</f>
        <v>278.35079844002775</v>
      </c>
      <c r="AA173" s="6">
        <f>('TE BE'!$AB$13+'TE BF'!$AB$13+'TE CVA'!$AB$13)*(1-CUSTOS!$M$36)</f>
        <v>122.22563535891386</v>
      </c>
      <c r="AB173" s="6">
        <f t="shared" si="8"/>
        <v>0</v>
      </c>
      <c r="AC173" s="6">
        <f>(L173-M173)*(W173+X173)+($W$182+$X$182-$W$173-$X$173)*(L173)</f>
        <v>117.59120999999995</v>
      </c>
      <c r="AD173" s="6">
        <f t="shared" si="10"/>
        <v>0</v>
      </c>
      <c r="AE173" s="6">
        <f ca="1">(L173-M173)*(Z173+AA173)+($Z$182+$AA$182-$Z$173-$AA$173)*(L173)</f>
        <v>115.7665893678941</v>
      </c>
      <c r="AF173" s="4" t="s">
        <v>591</v>
      </c>
    </row>
    <row r="174" spans="1:32" ht="11.25" customHeight="1" x14ac:dyDescent="0.25">
      <c r="A174" s="4" t="s">
        <v>21</v>
      </c>
      <c r="B174" s="4" t="s">
        <v>22</v>
      </c>
      <c r="C174" s="4" t="s">
        <v>23</v>
      </c>
      <c r="D174" s="4" t="s">
        <v>24</v>
      </c>
      <c r="E174" s="4" t="s">
        <v>31</v>
      </c>
      <c r="F174" s="4" t="s">
        <v>25</v>
      </c>
      <c r="G174" s="4" t="s">
        <v>25</v>
      </c>
      <c r="H174" s="4" t="s">
        <v>25</v>
      </c>
      <c r="I174" s="5">
        <v>44562</v>
      </c>
      <c r="J174" s="6">
        <v>0</v>
      </c>
      <c r="K174" s="6">
        <v>0</v>
      </c>
      <c r="L174" s="6">
        <v>2.4950000000000001</v>
      </c>
      <c r="M174" s="6">
        <v>2.4950000000000001</v>
      </c>
      <c r="N174" s="6">
        <v>2.4950000000000001</v>
      </c>
      <c r="O174" s="6">
        <v>2.4950000000000001</v>
      </c>
      <c r="P174" s="6">
        <v>23</v>
      </c>
      <c r="Q174" s="4" t="s">
        <v>26</v>
      </c>
      <c r="R174" s="4">
        <v>0</v>
      </c>
      <c r="S174" s="4">
        <v>0</v>
      </c>
      <c r="T174" s="4">
        <v>8</v>
      </c>
      <c r="U174" s="4">
        <v>61</v>
      </c>
      <c r="V174" s="6">
        <f>IF(ISERROR(VLOOKUP($S$174,'TAR FIN'!$A$1:$O$85,15,0)),0,VLOOKUP($S$174,'TAR FIN'!$A$1:$O$85,15,0))</f>
        <v>0</v>
      </c>
      <c r="W174" s="6">
        <f>IF(ISERROR(VLOOKUP($T$174,'TAR FIN'!$A$1:$O$85,15,0)),0,VLOOKUP($T$174,'TAR FIN'!$A$1:$O$85,15,0))</f>
        <v>279.76</v>
      </c>
      <c r="X174" s="6">
        <f>IF(ISERROR(VLOOKUP($U$174,'TAR FIN'!$A$1:$O$85,15,0)),0,VLOOKUP($U$174,'TAR FIN'!$A$1:$O$85,15,0))</f>
        <v>127.19</v>
      </c>
      <c r="Y174" s="6"/>
      <c r="Z174" s="6">
        <f ca="1">('TUSD BE'!$AM$23+'TUSD BF'!$AM$23+'TUSD CVA'!$AM$23-('TUSD BE'!$P$23+'TUSD BF'!$P$23+'TUSD CVA'!$P$23)-('TUSD BE'!$Q$23+'TUSD BF'!$Q$23+'TUSD CVA'!$Q$23)-('TUSD BE'!$R$23+'TUSD BF'!$R$23+'TUSD CVA'!$R$23))*(1-CUSTOS!$M$36)</f>
        <v>278.35079844002775</v>
      </c>
      <c r="AA174" s="6">
        <f>('TE BE'!$AB$13+'TE BF'!$AB$13+'TE CVA'!$AB$13)*(1-CUSTOS!$M$36)</f>
        <v>122.22563535891386</v>
      </c>
      <c r="AB174" s="6">
        <f t="shared" si="8"/>
        <v>0</v>
      </c>
      <c r="AC174" s="6">
        <f>(L174-M174)*(W174+X174)+($W$182+$X$182-$W$174-$X$174)*(L174)</f>
        <v>112.79894999999995</v>
      </c>
      <c r="AD174" s="6">
        <f t="shared" si="10"/>
        <v>0</v>
      </c>
      <c r="AE174" s="6">
        <f ca="1">(L174-M174)*(Z174+AA174)+($Z$182+$AA$182-$Z$174-$AA$174)*(L174)</f>
        <v>111.04868914759545</v>
      </c>
      <c r="AF174" s="4" t="s">
        <v>591</v>
      </c>
    </row>
    <row r="175" spans="1:32" ht="11.25" customHeight="1" x14ac:dyDescent="0.25">
      <c r="A175" s="4" t="s">
        <v>21</v>
      </c>
      <c r="B175" s="4" t="s">
        <v>22</v>
      </c>
      <c r="C175" s="4" t="s">
        <v>23</v>
      </c>
      <c r="D175" s="4" t="s">
        <v>24</v>
      </c>
      <c r="E175" s="4" t="s">
        <v>31</v>
      </c>
      <c r="F175" s="4" t="s">
        <v>25</v>
      </c>
      <c r="G175" s="4" t="s">
        <v>25</v>
      </c>
      <c r="H175" s="4" t="s">
        <v>25</v>
      </c>
      <c r="I175" s="5">
        <v>44593</v>
      </c>
      <c r="J175" s="6">
        <v>0</v>
      </c>
      <c r="K175" s="6">
        <v>0</v>
      </c>
      <c r="L175" s="6">
        <v>4.25</v>
      </c>
      <c r="M175" s="6">
        <v>4.25</v>
      </c>
      <c r="N175" s="6">
        <v>4.25</v>
      </c>
      <c r="O175" s="6">
        <v>4.25</v>
      </c>
      <c r="P175" s="6">
        <v>40</v>
      </c>
      <c r="Q175" s="4" t="s">
        <v>26</v>
      </c>
      <c r="R175" s="4">
        <v>0</v>
      </c>
      <c r="S175" s="4">
        <v>0</v>
      </c>
      <c r="T175" s="4">
        <v>8</v>
      </c>
      <c r="U175" s="4">
        <v>61</v>
      </c>
      <c r="V175" s="6">
        <f>IF(ISERROR(VLOOKUP($S$175,'TAR FIN'!$A$1:$O$85,15,0)),0,VLOOKUP($S$175,'TAR FIN'!$A$1:$O$85,15,0))</f>
        <v>0</v>
      </c>
      <c r="W175" s="6">
        <f>IF(ISERROR(VLOOKUP($T$175,'TAR FIN'!$A$1:$O$85,15,0)),0,VLOOKUP($T$175,'TAR FIN'!$A$1:$O$85,15,0))</f>
        <v>279.76</v>
      </c>
      <c r="X175" s="6">
        <f>IF(ISERROR(VLOOKUP($U$175,'TAR FIN'!$A$1:$O$85,15,0)),0,VLOOKUP($U$175,'TAR FIN'!$A$1:$O$85,15,0))</f>
        <v>127.19</v>
      </c>
      <c r="Y175" s="6"/>
      <c r="Z175" s="6">
        <f ca="1">('TUSD BE'!$AM$23+'TUSD BF'!$AM$23+'TUSD CVA'!$AM$23-('TUSD BE'!$P$23+'TUSD BF'!$P$23+'TUSD CVA'!$P$23)-('TUSD BE'!$Q$23+'TUSD BF'!$Q$23+'TUSD CVA'!$Q$23)-('TUSD BE'!$R$23+'TUSD BF'!$R$23+'TUSD CVA'!$R$23))*(1-CUSTOS!$M$36)</f>
        <v>278.35079844002775</v>
      </c>
      <c r="AA175" s="6">
        <f>('TE BE'!$AB$13+'TE BF'!$AB$13+'TE CVA'!$AB$13)*(1-CUSTOS!$M$36)</f>
        <v>122.22563535891386</v>
      </c>
      <c r="AB175" s="6">
        <f t="shared" si="8"/>
        <v>0</v>
      </c>
      <c r="AC175" s="6">
        <f>(L175-M175)*(W175+X175)+($W$182+$X$182-$W$175-$X$175)*(L175)</f>
        <v>192.14249999999993</v>
      </c>
      <c r="AD175" s="6">
        <f t="shared" si="10"/>
        <v>0</v>
      </c>
      <c r="AE175" s="6">
        <f ca="1">(L175-M175)*(Z175+AA175)+($Z$182+$AA$182-$Z$175-$AA$175)*(L175)</f>
        <v>189.16109373838904</v>
      </c>
      <c r="AF175" s="4" t="s">
        <v>591</v>
      </c>
    </row>
    <row r="176" spans="1:32" ht="11.25" customHeight="1" x14ac:dyDescent="0.25">
      <c r="A176" s="4" t="s">
        <v>21</v>
      </c>
      <c r="B176" s="4" t="s">
        <v>22</v>
      </c>
      <c r="C176" s="4" t="s">
        <v>23</v>
      </c>
      <c r="D176" s="4" t="s">
        <v>24</v>
      </c>
      <c r="E176" s="4" t="s">
        <v>31</v>
      </c>
      <c r="F176" s="4" t="s">
        <v>25</v>
      </c>
      <c r="G176" s="4" t="s">
        <v>25</v>
      </c>
      <c r="H176" s="4" t="s">
        <v>25</v>
      </c>
      <c r="I176" s="5">
        <v>44621</v>
      </c>
      <c r="J176" s="6">
        <v>0</v>
      </c>
      <c r="K176" s="6">
        <v>0</v>
      </c>
      <c r="L176" s="6">
        <v>4.2169999999999996</v>
      </c>
      <c r="M176" s="6">
        <v>4.2169999999999996</v>
      </c>
      <c r="N176" s="6">
        <v>4.2169999999999996</v>
      </c>
      <c r="O176" s="6">
        <v>4.2169999999999996</v>
      </c>
      <c r="P176" s="6">
        <v>39</v>
      </c>
      <c r="Q176" s="4" t="s">
        <v>26</v>
      </c>
      <c r="R176" s="4">
        <v>0</v>
      </c>
      <c r="S176" s="4">
        <v>0</v>
      </c>
      <c r="T176" s="4">
        <v>8</v>
      </c>
      <c r="U176" s="4">
        <v>61</v>
      </c>
      <c r="V176" s="6">
        <f>IF(ISERROR(VLOOKUP($S$176,'TAR FIN'!$A$1:$O$85,15,0)),0,VLOOKUP($S$176,'TAR FIN'!$A$1:$O$85,15,0))</f>
        <v>0</v>
      </c>
      <c r="W176" s="6">
        <f>IF(ISERROR(VLOOKUP($T$176,'TAR FIN'!$A$1:$O$85,15,0)),0,VLOOKUP($T$176,'TAR FIN'!$A$1:$O$85,15,0))</f>
        <v>279.76</v>
      </c>
      <c r="X176" s="6">
        <f>IF(ISERROR(VLOOKUP($U$176,'TAR FIN'!$A$1:$O$85,15,0)),0,VLOOKUP($U$176,'TAR FIN'!$A$1:$O$85,15,0))</f>
        <v>127.19</v>
      </c>
      <c r="Y176" s="6"/>
      <c r="Z176" s="6">
        <f ca="1">('TUSD BE'!$AM$23+'TUSD BF'!$AM$23+'TUSD CVA'!$AM$23-('TUSD BE'!$P$23+'TUSD BF'!$P$23+'TUSD CVA'!$P$23)-('TUSD BE'!$Q$23+'TUSD BF'!$Q$23+'TUSD CVA'!$Q$23)-('TUSD BE'!$R$23+'TUSD BF'!$R$23+'TUSD CVA'!$R$23))*(1-CUSTOS!$M$36)</f>
        <v>278.35079844002775</v>
      </c>
      <c r="AA176" s="6">
        <f>('TE BE'!$AB$13+'TE BF'!$AB$13+'TE CVA'!$AB$13)*(1-CUSTOS!$M$36)</f>
        <v>122.22563535891386</v>
      </c>
      <c r="AB176" s="6">
        <f t="shared" si="8"/>
        <v>0</v>
      </c>
      <c r="AC176" s="6">
        <f>(L176-M176)*(W176+X176)+($W$182+$X$182-$W$176-$X$176)*(L176)</f>
        <v>190.6505699999999</v>
      </c>
      <c r="AD176" s="6">
        <f t="shared" si="10"/>
        <v>0</v>
      </c>
      <c r="AE176" s="6">
        <f ca="1">(L176-M176)*(Z176+AA176)+($Z$182+$AA$182-$Z$176-$AA$176)*(L176)</f>
        <v>187.69231348112626</v>
      </c>
      <c r="AF176" s="4" t="s">
        <v>591</v>
      </c>
    </row>
    <row r="177" spans="1:32" ht="11.25" customHeight="1" x14ac:dyDescent="0.25">
      <c r="A177" s="4" t="s">
        <v>21</v>
      </c>
      <c r="B177" s="4" t="s">
        <v>22</v>
      </c>
      <c r="C177" s="4" t="s">
        <v>23</v>
      </c>
      <c r="D177" s="4" t="s">
        <v>24</v>
      </c>
      <c r="E177" s="4" t="s">
        <v>31</v>
      </c>
      <c r="F177" s="4" t="s">
        <v>25</v>
      </c>
      <c r="G177" s="4" t="s">
        <v>25</v>
      </c>
      <c r="H177" s="4" t="s">
        <v>25</v>
      </c>
      <c r="I177" s="5">
        <v>44652</v>
      </c>
      <c r="J177" s="6">
        <v>0</v>
      </c>
      <c r="K177" s="6">
        <v>0</v>
      </c>
      <c r="L177" s="6">
        <v>7.976</v>
      </c>
      <c r="M177" s="6">
        <v>7.976</v>
      </c>
      <c r="N177" s="6">
        <v>7.976</v>
      </c>
      <c r="O177" s="6">
        <v>7.976</v>
      </c>
      <c r="P177" s="6">
        <v>61</v>
      </c>
      <c r="Q177" s="4" t="s">
        <v>26</v>
      </c>
      <c r="R177" s="4">
        <v>0</v>
      </c>
      <c r="S177" s="4">
        <v>0</v>
      </c>
      <c r="T177" s="4">
        <v>8</v>
      </c>
      <c r="U177" s="4">
        <v>61</v>
      </c>
      <c r="V177" s="6">
        <f>IF(ISERROR(VLOOKUP($S$177,'TAR FIN'!$A$1:$O$85,15,0)),0,VLOOKUP($S$177,'TAR FIN'!$A$1:$O$85,15,0))</f>
        <v>0</v>
      </c>
      <c r="W177" s="6">
        <f>IF(ISERROR(VLOOKUP($T$177,'TAR FIN'!$A$1:$O$85,15,0)),0,VLOOKUP($T$177,'TAR FIN'!$A$1:$O$85,15,0))</f>
        <v>279.76</v>
      </c>
      <c r="X177" s="6">
        <f>IF(ISERROR(VLOOKUP($U$177,'TAR FIN'!$A$1:$O$85,15,0)),0,VLOOKUP($U$177,'TAR FIN'!$A$1:$O$85,15,0))</f>
        <v>127.19</v>
      </c>
      <c r="Y177" s="6"/>
      <c r="Z177" s="6">
        <f ca="1">('TUSD BE'!$AM$23+'TUSD BF'!$AM$23+'TUSD CVA'!$AM$23-('TUSD BE'!$P$23+'TUSD BF'!$P$23+'TUSD CVA'!$P$23)-('TUSD BE'!$Q$23+'TUSD BF'!$Q$23+'TUSD CVA'!$Q$23)-('TUSD BE'!$R$23+'TUSD BF'!$R$23+'TUSD CVA'!$R$23))*(1-CUSTOS!$M$36)</f>
        <v>278.35079844002775</v>
      </c>
      <c r="AA177" s="6">
        <f>('TE BE'!$AB$13+'TE BF'!$AB$13+'TE CVA'!$AB$13)*(1-CUSTOS!$M$36)</f>
        <v>122.22563535891386</v>
      </c>
      <c r="AB177" s="6">
        <f t="shared" si="8"/>
        <v>0</v>
      </c>
      <c r="AC177" s="6">
        <f>(L177-M177)*(W177+X177)+($W$182+$X$182-$W$177-$X$177)*(L177)</f>
        <v>360.59495999999984</v>
      </c>
      <c r="AD177" s="6">
        <f t="shared" si="10"/>
        <v>0</v>
      </c>
      <c r="AE177" s="6">
        <f ca="1">(L177-M177)*(Z177+AA177)+($Z$182+$AA$182-$Z$177-$AA$177)*(L177)</f>
        <v>354.99973733115087</v>
      </c>
      <c r="AF177" s="4" t="s">
        <v>591</v>
      </c>
    </row>
    <row r="178" spans="1:32" ht="11.25" customHeight="1" x14ac:dyDescent="0.25">
      <c r="A178" s="4" t="s">
        <v>21</v>
      </c>
      <c r="B178" s="4" t="s">
        <v>22</v>
      </c>
      <c r="C178" s="4" t="s">
        <v>23</v>
      </c>
      <c r="D178" s="4" t="s">
        <v>24</v>
      </c>
      <c r="E178" s="4" t="s">
        <v>31</v>
      </c>
      <c r="F178" s="4" t="s">
        <v>25</v>
      </c>
      <c r="G178" s="4" t="s">
        <v>25</v>
      </c>
      <c r="H178" s="4" t="s">
        <v>25</v>
      </c>
      <c r="I178" s="5">
        <v>44682</v>
      </c>
      <c r="J178" s="6">
        <v>0</v>
      </c>
      <c r="K178" s="6">
        <v>0</v>
      </c>
      <c r="L178" s="6">
        <v>7.9139999999999997</v>
      </c>
      <c r="M178" s="6">
        <v>7.9139999999999997</v>
      </c>
      <c r="N178" s="6">
        <v>7.9139999999999997</v>
      </c>
      <c r="O178" s="6">
        <v>7.9139999999999997</v>
      </c>
      <c r="P178" s="6">
        <v>57</v>
      </c>
      <c r="Q178" s="4" t="s">
        <v>26</v>
      </c>
      <c r="R178" s="4">
        <v>0</v>
      </c>
      <c r="S178" s="4">
        <v>0</v>
      </c>
      <c r="T178" s="4">
        <v>8</v>
      </c>
      <c r="U178" s="4">
        <v>61</v>
      </c>
      <c r="V178" s="6">
        <f>IF(ISERROR(VLOOKUP($S$178,'TAR FIN'!$A$1:$O$85,15,0)),0,VLOOKUP($S$178,'TAR FIN'!$A$1:$O$85,15,0))</f>
        <v>0</v>
      </c>
      <c r="W178" s="6">
        <f>IF(ISERROR(VLOOKUP($T$178,'TAR FIN'!$A$1:$O$85,15,0)),0,VLOOKUP($T$178,'TAR FIN'!$A$1:$O$85,15,0))</f>
        <v>279.76</v>
      </c>
      <c r="X178" s="6">
        <f>IF(ISERROR(VLOOKUP($U$178,'TAR FIN'!$A$1:$O$85,15,0)),0,VLOOKUP($U$178,'TAR FIN'!$A$1:$O$85,15,0))</f>
        <v>127.19</v>
      </c>
      <c r="Y178" s="6"/>
      <c r="Z178" s="6">
        <f ca="1">('TUSD BE'!$AM$23+'TUSD BF'!$AM$23+'TUSD CVA'!$AM$23-('TUSD BE'!$P$23+'TUSD BF'!$P$23+'TUSD CVA'!$P$23)-('TUSD BE'!$Q$23+'TUSD BF'!$Q$23+'TUSD CVA'!$Q$23)-('TUSD BE'!$R$23+'TUSD BF'!$R$23+'TUSD CVA'!$R$23))*(1-CUSTOS!$M$36)</f>
        <v>278.35079844002775</v>
      </c>
      <c r="AA178" s="6">
        <f>('TE BE'!$AB$13+'TE BF'!$AB$13+'TE CVA'!$AB$13)*(1-CUSTOS!$M$36)</f>
        <v>122.22563535891386</v>
      </c>
      <c r="AB178" s="6">
        <f t="shared" si="8"/>
        <v>0</v>
      </c>
      <c r="AC178" s="6">
        <f>(L178-M178)*(W178+X178)+($W$182+$X$182-$W$178-$X$178)*(L178)</f>
        <v>357.79193999999984</v>
      </c>
      <c r="AD178" s="6">
        <f t="shared" si="10"/>
        <v>0</v>
      </c>
      <c r="AE178" s="6">
        <f ca="1">(L178-M178)*(Z178+AA178)+($Z$182+$AA$182-$Z$178-$AA$178)*(L178)</f>
        <v>352.24021078720256</v>
      </c>
      <c r="AF178" s="4" t="s">
        <v>591</v>
      </c>
    </row>
    <row r="179" spans="1:32" ht="11.25" customHeight="1" x14ac:dyDescent="0.25">
      <c r="A179" s="4" t="s">
        <v>21</v>
      </c>
      <c r="B179" s="4" t="s">
        <v>22</v>
      </c>
      <c r="C179" s="4" t="s">
        <v>23</v>
      </c>
      <c r="D179" s="4" t="s">
        <v>24</v>
      </c>
      <c r="E179" s="4" t="s">
        <v>31</v>
      </c>
      <c r="F179" s="4" t="s">
        <v>25</v>
      </c>
      <c r="G179" s="4" t="s">
        <v>25</v>
      </c>
      <c r="H179" s="4" t="s">
        <v>25</v>
      </c>
      <c r="I179" s="5">
        <v>44713</v>
      </c>
      <c r="J179" s="6">
        <v>0</v>
      </c>
      <c r="K179" s="6">
        <v>0</v>
      </c>
      <c r="L179" s="6">
        <v>7.9269999999999996</v>
      </c>
      <c r="M179" s="6">
        <v>7.9269999999999996</v>
      </c>
      <c r="N179" s="6">
        <v>7.9269999999999996</v>
      </c>
      <c r="O179" s="6">
        <v>7.9269999999999996</v>
      </c>
      <c r="P179" s="6">
        <v>60</v>
      </c>
      <c r="Q179" s="4" t="s">
        <v>26</v>
      </c>
      <c r="R179" s="4">
        <v>0</v>
      </c>
      <c r="S179" s="4">
        <v>0</v>
      </c>
      <c r="T179" s="4">
        <v>8</v>
      </c>
      <c r="U179" s="4">
        <v>61</v>
      </c>
      <c r="V179" s="6">
        <f>IF(ISERROR(VLOOKUP($S$179,'TAR FIN'!$A$1:$O$85,15,0)),0,VLOOKUP($S$179,'TAR FIN'!$A$1:$O$85,15,0))</f>
        <v>0</v>
      </c>
      <c r="W179" s="6">
        <f>IF(ISERROR(VLOOKUP($T$179,'TAR FIN'!$A$1:$O$85,15,0)),0,VLOOKUP($T$179,'TAR FIN'!$A$1:$O$85,15,0))</f>
        <v>279.76</v>
      </c>
      <c r="X179" s="6">
        <f>IF(ISERROR(VLOOKUP($U$179,'TAR FIN'!$A$1:$O$85,15,0)),0,VLOOKUP($U$179,'TAR FIN'!$A$1:$O$85,15,0))</f>
        <v>127.19</v>
      </c>
      <c r="Y179" s="6"/>
      <c r="Z179" s="6">
        <f ca="1">('TUSD BE'!$AM$23+'TUSD BF'!$AM$23+'TUSD CVA'!$AM$23-('TUSD BE'!$P$23+'TUSD BF'!$P$23+'TUSD CVA'!$P$23)-('TUSD BE'!$Q$23+'TUSD BF'!$Q$23+'TUSD CVA'!$Q$23)-('TUSD BE'!$R$23+'TUSD BF'!$R$23+'TUSD CVA'!$R$23))*(1-CUSTOS!$M$36)</f>
        <v>278.35079844002775</v>
      </c>
      <c r="AA179" s="6">
        <f>('TE BE'!$AB$13+'TE BF'!$AB$13+'TE CVA'!$AB$13)*(1-CUSTOS!$M$36)</f>
        <v>122.22563535891386</v>
      </c>
      <c r="AB179" s="6">
        <f t="shared" si="8"/>
        <v>0</v>
      </c>
      <c r="AC179" s="6">
        <f>(L179-M179)*(W179+X179)+($W$182+$X$182-$W$179-$X$179)*(L179)</f>
        <v>358.37966999999981</v>
      </c>
      <c r="AD179" s="6">
        <f t="shared" si="10"/>
        <v>0</v>
      </c>
      <c r="AE179" s="6">
        <f ca="1">(L179-M179)*(Z179+AA179)+($Z$182+$AA$182-$Z$179-$AA$179)*(L179)</f>
        <v>352.81882119157882</v>
      </c>
      <c r="AF179" s="4" t="s">
        <v>591</v>
      </c>
    </row>
    <row r="180" spans="1:32" ht="11.25" customHeight="1" x14ac:dyDescent="0.25">
      <c r="A180" s="4" t="s">
        <v>21</v>
      </c>
      <c r="B180" s="4" t="s">
        <v>22</v>
      </c>
      <c r="C180" s="4" t="s">
        <v>23</v>
      </c>
      <c r="D180" s="4" t="s">
        <v>24</v>
      </c>
      <c r="E180" s="4" t="s">
        <v>31</v>
      </c>
      <c r="F180" s="4" t="s">
        <v>25</v>
      </c>
      <c r="G180" s="4" t="s">
        <v>25</v>
      </c>
      <c r="H180" s="4" t="s">
        <v>25</v>
      </c>
      <c r="I180" s="5">
        <v>44743</v>
      </c>
      <c r="J180" s="6">
        <v>0</v>
      </c>
      <c r="K180" s="6">
        <v>0</v>
      </c>
      <c r="L180" s="6">
        <v>7.6959999999999997</v>
      </c>
      <c r="M180" s="6">
        <v>7.6959999999999997</v>
      </c>
      <c r="N180" s="6">
        <v>7.6959999999999997</v>
      </c>
      <c r="O180" s="6">
        <v>7.6959999999999997</v>
      </c>
      <c r="P180" s="6">
        <v>51</v>
      </c>
      <c r="Q180" s="4" t="s">
        <v>26</v>
      </c>
      <c r="R180" s="4">
        <v>0</v>
      </c>
      <c r="S180" s="4">
        <v>0</v>
      </c>
      <c r="T180" s="4">
        <v>8</v>
      </c>
      <c r="U180" s="4">
        <v>61</v>
      </c>
      <c r="V180" s="6">
        <f>IF(ISERROR(VLOOKUP($S$180,'TAR FIN'!$A$1:$O$85,15,0)),0,VLOOKUP($S$180,'TAR FIN'!$A$1:$O$85,15,0))</f>
        <v>0</v>
      </c>
      <c r="W180" s="6">
        <f>IF(ISERROR(VLOOKUP($T$180,'TAR FIN'!$A$1:$O$85,15,0)),0,VLOOKUP($T$180,'TAR FIN'!$A$1:$O$85,15,0))</f>
        <v>279.76</v>
      </c>
      <c r="X180" s="6">
        <f>IF(ISERROR(VLOOKUP($U$180,'TAR FIN'!$A$1:$O$85,15,0)),0,VLOOKUP($U$180,'TAR FIN'!$A$1:$O$85,15,0))</f>
        <v>127.19</v>
      </c>
      <c r="Y180" s="6"/>
      <c r="Z180" s="6">
        <f ca="1">('TUSD BE'!$AM$23+'TUSD BF'!$AM$23+'TUSD CVA'!$AM$23-('TUSD BE'!$P$23+'TUSD BF'!$P$23+'TUSD CVA'!$P$23)-('TUSD BE'!$Q$23+'TUSD BF'!$Q$23+'TUSD CVA'!$Q$23)-('TUSD BE'!$R$23+'TUSD BF'!$R$23+'TUSD CVA'!$R$23))*(1-CUSTOS!$M$36)</f>
        <v>278.35079844002775</v>
      </c>
      <c r="AA180" s="6">
        <f>('TE BE'!$AB$13+'TE BF'!$AB$13+'TE CVA'!$AB$13)*(1-CUSTOS!$M$36)</f>
        <v>122.22563535891386</v>
      </c>
      <c r="AB180" s="6">
        <f t="shared" si="8"/>
        <v>0</v>
      </c>
      <c r="AC180" s="6">
        <f>(L180-M180)*(W180+X180)+($W$182+$X$182-$W$180-$X$180)*(L180)</f>
        <v>347.9361599999998</v>
      </c>
      <c r="AD180" s="6">
        <f t="shared" si="10"/>
        <v>0</v>
      </c>
      <c r="AE180" s="6">
        <f ca="1">(L180-M180)*(Z180+AA180)+($Z$182+$AA$182-$Z$180-$AA$180)*(L180)</f>
        <v>342.53735939073931</v>
      </c>
      <c r="AF180" s="4" t="s">
        <v>591</v>
      </c>
    </row>
    <row r="181" spans="1:32" ht="11.25" customHeight="1" x14ac:dyDescent="0.25">
      <c r="A181" s="4" t="s">
        <v>21</v>
      </c>
      <c r="B181" s="4" t="s">
        <v>22</v>
      </c>
      <c r="C181" s="4" t="s">
        <v>23</v>
      </c>
      <c r="D181" s="4" t="s">
        <v>24</v>
      </c>
      <c r="E181" s="4" t="s">
        <v>31</v>
      </c>
      <c r="F181" s="4" t="s">
        <v>25</v>
      </c>
      <c r="G181" s="4" t="s">
        <v>25</v>
      </c>
      <c r="H181" s="4" t="s">
        <v>25</v>
      </c>
      <c r="I181" s="5">
        <v>44774</v>
      </c>
      <c r="J181" s="6">
        <v>0</v>
      </c>
      <c r="K181" s="6">
        <v>0</v>
      </c>
      <c r="L181" s="6">
        <v>7.2489999999999997</v>
      </c>
      <c r="M181" s="6">
        <v>7.2489999999999997</v>
      </c>
      <c r="N181" s="6">
        <v>7.2489999999999997</v>
      </c>
      <c r="O181" s="6">
        <v>7.2489999999999997</v>
      </c>
      <c r="P181" s="6">
        <v>59</v>
      </c>
      <c r="Q181" s="4" t="s">
        <v>26</v>
      </c>
      <c r="R181" s="4">
        <v>0</v>
      </c>
      <c r="S181" s="4">
        <v>0</v>
      </c>
      <c r="T181" s="4">
        <v>8</v>
      </c>
      <c r="U181" s="4">
        <v>61</v>
      </c>
      <c r="V181" s="6">
        <f>IF(ISERROR(VLOOKUP($S$181,'TAR FIN'!$A$1:$O$85,15,0)),0,VLOOKUP($S$181,'TAR FIN'!$A$1:$O$85,15,0))</f>
        <v>0</v>
      </c>
      <c r="W181" s="6">
        <f>IF(ISERROR(VLOOKUP($T$181,'TAR FIN'!$A$1:$O$85,15,0)),0,VLOOKUP($T$181,'TAR FIN'!$A$1:$O$85,15,0))</f>
        <v>279.76</v>
      </c>
      <c r="X181" s="6">
        <f>IF(ISERROR(VLOOKUP($U$181,'TAR FIN'!$A$1:$O$85,15,0)),0,VLOOKUP($U$181,'TAR FIN'!$A$1:$O$85,15,0))</f>
        <v>127.19</v>
      </c>
      <c r="Y181" s="6"/>
      <c r="Z181" s="6">
        <f ca="1">('TUSD BE'!$AM$23+'TUSD BF'!$AM$23+'TUSD CVA'!$AM$23-('TUSD BE'!$P$23+'TUSD BF'!$P$23+'TUSD CVA'!$P$23)-('TUSD BE'!$Q$23+'TUSD BF'!$Q$23+'TUSD CVA'!$Q$23)-('TUSD BE'!$R$23+'TUSD BF'!$R$23+'TUSD CVA'!$R$23))*(1-CUSTOS!$M$36)</f>
        <v>278.35079844002775</v>
      </c>
      <c r="AA181" s="6">
        <f>('TE BE'!$AB$13+'TE BF'!$AB$13+'TE CVA'!$AB$13)*(1-CUSTOS!$M$36)</f>
        <v>122.22563535891386</v>
      </c>
      <c r="AB181" s="6">
        <f t="shared" si="8"/>
        <v>0</v>
      </c>
      <c r="AC181" s="6">
        <f>(L181-M181)*(W181+X181)+($W$182+$X$182-$W$181-$X$181)*(L181)</f>
        <v>327.72728999999981</v>
      </c>
      <c r="AD181" s="6">
        <f t="shared" si="10"/>
        <v>0</v>
      </c>
      <c r="AE181" s="6">
        <f ca="1">(L181-M181)*(Z181+AA181)+($Z$182+$AA$182-$Z$181-$AA$181)*(L181)</f>
        <v>322.64206317872521</v>
      </c>
      <c r="AF181" s="4" t="s">
        <v>591</v>
      </c>
    </row>
    <row r="182" spans="1:32" ht="11.25" customHeight="1" x14ac:dyDescent="0.25">
      <c r="A182" s="4" t="s">
        <v>21</v>
      </c>
      <c r="B182" s="4" t="s">
        <v>22</v>
      </c>
      <c r="C182" s="4" t="s">
        <v>23</v>
      </c>
      <c r="D182" s="4" t="s">
        <v>24</v>
      </c>
      <c r="E182" s="4" t="s">
        <v>32</v>
      </c>
      <c r="F182" s="4" t="s">
        <v>25</v>
      </c>
      <c r="G182" s="4" t="s">
        <v>25</v>
      </c>
      <c r="H182" s="4" t="s">
        <v>25</v>
      </c>
      <c r="I182" s="5">
        <v>44440</v>
      </c>
      <c r="J182" s="6">
        <v>0</v>
      </c>
      <c r="K182" s="6">
        <v>0</v>
      </c>
      <c r="L182" s="6">
        <v>0.58399999999999996</v>
      </c>
      <c r="M182" s="6">
        <v>0.58399999999999996</v>
      </c>
      <c r="N182" s="6">
        <v>0.58399999999999996</v>
      </c>
      <c r="O182" s="6">
        <v>0.58399999999999996</v>
      </c>
      <c r="P182" s="6">
        <v>8</v>
      </c>
      <c r="Q182" s="4" t="s">
        <v>26</v>
      </c>
      <c r="R182" s="4">
        <v>0</v>
      </c>
      <c r="S182" s="4">
        <v>0</v>
      </c>
      <c r="T182" s="4">
        <v>26</v>
      </c>
      <c r="U182" s="4">
        <v>79</v>
      </c>
      <c r="V182" s="6">
        <f>IF(ISERROR(VLOOKUP($S$182,'TAR FIN'!$A$1:$O$85,15,0)),0,VLOOKUP($S$182,'TAR FIN'!$A$1:$O$85,15,0))</f>
        <v>0</v>
      </c>
      <c r="W182" s="6">
        <f>IF(ISERROR(VLOOKUP($T$182,'TAR FIN'!$A$1:$O$85,15,0)),0,VLOOKUP($T$182,'TAR FIN'!$A$1:$O$85,15,0))</f>
        <v>310.83999999999997</v>
      </c>
      <c r="X182" s="6">
        <f>IF(ISERROR(VLOOKUP($U$182,'TAR FIN'!$A$1:$O$85,15,0)),0,VLOOKUP($U$182,'TAR FIN'!$A$1:$O$85,15,0))</f>
        <v>141.32</v>
      </c>
      <c r="Y182" s="6"/>
      <c r="Z182" s="6">
        <f ca="1">('TUSD BE'!$AM$24+'TUSD BF'!$AM$24+'TUSD CVA'!$AM$24-('TUSD BE'!$P$24+'TUSD BF'!$P$24+'TUSD CVA'!$P$24)-('TUSD BE'!$Q$24+'TUSD BF'!$Q$24+'TUSD CVA'!$Q$24)-('TUSD BE'!$R$24+'TUSD BF'!$R$24+'TUSD CVA'!$R$24))*(1-CUSTOS!$M$37)</f>
        <v>309.27866493336415</v>
      </c>
      <c r="AA182" s="6">
        <f>('TE BE'!$AB$14+'TE BF'!$AB$14+'TE CVA'!$AB$14)*(1-CUSTOS!$M$37)</f>
        <v>135.80626150990429</v>
      </c>
      <c r="AB182" s="6">
        <f t="shared" si="8"/>
        <v>0</v>
      </c>
      <c r="AC182" s="6">
        <f>(L182-M182)*(W182+X182)+($W$182+$X$182-$W$182-$X$182)*(L182)</f>
        <v>0</v>
      </c>
      <c r="AD182" s="6">
        <f t="shared" si="10"/>
        <v>0</v>
      </c>
      <c r="AE182" s="6">
        <f ca="1">(L182-M182)*(Z182+AA182)+($Z$182+$AA$182-$Z$182-$AA$182)*(L182)</f>
        <v>0</v>
      </c>
      <c r="AF182" s="4" t="s">
        <v>591</v>
      </c>
    </row>
    <row r="183" spans="1:32" ht="11.25" customHeight="1" x14ac:dyDescent="0.25">
      <c r="A183" s="4" t="s">
        <v>21</v>
      </c>
      <c r="B183" s="4" t="s">
        <v>22</v>
      </c>
      <c r="C183" s="4" t="s">
        <v>23</v>
      </c>
      <c r="D183" s="4" t="s">
        <v>24</v>
      </c>
      <c r="E183" s="4" t="s">
        <v>32</v>
      </c>
      <c r="F183" s="4" t="s">
        <v>25</v>
      </c>
      <c r="G183" s="4" t="s">
        <v>25</v>
      </c>
      <c r="H183" s="4" t="s">
        <v>25</v>
      </c>
      <c r="I183" s="5">
        <v>44470</v>
      </c>
      <c r="J183" s="6">
        <v>0</v>
      </c>
      <c r="K183" s="6">
        <v>0</v>
      </c>
      <c r="L183" s="6">
        <v>0.60099999999999998</v>
      </c>
      <c r="M183" s="6">
        <v>0.60099999999999998</v>
      </c>
      <c r="N183" s="6">
        <v>0.60099999999999998</v>
      </c>
      <c r="O183" s="6">
        <v>0.60099999999999998</v>
      </c>
      <c r="P183" s="6">
        <v>8</v>
      </c>
      <c r="Q183" s="4" t="s">
        <v>26</v>
      </c>
      <c r="R183" s="4">
        <v>0</v>
      </c>
      <c r="S183" s="4">
        <v>0</v>
      </c>
      <c r="T183" s="4">
        <v>26</v>
      </c>
      <c r="U183" s="4">
        <v>79</v>
      </c>
      <c r="V183" s="6">
        <f>IF(ISERROR(VLOOKUP($S$183,'TAR FIN'!$A$1:$O$85,15,0)),0,VLOOKUP($S$183,'TAR FIN'!$A$1:$O$85,15,0))</f>
        <v>0</v>
      </c>
      <c r="W183" s="6">
        <f>IF(ISERROR(VLOOKUP($T$183,'TAR FIN'!$A$1:$O$85,15,0)),0,VLOOKUP($T$183,'TAR FIN'!$A$1:$O$85,15,0))</f>
        <v>310.83999999999997</v>
      </c>
      <c r="X183" s="6">
        <f>IF(ISERROR(VLOOKUP($U$183,'TAR FIN'!$A$1:$O$85,15,0)),0,VLOOKUP($U$183,'TAR FIN'!$A$1:$O$85,15,0))</f>
        <v>141.32</v>
      </c>
      <c r="Y183" s="6"/>
      <c r="Z183" s="6">
        <f ca="1">('TUSD BE'!$AM$24+'TUSD BF'!$AM$24+'TUSD CVA'!$AM$24-('TUSD BE'!$P$24+'TUSD BF'!$P$24+'TUSD CVA'!$P$24)-('TUSD BE'!$Q$24+'TUSD BF'!$Q$24+'TUSD CVA'!$Q$24)-('TUSD BE'!$R$24+'TUSD BF'!$R$24+'TUSD CVA'!$R$24))*(1-CUSTOS!$M$37)</f>
        <v>309.27866493336415</v>
      </c>
      <c r="AA183" s="6">
        <f>('TE BE'!$AB$14+'TE BF'!$AB$14+'TE CVA'!$AB$14)*(1-CUSTOS!$M$37)</f>
        <v>135.80626150990429</v>
      </c>
      <c r="AB183" s="6">
        <f t="shared" si="8"/>
        <v>0</v>
      </c>
      <c r="AC183" s="6">
        <f>(L183-M183)*(W183+X183)+($W$182+$X$182-$W$183-$X$183)*(L183)</f>
        <v>0</v>
      </c>
      <c r="AD183" s="6">
        <f t="shared" si="10"/>
        <v>0</v>
      </c>
      <c r="AE183" s="6">
        <f ca="1">(L183-M183)*(Z183+AA183)+($Z$182+$AA$182-$Z$183-$AA$183)*(L183)</f>
        <v>0</v>
      </c>
      <c r="AF183" s="4" t="s">
        <v>591</v>
      </c>
    </row>
    <row r="184" spans="1:32" ht="11.25" customHeight="1" x14ac:dyDescent="0.25">
      <c r="A184" s="4" t="s">
        <v>21</v>
      </c>
      <c r="B184" s="4" t="s">
        <v>22</v>
      </c>
      <c r="C184" s="4" t="s">
        <v>23</v>
      </c>
      <c r="D184" s="4" t="s">
        <v>24</v>
      </c>
      <c r="E184" s="4" t="s">
        <v>32</v>
      </c>
      <c r="F184" s="4" t="s">
        <v>25</v>
      </c>
      <c r="G184" s="4" t="s">
        <v>25</v>
      </c>
      <c r="H184" s="4" t="s">
        <v>25</v>
      </c>
      <c r="I184" s="5">
        <v>44501</v>
      </c>
      <c r="J184" s="6">
        <v>0</v>
      </c>
      <c r="K184" s="6">
        <v>0</v>
      </c>
      <c r="L184" s="6">
        <v>0.67100000000000004</v>
      </c>
      <c r="M184" s="6">
        <v>0.67100000000000004</v>
      </c>
      <c r="N184" s="6">
        <v>0.67100000000000004</v>
      </c>
      <c r="O184" s="6">
        <v>0.67100000000000004</v>
      </c>
      <c r="P184" s="6">
        <v>9</v>
      </c>
      <c r="Q184" s="4" t="s">
        <v>26</v>
      </c>
      <c r="R184" s="4">
        <v>0</v>
      </c>
      <c r="S184" s="4">
        <v>0</v>
      </c>
      <c r="T184" s="4">
        <v>26</v>
      </c>
      <c r="U184" s="4">
        <v>79</v>
      </c>
      <c r="V184" s="6">
        <f>IF(ISERROR(VLOOKUP($S$184,'TAR FIN'!$A$1:$O$85,15,0)),0,VLOOKUP($S$184,'TAR FIN'!$A$1:$O$85,15,0))</f>
        <v>0</v>
      </c>
      <c r="W184" s="6">
        <f>IF(ISERROR(VLOOKUP($T$184,'TAR FIN'!$A$1:$O$85,15,0)),0,VLOOKUP($T$184,'TAR FIN'!$A$1:$O$85,15,0))</f>
        <v>310.83999999999997</v>
      </c>
      <c r="X184" s="6">
        <f>IF(ISERROR(VLOOKUP($U$184,'TAR FIN'!$A$1:$O$85,15,0)),0,VLOOKUP($U$184,'TAR FIN'!$A$1:$O$85,15,0))</f>
        <v>141.32</v>
      </c>
      <c r="Y184" s="6"/>
      <c r="Z184" s="6">
        <f ca="1">('TUSD BE'!$AM$24+'TUSD BF'!$AM$24+'TUSD CVA'!$AM$24-('TUSD BE'!$P$24+'TUSD BF'!$P$24+'TUSD CVA'!$P$24)-('TUSD BE'!$Q$24+'TUSD BF'!$Q$24+'TUSD CVA'!$Q$24)-('TUSD BE'!$R$24+'TUSD BF'!$R$24+'TUSD CVA'!$R$24))*(1-CUSTOS!$M$37)</f>
        <v>309.27866493336415</v>
      </c>
      <c r="AA184" s="6">
        <f>('TE BE'!$AB$14+'TE BF'!$AB$14+'TE CVA'!$AB$14)*(1-CUSTOS!$M$37)</f>
        <v>135.80626150990429</v>
      </c>
      <c r="AB184" s="6">
        <f t="shared" si="8"/>
        <v>0</v>
      </c>
      <c r="AC184" s="6">
        <f>(L184-M184)*(W184+X184)+($W$182+$X$182-$W$184-$X$184)*(L184)</f>
        <v>0</v>
      </c>
      <c r="AD184" s="6">
        <f t="shared" si="10"/>
        <v>0</v>
      </c>
      <c r="AE184" s="6">
        <f ca="1">(L184-M184)*(Z184+AA184)+($Z$182+$AA$182-$Z$184-$AA$184)*(L184)</f>
        <v>0</v>
      </c>
      <c r="AF184" s="4" t="s">
        <v>591</v>
      </c>
    </row>
    <row r="185" spans="1:32" ht="11.25" customHeight="1" x14ac:dyDescent="0.25">
      <c r="A185" s="4" t="s">
        <v>21</v>
      </c>
      <c r="B185" s="4" t="s">
        <v>22</v>
      </c>
      <c r="C185" s="4" t="s">
        <v>23</v>
      </c>
      <c r="D185" s="4" t="s">
        <v>24</v>
      </c>
      <c r="E185" s="4" t="s">
        <v>32</v>
      </c>
      <c r="F185" s="4" t="s">
        <v>25</v>
      </c>
      <c r="G185" s="4" t="s">
        <v>25</v>
      </c>
      <c r="H185" s="4" t="s">
        <v>25</v>
      </c>
      <c r="I185" s="5">
        <v>44531</v>
      </c>
      <c r="J185" s="6">
        <v>0</v>
      </c>
      <c r="K185" s="6">
        <v>0</v>
      </c>
      <c r="L185" s="6">
        <v>1.2829999999999999</v>
      </c>
      <c r="M185" s="6">
        <v>1.2829999999999999</v>
      </c>
      <c r="N185" s="6">
        <v>1.2829999999999999</v>
      </c>
      <c r="O185" s="6">
        <v>1.2829999999999999</v>
      </c>
      <c r="P185" s="6">
        <v>11</v>
      </c>
      <c r="Q185" s="4" t="s">
        <v>26</v>
      </c>
      <c r="R185" s="4">
        <v>0</v>
      </c>
      <c r="S185" s="4">
        <v>0</v>
      </c>
      <c r="T185" s="4">
        <v>26</v>
      </c>
      <c r="U185" s="4">
        <v>79</v>
      </c>
      <c r="V185" s="6">
        <f>IF(ISERROR(VLOOKUP($S$185,'TAR FIN'!$A$1:$O$85,15,0)),0,VLOOKUP($S$185,'TAR FIN'!$A$1:$O$85,15,0))</f>
        <v>0</v>
      </c>
      <c r="W185" s="6">
        <f>IF(ISERROR(VLOOKUP($T$185,'TAR FIN'!$A$1:$O$85,15,0)),0,VLOOKUP($T$185,'TAR FIN'!$A$1:$O$85,15,0))</f>
        <v>310.83999999999997</v>
      </c>
      <c r="X185" s="6">
        <f>IF(ISERROR(VLOOKUP($U$185,'TAR FIN'!$A$1:$O$85,15,0)),0,VLOOKUP($U$185,'TAR FIN'!$A$1:$O$85,15,0))</f>
        <v>141.32</v>
      </c>
      <c r="Y185" s="6"/>
      <c r="Z185" s="6">
        <f ca="1">('TUSD BE'!$AM$24+'TUSD BF'!$AM$24+'TUSD CVA'!$AM$24-('TUSD BE'!$P$24+'TUSD BF'!$P$24+'TUSD CVA'!$P$24)-('TUSD BE'!$Q$24+'TUSD BF'!$Q$24+'TUSD CVA'!$Q$24)-('TUSD BE'!$R$24+'TUSD BF'!$R$24+'TUSD CVA'!$R$24))*(1-CUSTOS!$M$37)</f>
        <v>309.27866493336415</v>
      </c>
      <c r="AA185" s="6">
        <f>('TE BE'!$AB$14+'TE BF'!$AB$14+'TE CVA'!$AB$14)*(1-CUSTOS!$M$37)</f>
        <v>135.80626150990429</v>
      </c>
      <c r="AB185" s="6">
        <f t="shared" si="8"/>
        <v>0</v>
      </c>
      <c r="AC185" s="6">
        <f>(L185-M185)*(W185+X185)+($W$182+$X$182-$W$185-$X$185)*(L185)</f>
        <v>0</v>
      </c>
      <c r="AD185" s="6">
        <f t="shared" si="10"/>
        <v>0</v>
      </c>
      <c r="AE185" s="6">
        <f ca="1">(L185-M185)*(Z185+AA185)+($Z$182+$AA$182-$Z$185-$AA$185)*(L185)</f>
        <v>0</v>
      </c>
      <c r="AF185" s="4" t="s">
        <v>591</v>
      </c>
    </row>
    <row r="186" spans="1:32" ht="11.25" customHeight="1" x14ac:dyDescent="0.25">
      <c r="A186" s="4" t="s">
        <v>21</v>
      </c>
      <c r="B186" s="4" t="s">
        <v>22</v>
      </c>
      <c r="C186" s="4" t="s">
        <v>23</v>
      </c>
      <c r="D186" s="4" t="s">
        <v>24</v>
      </c>
      <c r="E186" s="4" t="s">
        <v>32</v>
      </c>
      <c r="F186" s="4" t="s">
        <v>25</v>
      </c>
      <c r="G186" s="4" t="s">
        <v>25</v>
      </c>
      <c r="H186" s="4" t="s">
        <v>25</v>
      </c>
      <c r="I186" s="5">
        <v>44562</v>
      </c>
      <c r="J186" s="6">
        <v>0</v>
      </c>
      <c r="K186" s="6">
        <v>0</v>
      </c>
      <c r="L186" s="6">
        <v>1.1020000000000001</v>
      </c>
      <c r="M186" s="6">
        <v>1.1020000000000001</v>
      </c>
      <c r="N186" s="6">
        <v>1.1020000000000001</v>
      </c>
      <c r="O186" s="6">
        <v>1.1020000000000001</v>
      </c>
      <c r="P186" s="6">
        <v>10</v>
      </c>
      <c r="Q186" s="4" t="s">
        <v>26</v>
      </c>
      <c r="R186" s="4">
        <v>0</v>
      </c>
      <c r="S186" s="4">
        <v>0</v>
      </c>
      <c r="T186" s="4">
        <v>26</v>
      </c>
      <c r="U186" s="4">
        <v>79</v>
      </c>
      <c r="V186" s="6">
        <f>IF(ISERROR(VLOOKUP($S$186,'TAR FIN'!$A$1:$O$85,15,0)),0,VLOOKUP($S$186,'TAR FIN'!$A$1:$O$85,15,0))</f>
        <v>0</v>
      </c>
      <c r="W186" s="6">
        <f>IF(ISERROR(VLOOKUP($T$186,'TAR FIN'!$A$1:$O$85,15,0)),0,VLOOKUP($T$186,'TAR FIN'!$A$1:$O$85,15,0))</f>
        <v>310.83999999999997</v>
      </c>
      <c r="X186" s="6">
        <f>IF(ISERROR(VLOOKUP($U$186,'TAR FIN'!$A$1:$O$85,15,0)),0,VLOOKUP($U$186,'TAR FIN'!$A$1:$O$85,15,0))</f>
        <v>141.32</v>
      </c>
      <c r="Y186" s="6"/>
      <c r="Z186" s="6">
        <f ca="1">('TUSD BE'!$AM$24+'TUSD BF'!$AM$24+'TUSD CVA'!$AM$24-('TUSD BE'!$P$24+'TUSD BF'!$P$24+'TUSD CVA'!$P$24)-('TUSD BE'!$Q$24+'TUSD BF'!$Q$24+'TUSD CVA'!$Q$24)-('TUSD BE'!$R$24+'TUSD BF'!$R$24+'TUSD CVA'!$R$24))*(1-CUSTOS!$M$37)</f>
        <v>309.27866493336415</v>
      </c>
      <c r="AA186" s="6">
        <f>('TE BE'!$AB$14+'TE BF'!$AB$14+'TE CVA'!$AB$14)*(1-CUSTOS!$M$37)</f>
        <v>135.80626150990429</v>
      </c>
      <c r="AB186" s="6">
        <f t="shared" si="8"/>
        <v>0</v>
      </c>
      <c r="AC186" s="6">
        <f>(L186-M186)*(W186+X186)+($W$182+$X$182-$W$186-$X$186)*(L186)</f>
        <v>0</v>
      </c>
      <c r="AD186" s="6">
        <f t="shared" si="10"/>
        <v>0</v>
      </c>
      <c r="AE186" s="6">
        <f ca="1">(L186-M186)*(Z186+AA186)+($Z$182+$AA$182-$Z$186-$AA$186)*(L186)</f>
        <v>0</v>
      </c>
      <c r="AF186" s="4" t="s">
        <v>591</v>
      </c>
    </row>
    <row r="187" spans="1:32" ht="11.25" customHeight="1" x14ac:dyDescent="0.25">
      <c r="A187" s="4" t="s">
        <v>21</v>
      </c>
      <c r="B187" s="4" t="s">
        <v>22</v>
      </c>
      <c r="C187" s="4" t="s">
        <v>23</v>
      </c>
      <c r="D187" s="4" t="s">
        <v>24</v>
      </c>
      <c r="E187" s="4" t="s">
        <v>32</v>
      </c>
      <c r="F187" s="4" t="s">
        <v>25</v>
      </c>
      <c r="G187" s="4" t="s">
        <v>25</v>
      </c>
      <c r="H187" s="4" t="s">
        <v>25</v>
      </c>
      <c r="I187" s="5">
        <v>44593</v>
      </c>
      <c r="J187" s="6">
        <v>0</v>
      </c>
      <c r="K187" s="6">
        <v>0</v>
      </c>
      <c r="L187" s="6">
        <v>1.478</v>
      </c>
      <c r="M187" s="6">
        <v>1.478</v>
      </c>
      <c r="N187" s="6">
        <v>1.478</v>
      </c>
      <c r="O187" s="6">
        <v>1.478</v>
      </c>
      <c r="P187" s="6">
        <v>18</v>
      </c>
      <c r="Q187" s="4" t="s">
        <v>26</v>
      </c>
      <c r="R187" s="4">
        <v>0</v>
      </c>
      <c r="S187" s="4">
        <v>0</v>
      </c>
      <c r="T187" s="4">
        <v>26</v>
      </c>
      <c r="U187" s="4">
        <v>79</v>
      </c>
      <c r="V187" s="6">
        <f>IF(ISERROR(VLOOKUP($S$187,'TAR FIN'!$A$1:$O$85,15,0)),0,VLOOKUP($S$187,'TAR FIN'!$A$1:$O$85,15,0))</f>
        <v>0</v>
      </c>
      <c r="W187" s="6">
        <f>IF(ISERROR(VLOOKUP($T$187,'TAR FIN'!$A$1:$O$85,15,0)),0,VLOOKUP($T$187,'TAR FIN'!$A$1:$O$85,15,0))</f>
        <v>310.83999999999997</v>
      </c>
      <c r="X187" s="6">
        <f>IF(ISERROR(VLOOKUP($U$187,'TAR FIN'!$A$1:$O$85,15,0)),0,VLOOKUP($U$187,'TAR FIN'!$A$1:$O$85,15,0))</f>
        <v>141.32</v>
      </c>
      <c r="Y187" s="6"/>
      <c r="Z187" s="6">
        <f ca="1">('TUSD BE'!$AM$24+'TUSD BF'!$AM$24+'TUSD CVA'!$AM$24-('TUSD BE'!$P$24+'TUSD BF'!$P$24+'TUSD CVA'!$P$24)-('TUSD BE'!$Q$24+'TUSD BF'!$Q$24+'TUSD CVA'!$Q$24)-('TUSD BE'!$R$24+'TUSD BF'!$R$24+'TUSD CVA'!$R$24))*(1-CUSTOS!$M$37)</f>
        <v>309.27866493336415</v>
      </c>
      <c r="AA187" s="6">
        <f>('TE BE'!$AB$14+'TE BF'!$AB$14+'TE CVA'!$AB$14)*(1-CUSTOS!$M$37)</f>
        <v>135.80626150990429</v>
      </c>
      <c r="AB187" s="6">
        <f t="shared" si="8"/>
        <v>0</v>
      </c>
      <c r="AC187" s="6">
        <f>(L187-M187)*(W187+X187)+($W$182+$X$182-$W$187-$X$187)*(L187)</f>
        <v>0</v>
      </c>
      <c r="AD187" s="6">
        <f t="shared" si="10"/>
        <v>0</v>
      </c>
      <c r="AE187" s="6">
        <f ca="1">(L187-M187)*(Z187+AA187)+($Z$182+$AA$182-$Z$187-$AA$187)*(L187)</f>
        <v>0</v>
      </c>
      <c r="AF187" s="4" t="s">
        <v>591</v>
      </c>
    </row>
    <row r="188" spans="1:32" ht="11.25" customHeight="1" x14ac:dyDescent="0.25">
      <c r="A188" s="4" t="s">
        <v>21</v>
      </c>
      <c r="B188" s="4" t="s">
        <v>22</v>
      </c>
      <c r="C188" s="4" t="s">
        <v>23</v>
      </c>
      <c r="D188" s="4" t="s">
        <v>24</v>
      </c>
      <c r="E188" s="4" t="s">
        <v>32</v>
      </c>
      <c r="F188" s="4" t="s">
        <v>25</v>
      </c>
      <c r="G188" s="4" t="s">
        <v>25</v>
      </c>
      <c r="H188" s="4" t="s">
        <v>25</v>
      </c>
      <c r="I188" s="5">
        <v>44621</v>
      </c>
      <c r="J188" s="6">
        <v>0</v>
      </c>
      <c r="K188" s="6">
        <v>0</v>
      </c>
      <c r="L188" s="6">
        <v>2.129</v>
      </c>
      <c r="M188" s="6">
        <v>2.129</v>
      </c>
      <c r="N188" s="6">
        <v>2.129</v>
      </c>
      <c r="O188" s="6">
        <v>2.129</v>
      </c>
      <c r="P188" s="6">
        <v>17</v>
      </c>
      <c r="Q188" s="4" t="s">
        <v>26</v>
      </c>
      <c r="R188" s="4">
        <v>0</v>
      </c>
      <c r="S188" s="4">
        <v>0</v>
      </c>
      <c r="T188" s="4">
        <v>26</v>
      </c>
      <c r="U188" s="4">
        <v>79</v>
      </c>
      <c r="V188" s="6">
        <f>IF(ISERROR(VLOOKUP($S$188,'TAR FIN'!$A$1:$O$85,15,0)),0,VLOOKUP($S$188,'TAR FIN'!$A$1:$O$85,15,0))</f>
        <v>0</v>
      </c>
      <c r="W188" s="6">
        <f>IF(ISERROR(VLOOKUP($T$188,'TAR FIN'!$A$1:$O$85,15,0)),0,VLOOKUP($T$188,'TAR FIN'!$A$1:$O$85,15,0))</f>
        <v>310.83999999999997</v>
      </c>
      <c r="X188" s="6">
        <f>IF(ISERROR(VLOOKUP($U$188,'TAR FIN'!$A$1:$O$85,15,0)),0,VLOOKUP($U$188,'TAR FIN'!$A$1:$O$85,15,0))</f>
        <v>141.32</v>
      </c>
      <c r="Y188" s="6"/>
      <c r="Z188" s="6">
        <f ca="1">('TUSD BE'!$AM$24+'TUSD BF'!$AM$24+'TUSD CVA'!$AM$24-('TUSD BE'!$P$24+'TUSD BF'!$P$24+'TUSD CVA'!$P$24)-('TUSD BE'!$Q$24+'TUSD BF'!$Q$24+'TUSD CVA'!$Q$24)-('TUSD BE'!$R$24+'TUSD BF'!$R$24+'TUSD CVA'!$R$24))*(1-CUSTOS!$M$37)</f>
        <v>309.27866493336415</v>
      </c>
      <c r="AA188" s="6">
        <f>('TE BE'!$AB$14+'TE BF'!$AB$14+'TE CVA'!$AB$14)*(1-CUSTOS!$M$37)</f>
        <v>135.80626150990429</v>
      </c>
      <c r="AB188" s="6">
        <f t="shared" si="8"/>
        <v>0</v>
      </c>
      <c r="AC188" s="6">
        <f>(L188-M188)*(W188+X188)+($W$182+$X$182-$W$188-$X$188)*(L188)</f>
        <v>0</v>
      </c>
      <c r="AD188" s="6">
        <f t="shared" si="10"/>
        <v>0</v>
      </c>
      <c r="AE188" s="6">
        <f ca="1">(L188-M188)*(Z188+AA188)+($Z$182+$AA$182-$Z$188-$AA$188)*(L188)</f>
        <v>0</v>
      </c>
      <c r="AF188" s="4" t="s">
        <v>591</v>
      </c>
    </row>
    <row r="189" spans="1:32" ht="11.25" customHeight="1" x14ac:dyDescent="0.25">
      <c r="A189" s="4" t="s">
        <v>21</v>
      </c>
      <c r="B189" s="4" t="s">
        <v>22</v>
      </c>
      <c r="C189" s="4" t="s">
        <v>23</v>
      </c>
      <c r="D189" s="4" t="s">
        <v>24</v>
      </c>
      <c r="E189" s="4" t="s">
        <v>32</v>
      </c>
      <c r="F189" s="4" t="s">
        <v>25</v>
      </c>
      <c r="G189" s="4" t="s">
        <v>25</v>
      </c>
      <c r="H189" s="4" t="s">
        <v>25</v>
      </c>
      <c r="I189" s="5">
        <v>44652</v>
      </c>
      <c r="J189" s="6">
        <v>0</v>
      </c>
      <c r="K189" s="6">
        <v>0</v>
      </c>
      <c r="L189" s="6">
        <v>3.052</v>
      </c>
      <c r="M189" s="6">
        <v>3.052</v>
      </c>
      <c r="N189" s="6">
        <v>3.052</v>
      </c>
      <c r="O189" s="6">
        <v>3.052</v>
      </c>
      <c r="P189" s="6">
        <v>36</v>
      </c>
      <c r="Q189" s="4" t="s">
        <v>26</v>
      </c>
      <c r="R189" s="4">
        <v>0</v>
      </c>
      <c r="S189" s="4">
        <v>0</v>
      </c>
      <c r="T189" s="4">
        <v>26</v>
      </c>
      <c r="U189" s="4">
        <v>79</v>
      </c>
      <c r="V189" s="6">
        <f>IF(ISERROR(VLOOKUP($S$189,'TAR FIN'!$A$1:$O$85,15,0)),0,VLOOKUP($S$189,'TAR FIN'!$A$1:$O$85,15,0))</f>
        <v>0</v>
      </c>
      <c r="W189" s="6">
        <f>IF(ISERROR(VLOOKUP($T$189,'TAR FIN'!$A$1:$O$85,15,0)),0,VLOOKUP($T$189,'TAR FIN'!$A$1:$O$85,15,0))</f>
        <v>310.83999999999997</v>
      </c>
      <c r="X189" s="6">
        <f>IF(ISERROR(VLOOKUP($U$189,'TAR FIN'!$A$1:$O$85,15,0)),0,VLOOKUP($U$189,'TAR FIN'!$A$1:$O$85,15,0))</f>
        <v>141.32</v>
      </c>
      <c r="Y189" s="6"/>
      <c r="Z189" s="6">
        <f ca="1">('TUSD BE'!$AM$24+'TUSD BF'!$AM$24+'TUSD CVA'!$AM$24-('TUSD BE'!$P$24+'TUSD BF'!$P$24+'TUSD CVA'!$P$24)-('TUSD BE'!$Q$24+'TUSD BF'!$Q$24+'TUSD CVA'!$Q$24)-('TUSD BE'!$R$24+'TUSD BF'!$R$24+'TUSD CVA'!$R$24))*(1-CUSTOS!$M$37)</f>
        <v>309.27866493336415</v>
      </c>
      <c r="AA189" s="6">
        <f>('TE BE'!$AB$14+'TE BF'!$AB$14+'TE CVA'!$AB$14)*(1-CUSTOS!$M$37)</f>
        <v>135.80626150990429</v>
      </c>
      <c r="AB189" s="6">
        <f t="shared" si="8"/>
        <v>0</v>
      </c>
      <c r="AC189" s="6">
        <f>(L189-M189)*(W189+X189)+($W$182+$X$182-$W$189-$X$189)*(L189)</f>
        <v>0</v>
      </c>
      <c r="AD189" s="6">
        <f t="shared" si="10"/>
        <v>0</v>
      </c>
      <c r="AE189" s="6">
        <f ca="1">(L189-M189)*(Z189+AA189)+($Z$182+$AA$182-$Z$189-$AA$189)*(L189)</f>
        <v>0</v>
      </c>
      <c r="AF189" s="4" t="s">
        <v>591</v>
      </c>
    </row>
    <row r="190" spans="1:32" ht="11.25" customHeight="1" x14ac:dyDescent="0.25">
      <c r="A190" s="4" t="s">
        <v>21</v>
      </c>
      <c r="B190" s="4" t="s">
        <v>22</v>
      </c>
      <c r="C190" s="4" t="s">
        <v>23</v>
      </c>
      <c r="D190" s="4" t="s">
        <v>24</v>
      </c>
      <c r="E190" s="4" t="s">
        <v>32</v>
      </c>
      <c r="F190" s="4" t="s">
        <v>25</v>
      </c>
      <c r="G190" s="4" t="s">
        <v>25</v>
      </c>
      <c r="H190" s="4" t="s">
        <v>25</v>
      </c>
      <c r="I190" s="5">
        <v>44682</v>
      </c>
      <c r="J190" s="6">
        <v>0</v>
      </c>
      <c r="K190" s="6">
        <v>0</v>
      </c>
      <c r="L190" s="6">
        <v>2.6309999999999998</v>
      </c>
      <c r="M190" s="6">
        <v>2.6309999999999998</v>
      </c>
      <c r="N190" s="6">
        <v>2.6309999999999998</v>
      </c>
      <c r="O190" s="6">
        <v>2.6309999999999998</v>
      </c>
      <c r="P190" s="6">
        <v>40</v>
      </c>
      <c r="Q190" s="4" t="s">
        <v>26</v>
      </c>
      <c r="R190" s="4">
        <v>0</v>
      </c>
      <c r="S190" s="4">
        <v>0</v>
      </c>
      <c r="T190" s="4">
        <v>26</v>
      </c>
      <c r="U190" s="4">
        <v>79</v>
      </c>
      <c r="V190" s="6">
        <f>IF(ISERROR(VLOOKUP($S$190,'TAR FIN'!$A$1:$O$85,15,0)),0,VLOOKUP($S$190,'TAR FIN'!$A$1:$O$85,15,0))</f>
        <v>0</v>
      </c>
      <c r="W190" s="6">
        <f>IF(ISERROR(VLOOKUP($T$190,'TAR FIN'!$A$1:$O$85,15,0)),0,VLOOKUP($T$190,'TAR FIN'!$A$1:$O$85,15,0))</f>
        <v>310.83999999999997</v>
      </c>
      <c r="X190" s="6">
        <f>IF(ISERROR(VLOOKUP($U$190,'TAR FIN'!$A$1:$O$85,15,0)),0,VLOOKUP($U$190,'TAR FIN'!$A$1:$O$85,15,0))</f>
        <v>141.32</v>
      </c>
      <c r="Y190" s="6"/>
      <c r="Z190" s="6">
        <f ca="1">('TUSD BE'!$AM$24+'TUSD BF'!$AM$24+'TUSD CVA'!$AM$24-('TUSD BE'!$P$24+'TUSD BF'!$P$24+'TUSD CVA'!$P$24)-('TUSD BE'!$Q$24+'TUSD BF'!$Q$24+'TUSD CVA'!$Q$24)-('TUSD BE'!$R$24+'TUSD BF'!$R$24+'TUSD CVA'!$R$24))*(1-CUSTOS!$M$37)</f>
        <v>309.27866493336415</v>
      </c>
      <c r="AA190" s="6">
        <f>('TE BE'!$AB$14+'TE BF'!$AB$14+'TE CVA'!$AB$14)*(1-CUSTOS!$M$37)</f>
        <v>135.80626150990429</v>
      </c>
      <c r="AB190" s="6">
        <f t="shared" si="8"/>
        <v>0</v>
      </c>
      <c r="AC190" s="6">
        <f>(L190-M190)*(W190+X190)+($W$182+$X$182-$W$190-$X$190)*(L190)</f>
        <v>0</v>
      </c>
      <c r="AD190" s="6">
        <f t="shared" si="10"/>
        <v>0</v>
      </c>
      <c r="AE190" s="6">
        <f ca="1">(L190-M190)*(Z190+AA190)+($Z$182+$AA$182-$Z$190-$AA$190)*(L190)</f>
        <v>0</v>
      </c>
      <c r="AF190" s="4" t="s">
        <v>591</v>
      </c>
    </row>
    <row r="191" spans="1:32" ht="11.25" customHeight="1" x14ac:dyDescent="0.25">
      <c r="A191" s="4" t="s">
        <v>21</v>
      </c>
      <c r="B191" s="4" t="s">
        <v>22</v>
      </c>
      <c r="C191" s="4" t="s">
        <v>23</v>
      </c>
      <c r="D191" s="4" t="s">
        <v>24</v>
      </c>
      <c r="E191" s="4" t="s">
        <v>32</v>
      </c>
      <c r="F191" s="4" t="s">
        <v>25</v>
      </c>
      <c r="G191" s="4" t="s">
        <v>25</v>
      </c>
      <c r="H191" s="4" t="s">
        <v>25</v>
      </c>
      <c r="I191" s="5">
        <v>44713</v>
      </c>
      <c r="J191" s="6">
        <v>0</v>
      </c>
      <c r="K191" s="6">
        <v>0</v>
      </c>
      <c r="L191" s="6">
        <v>3.8069999999999999</v>
      </c>
      <c r="M191" s="6">
        <v>3.8069999999999999</v>
      </c>
      <c r="N191" s="6">
        <v>3.8069999999999999</v>
      </c>
      <c r="O191" s="6">
        <v>3.8069999999999999</v>
      </c>
      <c r="P191" s="6">
        <v>36</v>
      </c>
      <c r="Q191" s="4" t="s">
        <v>26</v>
      </c>
      <c r="R191" s="4">
        <v>0</v>
      </c>
      <c r="S191" s="4">
        <v>0</v>
      </c>
      <c r="T191" s="4">
        <v>26</v>
      </c>
      <c r="U191" s="4">
        <v>79</v>
      </c>
      <c r="V191" s="6">
        <f>IF(ISERROR(VLOOKUP($S$191,'TAR FIN'!$A$1:$O$85,15,0)),0,VLOOKUP($S$191,'TAR FIN'!$A$1:$O$85,15,0))</f>
        <v>0</v>
      </c>
      <c r="W191" s="6">
        <f>IF(ISERROR(VLOOKUP($T$191,'TAR FIN'!$A$1:$O$85,15,0)),0,VLOOKUP($T$191,'TAR FIN'!$A$1:$O$85,15,0))</f>
        <v>310.83999999999997</v>
      </c>
      <c r="X191" s="6">
        <f>IF(ISERROR(VLOOKUP($U$191,'TAR FIN'!$A$1:$O$85,15,0)),0,VLOOKUP($U$191,'TAR FIN'!$A$1:$O$85,15,0))</f>
        <v>141.32</v>
      </c>
      <c r="Y191" s="6"/>
      <c r="Z191" s="6">
        <f ca="1">('TUSD BE'!$AM$24+'TUSD BF'!$AM$24+'TUSD CVA'!$AM$24-('TUSD BE'!$P$24+'TUSD BF'!$P$24+'TUSD CVA'!$P$24)-('TUSD BE'!$Q$24+'TUSD BF'!$Q$24+'TUSD CVA'!$Q$24)-('TUSD BE'!$R$24+'TUSD BF'!$R$24+'TUSD CVA'!$R$24))*(1-CUSTOS!$M$37)</f>
        <v>309.27866493336415</v>
      </c>
      <c r="AA191" s="6">
        <f>('TE BE'!$AB$14+'TE BF'!$AB$14+'TE CVA'!$AB$14)*(1-CUSTOS!$M$37)</f>
        <v>135.80626150990429</v>
      </c>
      <c r="AB191" s="6">
        <f t="shared" si="8"/>
        <v>0</v>
      </c>
      <c r="AC191" s="6">
        <f>(L191-M191)*(W191+X191)+($W$182+$X$182-$W$191-$X$191)*(L191)</f>
        <v>0</v>
      </c>
      <c r="AD191" s="6">
        <f t="shared" si="10"/>
        <v>0</v>
      </c>
      <c r="AE191" s="6">
        <f ca="1">(L191-M191)*(Z191+AA191)+($Z$182+$AA$182-$Z$191-$AA$191)*(L191)</f>
        <v>0</v>
      </c>
      <c r="AF191" s="4" t="s">
        <v>591</v>
      </c>
    </row>
    <row r="192" spans="1:32" ht="11.25" customHeight="1" x14ac:dyDescent="0.25">
      <c r="A192" s="4" t="s">
        <v>21</v>
      </c>
      <c r="B192" s="4" t="s">
        <v>22</v>
      </c>
      <c r="C192" s="4" t="s">
        <v>23</v>
      </c>
      <c r="D192" s="4" t="s">
        <v>24</v>
      </c>
      <c r="E192" s="4" t="s">
        <v>32</v>
      </c>
      <c r="F192" s="4" t="s">
        <v>25</v>
      </c>
      <c r="G192" s="4" t="s">
        <v>25</v>
      </c>
      <c r="H192" s="4" t="s">
        <v>25</v>
      </c>
      <c r="I192" s="5">
        <v>44743</v>
      </c>
      <c r="J192" s="6">
        <v>0</v>
      </c>
      <c r="K192" s="6">
        <v>0</v>
      </c>
      <c r="L192" s="6">
        <v>2.3279999999999998</v>
      </c>
      <c r="M192" s="6">
        <v>2.3279999999999998</v>
      </c>
      <c r="N192" s="6">
        <v>2.3279999999999998</v>
      </c>
      <c r="O192" s="6">
        <v>2.3279999999999998</v>
      </c>
      <c r="P192" s="6">
        <v>37</v>
      </c>
      <c r="Q192" s="4" t="s">
        <v>26</v>
      </c>
      <c r="R192" s="4">
        <v>0</v>
      </c>
      <c r="S192" s="4">
        <v>0</v>
      </c>
      <c r="T192" s="4">
        <v>26</v>
      </c>
      <c r="U192" s="4">
        <v>79</v>
      </c>
      <c r="V192" s="6">
        <f>IF(ISERROR(VLOOKUP($S$192,'TAR FIN'!$A$1:$O$85,15,0)),0,VLOOKUP($S$192,'TAR FIN'!$A$1:$O$85,15,0))</f>
        <v>0</v>
      </c>
      <c r="W192" s="6">
        <f>IF(ISERROR(VLOOKUP($T$192,'TAR FIN'!$A$1:$O$85,15,0)),0,VLOOKUP($T$192,'TAR FIN'!$A$1:$O$85,15,0))</f>
        <v>310.83999999999997</v>
      </c>
      <c r="X192" s="6">
        <f>IF(ISERROR(VLOOKUP($U$192,'TAR FIN'!$A$1:$O$85,15,0)),0,VLOOKUP($U$192,'TAR FIN'!$A$1:$O$85,15,0))</f>
        <v>141.32</v>
      </c>
      <c r="Y192" s="6"/>
      <c r="Z192" s="6">
        <f ca="1">('TUSD BE'!$AM$24+'TUSD BF'!$AM$24+'TUSD CVA'!$AM$24-('TUSD BE'!$P$24+'TUSD BF'!$P$24+'TUSD CVA'!$P$24)-('TUSD BE'!$Q$24+'TUSD BF'!$Q$24+'TUSD CVA'!$Q$24)-('TUSD BE'!$R$24+'TUSD BF'!$R$24+'TUSD CVA'!$R$24))*(1-CUSTOS!$M$37)</f>
        <v>309.27866493336415</v>
      </c>
      <c r="AA192" s="6">
        <f>('TE BE'!$AB$14+'TE BF'!$AB$14+'TE CVA'!$AB$14)*(1-CUSTOS!$M$37)</f>
        <v>135.80626150990429</v>
      </c>
      <c r="AB192" s="6">
        <f t="shared" si="8"/>
        <v>0</v>
      </c>
      <c r="AC192" s="6">
        <f>(L192-M192)*(W192+X192)+($W$182+$X$182-$W$192-$X$192)*(L192)</f>
        <v>0</v>
      </c>
      <c r="AD192" s="6">
        <f t="shared" si="10"/>
        <v>0</v>
      </c>
      <c r="AE192" s="6">
        <f ca="1">(L192-M192)*(Z192+AA192)+($Z$182+$AA$182-$Z$192-$AA$192)*(L192)</f>
        <v>0</v>
      </c>
      <c r="AF192" s="4" t="s">
        <v>591</v>
      </c>
    </row>
    <row r="193" spans="1:32" ht="11.25" customHeight="1" x14ac:dyDescent="0.25">
      <c r="A193" s="4" t="s">
        <v>27</v>
      </c>
      <c r="B193" s="4" t="s">
        <v>22</v>
      </c>
      <c r="C193" s="4" t="s">
        <v>23</v>
      </c>
      <c r="D193" s="4" t="s">
        <v>24</v>
      </c>
      <c r="E193" s="4" t="s">
        <v>32</v>
      </c>
      <c r="F193" s="4" t="s">
        <v>25</v>
      </c>
      <c r="G193" s="4" t="s">
        <v>25</v>
      </c>
      <c r="H193" s="4" t="s">
        <v>25</v>
      </c>
      <c r="I193" s="5">
        <v>44743</v>
      </c>
      <c r="J193" s="6">
        <v>0</v>
      </c>
      <c r="K193" s="6">
        <v>0</v>
      </c>
      <c r="L193" s="6">
        <v>8.5999999999999993E-2</v>
      </c>
      <c r="M193" s="6">
        <v>8.5999999999999993E-2</v>
      </c>
      <c r="N193" s="6">
        <v>8.5999999999999993E-2</v>
      </c>
      <c r="O193" s="6">
        <v>8.5999999999999993E-2</v>
      </c>
      <c r="P193" s="6">
        <v>0</v>
      </c>
      <c r="Q193" s="4" t="s">
        <v>26</v>
      </c>
      <c r="R193" s="4">
        <v>0</v>
      </c>
      <c r="S193" s="4">
        <v>0</v>
      </c>
      <c r="T193" s="4">
        <v>26</v>
      </c>
      <c r="U193" s="4">
        <v>79</v>
      </c>
      <c r="V193" s="6">
        <f>IF(ISERROR(VLOOKUP($S$193,'TAR FIN'!$A$1:$O$85,15,0)),0,VLOOKUP($S$193,'TAR FIN'!$A$1:$O$85,15,0))</f>
        <v>0</v>
      </c>
      <c r="W193" s="6">
        <f>IF(ISERROR(VLOOKUP($T$193,'TAR FIN'!$A$1:$O$85,15,0)),0,VLOOKUP($T$193,'TAR FIN'!$A$1:$O$85,15,0))</f>
        <v>310.83999999999997</v>
      </c>
      <c r="X193" s="6">
        <f>IF(ISERROR(VLOOKUP($U$193,'TAR FIN'!$A$1:$O$85,15,0)),0,VLOOKUP($U$193,'TAR FIN'!$A$1:$O$85,15,0))</f>
        <v>141.32</v>
      </c>
      <c r="Y193" s="6"/>
      <c r="Z193" s="6">
        <f ca="1">('TUSD BE'!$AM$24+'TUSD BF'!$AM$24+'TUSD CVA'!$AM$24-('TUSD BE'!$P$24+'TUSD BF'!$P$24+'TUSD CVA'!$P$24)-('TUSD BE'!$Q$24+'TUSD BF'!$Q$24+'TUSD CVA'!$Q$24)-('TUSD BE'!$R$24+'TUSD BF'!$R$24+'TUSD CVA'!$R$24))*(1-CUSTOS!$M$37)</f>
        <v>309.27866493336415</v>
      </c>
      <c r="AA193" s="6">
        <f>('TE BE'!$AB$14+'TE BF'!$AB$14+'TE CVA'!$AB$14)*(1-CUSTOS!$M$37)</f>
        <v>135.80626150990429</v>
      </c>
      <c r="AB193" s="6">
        <f t="shared" si="8"/>
        <v>0</v>
      </c>
      <c r="AC193" s="6">
        <f>(L193-M193)*(W193+X193)+($W$182+$X$182-$W$193-$X$193)*(L193)</f>
        <v>0</v>
      </c>
      <c r="AD193" s="6">
        <f t="shared" si="10"/>
        <v>0</v>
      </c>
      <c r="AE193" s="6">
        <f ca="1">(L193-M193)*(Z193+AA193)+($Z$182+$AA$182-$Z$193-$AA$193)*(L193)</f>
        <v>0</v>
      </c>
      <c r="AF193" s="4" t="s">
        <v>591</v>
      </c>
    </row>
    <row r="194" spans="1:32" ht="11.25" customHeight="1" x14ac:dyDescent="0.25">
      <c r="A194" s="4" t="s">
        <v>21</v>
      </c>
      <c r="B194" s="4" t="s">
        <v>22</v>
      </c>
      <c r="C194" s="4" t="s">
        <v>23</v>
      </c>
      <c r="D194" s="4" t="s">
        <v>24</v>
      </c>
      <c r="E194" s="4" t="s">
        <v>32</v>
      </c>
      <c r="F194" s="4" t="s">
        <v>25</v>
      </c>
      <c r="G194" s="4" t="s">
        <v>25</v>
      </c>
      <c r="H194" s="4" t="s">
        <v>25</v>
      </c>
      <c r="I194" s="5">
        <v>44774</v>
      </c>
      <c r="J194" s="6">
        <v>0</v>
      </c>
      <c r="K194" s="6">
        <v>0</v>
      </c>
      <c r="L194" s="6">
        <v>2.6739999999999999</v>
      </c>
      <c r="M194" s="6">
        <v>2.6739999999999999</v>
      </c>
      <c r="N194" s="6">
        <v>2.6739999999999999</v>
      </c>
      <c r="O194" s="6">
        <v>2.6739999999999999</v>
      </c>
      <c r="P194" s="6">
        <v>31</v>
      </c>
      <c r="Q194" s="4" t="s">
        <v>26</v>
      </c>
      <c r="R194" s="4">
        <v>0</v>
      </c>
      <c r="S194" s="4">
        <v>0</v>
      </c>
      <c r="T194" s="4">
        <v>26</v>
      </c>
      <c r="U194" s="4">
        <v>79</v>
      </c>
      <c r="V194" s="6">
        <f>IF(ISERROR(VLOOKUP($S$194,'TAR FIN'!$A$1:$O$85,15,0)),0,VLOOKUP($S$194,'TAR FIN'!$A$1:$O$85,15,0))</f>
        <v>0</v>
      </c>
      <c r="W194" s="6">
        <f>IF(ISERROR(VLOOKUP($T$194,'TAR FIN'!$A$1:$O$85,15,0)),0,VLOOKUP($T$194,'TAR FIN'!$A$1:$O$85,15,0))</f>
        <v>310.83999999999997</v>
      </c>
      <c r="X194" s="6">
        <f>IF(ISERROR(VLOOKUP($U$194,'TAR FIN'!$A$1:$O$85,15,0)),0,VLOOKUP($U$194,'TAR FIN'!$A$1:$O$85,15,0))</f>
        <v>141.32</v>
      </c>
      <c r="Y194" s="6"/>
      <c r="Z194" s="6">
        <f ca="1">('TUSD BE'!$AM$24+'TUSD BF'!$AM$24+'TUSD CVA'!$AM$24-('TUSD BE'!$P$24+'TUSD BF'!$P$24+'TUSD CVA'!$P$24)-('TUSD BE'!$Q$24+'TUSD BF'!$Q$24+'TUSD CVA'!$Q$24)-('TUSD BE'!$R$24+'TUSD BF'!$R$24+'TUSD CVA'!$R$24))*(1-CUSTOS!$M$37)</f>
        <v>309.27866493336415</v>
      </c>
      <c r="AA194" s="6">
        <f>('TE BE'!$AB$14+'TE BF'!$AB$14+'TE CVA'!$AB$14)*(1-CUSTOS!$M$37)</f>
        <v>135.80626150990429</v>
      </c>
      <c r="AB194" s="6">
        <f t="shared" ref="AB194:AB257" si="12">(J194-K194)*V194</f>
        <v>0</v>
      </c>
      <c r="AC194" s="6">
        <f>(L194-M194)*(W194+X194)+($W$182+$X$182-$W$194-$X$194)*(L194)</f>
        <v>0</v>
      </c>
      <c r="AD194" s="6">
        <f t="shared" ref="AD194:AD257" si="13">(J194-K194)*Y194</f>
        <v>0</v>
      </c>
      <c r="AE194" s="6">
        <f ca="1">(L194-M194)*(Z194+AA194)+($Z$182+$AA$182-$Z$194-$AA$194)*(L194)</f>
        <v>0</v>
      </c>
      <c r="AF194" s="4" t="s">
        <v>591</v>
      </c>
    </row>
    <row r="195" spans="1:32" ht="11.25" customHeight="1" x14ac:dyDescent="0.25">
      <c r="A195" s="4" t="s">
        <v>21</v>
      </c>
      <c r="B195" s="4" t="s">
        <v>40</v>
      </c>
      <c r="C195" s="4" t="s">
        <v>23</v>
      </c>
      <c r="D195" s="4" t="s">
        <v>41</v>
      </c>
      <c r="E195" s="4" t="s">
        <v>49</v>
      </c>
      <c r="F195" s="4" t="s">
        <v>50</v>
      </c>
      <c r="G195" s="4" t="s">
        <v>25</v>
      </c>
      <c r="H195" s="4" t="s">
        <v>25</v>
      </c>
      <c r="I195" s="5">
        <v>44440</v>
      </c>
      <c r="J195" s="6">
        <v>0</v>
      </c>
      <c r="K195" s="6">
        <v>0</v>
      </c>
      <c r="L195" s="6">
        <v>4.1989999999999998</v>
      </c>
      <c r="M195" s="6">
        <v>4.1989999999999998</v>
      </c>
      <c r="N195" s="6">
        <v>4.1989999999999998</v>
      </c>
      <c r="O195" s="6">
        <v>4.1989999999999998</v>
      </c>
      <c r="P195" s="6">
        <v>0</v>
      </c>
      <c r="Q195" s="4" t="s">
        <v>26</v>
      </c>
      <c r="R195" s="4">
        <v>0</v>
      </c>
      <c r="S195" s="4">
        <v>0</v>
      </c>
      <c r="T195" s="4">
        <v>30</v>
      </c>
      <c r="U195" s="4">
        <v>55</v>
      </c>
      <c r="V195" s="6">
        <f>IF(ISERROR(VLOOKUP($S$195,'TAR FIN'!$A$1:$O$85,15,0)),0,VLOOKUP($S$195,'TAR FIN'!$A$1:$O$85,15,0))</f>
        <v>0</v>
      </c>
      <c r="W195" s="6">
        <f>IF(ISERROR(VLOOKUP($T$195,'TAR FIN'!$A$1:$O$85,15,0)),0,VLOOKUP($T$195,'TAR FIN'!$A$1:$O$85,15,0))</f>
        <v>331.77</v>
      </c>
      <c r="X195" s="6">
        <f>IF(ISERROR(VLOOKUP($U$195,'TAR FIN'!$A$1:$O$85,15,0)),0,VLOOKUP($U$195,'TAR FIN'!$A$1:$O$85,15,0))</f>
        <v>124.36</v>
      </c>
      <c r="Y195" s="6"/>
      <c r="Z195" s="6">
        <f ca="1">('TUSD BE'!$AM$33+'TUSD BF'!$AM$33+'TUSD CVA'!$AM$33)*(1-CUSTOS!$M$38)</f>
        <v>390.73403238820225</v>
      </c>
      <c r="AA195" s="6">
        <f>('TE BE'!$AB$23+'TE BF'!$AB$23+'TE CVA'!$AB$23)*(1-CUSTOS!$M$38)</f>
        <v>127.65788581931002</v>
      </c>
      <c r="AB195" s="6">
        <f t="shared" si="12"/>
        <v>0</v>
      </c>
      <c r="AC195" s="6">
        <f>(L195-M195)*(W195+X195)+($W$141+$X$141-$W$195-$X$195)*(L195)</f>
        <v>261.17779999999976</v>
      </c>
      <c r="AD195" s="6">
        <f t="shared" si="13"/>
        <v>0</v>
      </c>
      <c r="AE195" s="6">
        <f ca="1">(L195-M195)*(Z195+AA195)+($Z$141+$AA$141-$Z$195-$AA$195)*(L195)</f>
        <v>138.94006369489472</v>
      </c>
      <c r="AF195" s="4" t="s">
        <v>590</v>
      </c>
    </row>
    <row r="196" spans="1:32" ht="11.25" customHeight="1" x14ac:dyDescent="0.25">
      <c r="A196" s="4" t="s">
        <v>28</v>
      </c>
      <c r="B196" s="4" t="s">
        <v>40</v>
      </c>
      <c r="C196" s="4" t="s">
        <v>23</v>
      </c>
      <c r="D196" s="4" t="s">
        <v>41</v>
      </c>
      <c r="E196" s="4" t="s">
        <v>49</v>
      </c>
      <c r="F196" s="4" t="s">
        <v>50</v>
      </c>
      <c r="G196" s="4" t="s">
        <v>25</v>
      </c>
      <c r="H196" s="4" t="s">
        <v>25</v>
      </c>
      <c r="I196" s="5">
        <v>44440</v>
      </c>
      <c r="J196" s="6">
        <v>0</v>
      </c>
      <c r="K196" s="6">
        <v>0</v>
      </c>
      <c r="L196" s="6">
        <v>0.22900000000000001</v>
      </c>
      <c r="M196" s="6">
        <v>0.22900000000000001</v>
      </c>
      <c r="N196" s="6">
        <v>0.22900000000000001</v>
      </c>
      <c r="O196" s="6">
        <v>0.22900000000000001</v>
      </c>
      <c r="P196" s="6">
        <v>0</v>
      </c>
      <c r="Q196" s="4" t="s">
        <v>26</v>
      </c>
      <c r="R196" s="4">
        <v>0</v>
      </c>
      <c r="S196" s="4">
        <v>0</v>
      </c>
      <c r="T196" s="4">
        <v>30</v>
      </c>
      <c r="U196" s="4">
        <v>55</v>
      </c>
      <c r="V196" s="6">
        <f>IF(ISERROR(VLOOKUP($S$196,'TAR FIN'!$A$1:$O$85,15,0)),0,VLOOKUP($S$196,'TAR FIN'!$A$1:$O$85,15,0))</f>
        <v>0</v>
      </c>
      <c r="W196" s="6">
        <f>IF(ISERROR(VLOOKUP($T$196,'TAR FIN'!$A$1:$O$85,15,0)),0,VLOOKUP($T$196,'TAR FIN'!$A$1:$O$85,15,0))</f>
        <v>331.77</v>
      </c>
      <c r="X196" s="6">
        <f>IF(ISERROR(VLOOKUP($U$196,'TAR FIN'!$A$1:$O$85,15,0)),0,VLOOKUP($U$196,'TAR FIN'!$A$1:$O$85,15,0))</f>
        <v>124.36</v>
      </c>
      <c r="Y196" s="6"/>
      <c r="Z196" s="6">
        <f ca="1">('TUSD BE'!$AM$33+'TUSD BF'!$AM$33+'TUSD CVA'!$AM$33)*(1-CUSTOS!$M$38)</f>
        <v>390.73403238820225</v>
      </c>
      <c r="AA196" s="6">
        <f>('TE BE'!$AB$23+'TE BF'!$AB$23+'TE CVA'!$AB$23)*(1-CUSTOS!$M$38)</f>
        <v>127.65788581931002</v>
      </c>
      <c r="AB196" s="6">
        <f t="shared" si="12"/>
        <v>0</v>
      </c>
      <c r="AC196" s="6">
        <f>(L196-M196)*(W196+X196)+($W$141+$X$141-$W$196-$X$196)*(L196)</f>
        <v>14.243799999999988</v>
      </c>
      <c r="AD196" s="6">
        <f t="shared" si="13"/>
        <v>0</v>
      </c>
      <c r="AE196" s="6">
        <f ca="1">(L196-M196)*(Z196+AA196)+($Z$141+$AA$141-$Z$196-$AA$196)*(L196)</f>
        <v>7.5773456980545113</v>
      </c>
      <c r="AF196" s="4" t="s">
        <v>590</v>
      </c>
    </row>
    <row r="197" spans="1:32" ht="11.25" customHeight="1" x14ac:dyDescent="0.25">
      <c r="A197" s="4" t="s">
        <v>21</v>
      </c>
      <c r="B197" s="4" t="s">
        <v>40</v>
      </c>
      <c r="C197" s="4" t="s">
        <v>23</v>
      </c>
      <c r="D197" s="4" t="s">
        <v>41</v>
      </c>
      <c r="E197" s="4" t="s">
        <v>49</v>
      </c>
      <c r="F197" s="4" t="s">
        <v>50</v>
      </c>
      <c r="G197" s="4" t="s">
        <v>25</v>
      </c>
      <c r="H197" s="4" t="s">
        <v>25</v>
      </c>
      <c r="I197" s="5">
        <v>44470</v>
      </c>
      <c r="J197" s="6">
        <v>0</v>
      </c>
      <c r="K197" s="6">
        <v>0</v>
      </c>
      <c r="L197" s="6">
        <v>2.9990000000000001</v>
      </c>
      <c r="M197" s="6">
        <v>2.9990000000000001</v>
      </c>
      <c r="N197" s="6">
        <v>2.9990000000000001</v>
      </c>
      <c r="O197" s="6">
        <v>2.9990000000000001</v>
      </c>
      <c r="P197" s="6">
        <v>0</v>
      </c>
      <c r="Q197" s="4" t="s">
        <v>26</v>
      </c>
      <c r="R197" s="4">
        <v>0</v>
      </c>
      <c r="S197" s="4">
        <v>0</v>
      </c>
      <c r="T197" s="4">
        <v>30</v>
      </c>
      <c r="U197" s="4">
        <v>55</v>
      </c>
      <c r="V197" s="6">
        <f>IF(ISERROR(VLOOKUP($S$197,'TAR FIN'!$A$1:$O$85,15,0)),0,VLOOKUP($S$197,'TAR FIN'!$A$1:$O$85,15,0))</f>
        <v>0</v>
      </c>
      <c r="W197" s="6">
        <f>IF(ISERROR(VLOOKUP($T$197,'TAR FIN'!$A$1:$O$85,15,0)),0,VLOOKUP($T$197,'TAR FIN'!$A$1:$O$85,15,0))</f>
        <v>331.77</v>
      </c>
      <c r="X197" s="6">
        <f>IF(ISERROR(VLOOKUP($U$197,'TAR FIN'!$A$1:$O$85,15,0)),0,VLOOKUP($U$197,'TAR FIN'!$A$1:$O$85,15,0))</f>
        <v>124.36</v>
      </c>
      <c r="Y197" s="6"/>
      <c r="Z197" s="6">
        <f ca="1">('TUSD BE'!$AM$33+'TUSD BF'!$AM$33+'TUSD CVA'!$AM$33)*(1-CUSTOS!$M$38)</f>
        <v>390.73403238820225</v>
      </c>
      <c r="AA197" s="6">
        <f>('TE BE'!$AB$23+'TE BF'!$AB$23+'TE CVA'!$AB$23)*(1-CUSTOS!$M$38)</f>
        <v>127.65788581931002</v>
      </c>
      <c r="AB197" s="6">
        <f t="shared" si="12"/>
        <v>0</v>
      </c>
      <c r="AC197" s="6">
        <f>(L197-M197)*(W197+X197)+($W$141+$X$141-$W$197-$X$197)*(L197)</f>
        <v>186.53779999999983</v>
      </c>
      <c r="AD197" s="6">
        <f t="shared" si="13"/>
        <v>0</v>
      </c>
      <c r="AE197" s="6">
        <f ca="1">(L197-M197)*(Z197+AA197)+($Z$141+$AA$141-$Z$197-$AA$197)*(L197)</f>
        <v>99.233448683255375</v>
      </c>
      <c r="AF197" s="4" t="s">
        <v>590</v>
      </c>
    </row>
    <row r="198" spans="1:32" ht="11.25" customHeight="1" x14ac:dyDescent="0.25">
      <c r="A198" s="4" t="s">
        <v>28</v>
      </c>
      <c r="B198" s="4" t="s">
        <v>40</v>
      </c>
      <c r="C198" s="4" t="s">
        <v>23</v>
      </c>
      <c r="D198" s="4" t="s">
        <v>41</v>
      </c>
      <c r="E198" s="4" t="s">
        <v>49</v>
      </c>
      <c r="F198" s="4" t="s">
        <v>50</v>
      </c>
      <c r="G198" s="4" t="s">
        <v>25</v>
      </c>
      <c r="H198" s="4" t="s">
        <v>25</v>
      </c>
      <c r="I198" s="5">
        <v>44470</v>
      </c>
      <c r="J198" s="6">
        <v>0</v>
      </c>
      <c r="K198" s="6">
        <v>0</v>
      </c>
      <c r="L198" s="6">
        <v>0.20899999999999999</v>
      </c>
      <c r="M198" s="6">
        <v>0.20899999999999999</v>
      </c>
      <c r="N198" s="6">
        <v>0.20899999999999999</v>
      </c>
      <c r="O198" s="6">
        <v>0.20899999999999999</v>
      </c>
      <c r="P198" s="6">
        <v>0</v>
      </c>
      <c r="Q198" s="4" t="s">
        <v>26</v>
      </c>
      <c r="R198" s="4">
        <v>0</v>
      </c>
      <c r="S198" s="4">
        <v>0</v>
      </c>
      <c r="T198" s="4">
        <v>30</v>
      </c>
      <c r="U198" s="4">
        <v>55</v>
      </c>
      <c r="V198" s="6">
        <f>IF(ISERROR(VLOOKUP($S$198,'TAR FIN'!$A$1:$O$85,15,0)),0,VLOOKUP($S$198,'TAR FIN'!$A$1:$O$85,15,0))</f>
        <v>0</v>
      </c>
      <c r="W198" s="6">
        <f>IF(ISERROR(VLOOKUP($T$198,'TAR FIN'!$A$1:$O$85,15,0)),0,VLOOKUP($T$198,'TAR FIN'!$A$1:$O$85,15,0))</f>
        <v>331.77</v>
      </c>
      <c r="X198" s="6">
        <f>IF(ISERROR(VLOOKUP($U$198,'TAR FIN'!$A$1:$O$85,15,0)),0,VLOOKUP($U$198,'TAR FIN'!$A$1:$O$85,15,0))</f>
        <v>124.36</v>
      </c>
      <c r="Y198" s="6"/>
      <c r="Z198" s="6">
        <f ca="1">('TUSD BE'!$AM$33+'TUSD BF'!$AM$33+'TUSD CVA'!$AM$33)*(1-CUSTOS!$M$38)</f>
        <v>390.73403238820225</v>
      </c>
      <c r="AA198" s="6">
        <f>('TE BE'!$AB$23+'TE BF'!$AB$23+'TE CVA'!$AB$23)*(1-CUSTOS!$M$38)</f>
        <v>127.65788581931002</v>
      </c>
      <c r="AB198" s="6">
        <f t="shared" si="12"/>
        <v>0</v>
      </c>
      <c r="AC198" s="6">
        <f>(L198-M198)*(W198+X198)+($W$141+$X$141-$W$198-$X$198)*(L198)</f>
        <v>12.999799999999988</v>
      </c>
      <c r="AD198" s="6">
        <f t="shared" si="13"/>
        <v>0</v>
      </c>
      <c r="AE198" s="6">
        <f ca="1">(L198-M198)*(Z198+AA198)+($Z$141+$AA$141-$Z$198-$AA$198)*(L198)</f>
        <v>6.9155687811938549</v>
      </c>
      <c r="AF198" s="4" t="s">
        <v>590</v>
      </c>
    </row>
    <row r="199" spans="1:32" ht="11.25" customHeight="1" x14ac:dyDescent="0.25">
      <c r="A199" s="4" t="s">
        <v>21</v>
      </c>
      <c r="B199" s="4" t="s">
        <v>40</v>
      </c>
      <c r="C199" s="4" t="s">
        <v>23</v>
      </c>
      <c r="D199" s="4" t="s">
        <v>41</v>
      </c>
      <c r="E199" s="4" t="s">
        <v>49</v>
      </c>
      <c r="F199" s="4" t="s">
        <v>50</v>
      </c>
      <c r="G199" s="4" t="s">
        <v>25</v>
      </c>
      <c r="H199" s="4" t="s">
        <v>25</v>
      </c>
      <c r="I199" s="5">
        <v>44501</v>
      </c>
      <c r="J199" s="6">
        <v>0</v>
      </c>
      <c r="K199" s="6">
        <v>0</v>
      </c>
      <c r="L199" s="6">
        <v>3.339</v>
      </c>
      <c r="M199" s="6">
        <v>3.339</v>
      </c>
      <c r="N199" s="6">
        <v>3.339</v>
      </c>
      <c r="O199" s="6">
        <v>3.339</v>
      </c>
      <c r="P199" s="6">
        <v>0</v>
      </c>
      <c r="Q199" s="4" t="s">
        <v>26</v>
      </c>
      <c r="R199" s="4">
        <v>0</v>
      </c>
      <c r="S199" s="4">
        <v>0</v>
      </c>
      <c r="T199" s="4">
        <v>30</v>
      </c>
      <c r="U199" s="4">
        <v>55</v>
      </c>
      <c r="V199" s="6">
        <f>IF(ISERROR(VLOOKUP($S$199,'TAR FIN'!$A$1:$O$85,15,0)),0,VLOOKUP($S$199,'TAR FIN'!$A$1:$O$85,15,0))</f>
        <v>0</v>
      </c>
      <c r="W199" s="6">
        <f>IF(ISERROR(VLOOKUP($T$199,'TAR FIN'!$A$1:$O$85,15,0)),0,VLOOKUP($T$199,'TAR FIN'!$A$1:$O$85,15,0))</f>
        <v>331.77</v>
      </c>
      <c r="X199" s="6">
        <f>IF(ISERROR(VLOOKUP($U$199,'TAR FIN'!$A$1:$O$85,15,0)),0,VLOOKUP($U$199,'TAR FIN'!$A$1:$O$85,15,0))</f>
        <v>124.36</v>
      </c>
      <c r="Y199" s="6"/>
      <c r="Z199" s="6">
        <f ca="1">('TUSD BE'!$AM$33+'TUSD BF'!$AM$33+'TUSD CVA'!$AM$33)*(1-CUSTOS!$M$38)</f>
        <v>390.73403238820225</v>
      </c>
      <c r="AA199" s="6">
        <f>('TE BE'!$AB$23+'TE BF'!$AB$23+'TE CVA'!$AB$23)*(1-CUSTOS!$M$38)</f>
        <v>127.65788581931002</v>
      </c>
      <c r="AB199" s="6">
        <f t="shared" si="12"/>
        <v>0</v>
      </c>
      <c r="AC199" s="6">
        <f>(L199-M199)*(W199+X199)+($W$141+$X$141-$W$199-$X$199)*(L199)</f>
        <v>207.68579999999983</v>
      </c>
      <c r="AD199" s="6">
        <f t="shared" si="13"/>
        <v>0</v>
      </c>
      <c r="AE199" s="6">
        <f ca="1">(L199-M199)*(Z199+AA199)+($Z$141+$AA$141-$Z$199-$AA$199)*(L199)</f>
        <v>110.48365626988652</v>
      </c>
      <c r="AF199" s="4" t="s">
        <v>590</v>
      </c>
    </row>
    <row r="200" spans="1:32" ht="11.25" customHeight="1" x14ac:dyDescent="0.25">
      <c r="A200" s="4" t="s">
        <v>28</v>
      </c>
      <c r="B200" s="4" t="s">
        <v>40</v>
      </c>
      <c r="C200" s="4" t="s">
        <v>23</v>
      </c>
      <c r="D200" s="4" t="s">
        <v>41</v>
      </c>
      <c r="E200" s="4" t="s">
        <v>49</v>
      </c>
      <c r="F200" s="4" t="s">
        <v>50</v>
      </c>
      <c r="G200" s="4" t="s">
        <v>25</v>
      </c>
      <c r="H200" s="4" t="s">
        <v>25</v>
      </c>
      <c r="I200" s="5">
        <v>44501</v>
      </c>
      <c r="J200" s="6">
        <v>0</v>
      </c>
      <c r="K200" s="6">
        <v>0</v>
      </c>
      <c r="L200" s="6">
        <v>0.19600000000000001</v>
      </c>
      <c r="M200" s="6">
        <v>0.19600000000000001</v>
      </c>
      <c r="N200" s="6">
        <v>0.19600000000000001</v>
      </c>
      <c r="O200" s="6">
        <v>0.19600000000000001</v>
      </c>
      <c r="P200" s="6">
        <v>0</v>
      </c>
      <c r="Q200" s="4" t="s">
        <v>26</v>
      </c>
      <c r="R200" s="4">
        <v>0</v>
      </c>
      <c r="S200" s="4">
        <v>0</v>
      </c>
      <c r="T200" s="4">
        <v>30</v>
      </c>
      <c r="U200" s="4">
        <v>55</v>
      </c>
      <c r="V200" s="6">
        <f>IF(ISERROR(VLOOKUP($S$200,'TAR FIN'!$A$1:$O$85,15,0)),0,VLOOKUP($S$200,'TAR FIN'!$A$1:$O$85,15,0))</f>
        <v>0</v>
      </c>
      <c r="W200" s="6">
        <f>IF(ISERROR(VLOOKUP($T$200,'TAR FIN'!$A$1:$O$85,15,0)),0,VLOOKUP($T$200,'TAR FIN'!$A$1:$O$85,15,0))</f>
        <v>331.77</v>
      </c>
      <c r="X200" s="6">
        <f>IF(ISERROR(VLOOKUP($U$200,'TAR FIN'!$A$1:$O$85,15,0)),0,VLOOKUP($U$200,'TAR FIN'!$A$1:$O$85,15,0))</f>
        <v>124.36</v>
      </c>
      <c r="Y200" s="6"/>
      <c r="Z200" s="6">
        <f ca="1">('TUSD BE'!$AM$33+'TUSD BF'!$AM$33+'TUSD CVA'!$AM$33)*(1-CUSTOS!$M$38)</f>
        <v>390.73403238820225</v>
      </c>
      <c r="AA200" s="6">
        <f>('TE BE'!$AB$23+'TE BF'!$AB$23+'TE CVA'!$AB$23)*(1-CUSTOS!$M$38)</f>
        <v>127.65788581931002</v>
      </c>
      <c r="AB200" s="6">
        <f t="shared" si="12"/>
        <v>0</v>
      </c>
      <c r="AC200" s="6">
        <f>(L200-M200)*(W200+X200)+($W$141+$X$141-$W$200-$X$200)*(L200)</f>
        <v>12.19119999999999</v>
      </c>
      <c r="AD200" s="6">
        <f t="shared" si="13"/>
        <v>0</v>
      </c>
      <c r="AE200" s="6">
        <f ca="1">(L200-M200)*(Z200+AA200)+($Z$141+$AA$141-$Z$200-$AA$200)*(L200)</f>
        <v>6.4854137852344289</v>
      </c>
      <c r="AF200" s="4" t="s">
        <v>590</v>
      </c>
    </row>
    <row r="201" spans="1:32" ht="11.25" customHeight="1" x14ac:dyDescent="0.25">
      <c r="A201" s="4" t="s">
        <v>21</v>
      </c>
      <c r="B201" s="4" t="s">
        <v>40</v>
      </c>
      <c r="C201" s="4" t="s">
        <v>23</v>
      </c>
      <c r="D201" s="4" t="s">
        <v>41</v>
      </c>
      <c r="E201" s="4" t="s">
        <v>49</v>
      </c>
      <c r="F201" s="4" t="s">
        <v>50</v>
      </c>
      <c r="G201" s="4" t="s">
        <v>25</v>
      </c>
      <c r="H201" s="4" t="s">
        <v>25</v>
      </c>
      <c r="I201" s="5">
        <v>44531</v>
      </c>
      <c r="J201" s="6">
        <v>0</v>
      </c>
      <c r="K201" s="6">
        <v>0</v>
      </c>
      <c r="L201" s="6">
        <v>2.8740000000000001</v>
      </c>
      <c r="M201" s="6">
        <v>2.8740000000000001</v>
      </c>
      <c r="N201" s="6">
        <v>2.8740000000000001</v>
      </c>
      <c r="O201" s="6">
        <v>2.8740000000000001</v>
      </c>
      <c r="P201" s="6">
        <v>0</v>
      </c>
      <c r="Q201" s="4" t="s">
        <v>26</v>
      </c>
      <c r="R201" s="4">
        <v>0</v>
      </c>
      <c r="S201" s="4">
        <v>0</v>
      </c>
      <c r="T201" s="4">
        <v>30</v>
      </c>
      <c r="U201" s="4">
        <v>55</v>
      </c>
      <c r="V201" s="6">
        <f>IF(ISERROR(VLOOKUP($S$201,'TAR FIN'!$A$1:$O$85,15,0)),0,VLOOKUP($S$201,'TAR FIN'!$A$1:$O$85,15,0))</f>
        <v>0</v>
      </c>
      <c r="W201" s="6">
        <f>IF(ISERROR(VLOOKUP($T$201,'TAR FIN'!$A$1:$O$85,15,0)),0,VLOOKUP($T$201,'TAR FIN'!$A$1:$O$85,15,0))</f>
        <v>331.77</v>
      </c>
      <c r="X201" s="6">
        <f>IF(ISERROR(VLOOKUP($U$201,'TAR FIN'!$A$1:$O$85,15,0)),0,VLOOKUP($U$201,'TAR FIN'!$A$1:$O$85,15,0))</f>
        <v>124.36</v>
      </c>
      <c r="Y201" s="6"/>
      <c r="Z201" s="6">
        <f ca="1">('TUSD BE'!$AM$33+'TUSD BF'!$AM$33+'TUSD CVA'!$AM$33)*(1-CUSTOS!$M$38)</f>
        <v>390.73403238820225</v>
      </c>
      <c r="AA201" s="6">
        <f>('TE BE'!$AB$23+'TE BF'!$AB$23+'TE CVA'!$AB$23)*(1-CUSTOS!$M$38)</f>
        <v>127.65788581931002</v>
      </c>
      <c r="AB201" s="6">
        <f t="shared" si="12"/>
        <v>0</v>
      </c>
      <c r="AC201" s="6">
        <f>(L201-M201)*(W201+X201)+($W$141+$X$141-$W$201-$X$201)*(L201)</f>
        <v>178.76279999999986</v>
      </c>
      <c r="AD201" s="6">
        <f t="shared" si="13"/>
        <v>0</v>
      </c>
      <c r="AE201" s="6">
        <f ca="1">(L201-M201)*(Z201+AA201)+($Z$141+$AA$141-$Z$201-$AA$201)*(L201)</f>
        <v>95.097342952876275</v>
      </c>
      <c r="AF201" s="4" t="s">
        <v>590</v>
      </c>
    </row>
    <row r="202" spans="1:32" ht="11.25" customHeight="1" x14ac:dyDescent="0.25">
      <c r="A202" s="4" t="s">
        <v>28</v>
      </c>
      <c r="B202" s="4" t="s">
        <v>40</v>
      </c>
      <c r="C202" s="4" t="s">
        <v>23</v>
      </c>
      <c r="D202" s="4" t="s">
        <v>41</v>
      </c>
      <c r="E202" s="4" t="s">
        <v>49</v>
      </c>
      <c r="F202" s="4" t="s">
        <v>50</v>
      </c>
      <c r="G202" s="4" t="s">
        <v>25</v>
      </c>
      <c r="H202" s="4" t="s">
        <v>25</v>
      </c>
      <c r="I202" s="5">
        <v>44531</v>
      </c>
      <c r="J202" s="6">
        <v>0</v>
      </c>
      <c r="K202" s="6">
        <v>0</v>
      </c>
      <c r="L202" s="6">
        <v>0.86199999999999999</v>
      </c>
      <c r="M202" s="6">
        <v>0.86199999999999999</v>
      </c>
      <c r="N202" s="6">
        <v>0.86199999999999999</v>
      </c>
      <c r="O202" s="6">
        <v>0.86199999999999999</v>
      </c>
      <c r="P202" s="6">
        <v>0</v>
      </c>
      <c r="Q202" s="4" t="s">
        <v>26</v>
      </c>
      <c r="R202" s="4">
        <v>0</v>
      </c>
      <c r="S202" s="4">
        <v>0</v>
      </c>
      <c r="T202" s="4">
        <v>30</v>
      </c>
      <c r="U202" s="4">
        <v>55</v>
      </c>
      <c r="V202" s="6">
        <f>IF(ISERROR(VLOOKUP($S$202,'TAR FIN'!$A$1:$O$85,15,0)),0,VLOOKUP($S$202,'TAR FIN'!$A$1:$O$85,15,0))</f>
        <v>0</v>
      </c>
      <c r="W202" s="6">
        <f>IF(ISERROR(VLOOKUP($T$202,'TAR FIN'!$A$1:$O$85,15,0)),0,VLOOKUP($T$202,'TAR FIN'!$A$1:$O$85,15,0))</f>
        <v>331.77</v>
      </c>
      <c r="X202" s="6">
        <f>IF(ISERROR(VLOOKUP($U$202,'TAR FIN'!$A$1:$O$85,15,0)),0,VLOOKUP($U$202,'TAR FIN'!$A$1:$O$85,15,0))</f>
        <v>124.36</v>
      </c>
      <c r="Y202" s="6"/>
      <c r="Z202" s="6">
        <f ca="1">('TUSD BE'!$AM$33+'TUSD BF'!$AM$33+'TUSD CVA'!$AM$33)*(1-CUSTOS!$M$38)</f>
        <v>390.73403238820225</v>
      </c>
      <c r="AA202" s="6">
        <f>('TE BE'!$AB$23+'TE BF'!$AB$23+'TE CVA'!$AB$23)*(1-CUSTOS!$M$38)</f>
        <v>127.65788581931002</v>
      </c>
      <c r="AB202" s="6">
        <f t="shared" si="12"/>
        <v>0</v>
      </c>
      <c r="AC202" s="6">
        <f>(L202-M202)*(W202+X202)+($W$141+$X$141-$W$202-$X$202)*(L202)</f>
        <v>53.616399999999956</v>
      </c>
      <c r="AD202" s="6">
        <f t="shared" si="13"/>
        <v>0</v>
      </c>
      <c r="AE202" s="6">
        <f ca="1">(L202-M202)*(Z202+AA202)+($Z$141+$AA$141-$Z$202-$AA$202)*(L202)</f>
        <v>28.522585116694273</v>
      </c>
      <c r="AF202" s="4" t="s">
        <v>590</v>
      </c>
    </row>
    <row r="203" spans="1:32" ht="11.25" customHeight="1" x14ac:dyDescent="0.25">
      <c r="A203" s="4" t="s">
        <v>21</v>
      </c>
      <c r="B203" s="4" t="s">
        <v>40</v>
      </c>
      <c r="C203" s="4" t="s">
        <v>23</v>
      </c>
      <c r="D203" s="4" t="s">
        <v>41</v>
      </c>
      <c r="E203" s="4" t="s">
        <v>49</v>
      </c>
      <c r="F203" s="4" t="s">
        <v>50</v>
      </c>
      <c r="G203" s="4" t="s">
        <v>25</v>
      </c>
      <c r="H203" s="4" t="s">
        <v>25</v>
      </c>
      <c r="I203" s="5">
        <v>44562</v>
      </c>
      <c r="J203" s="6">
        <v>0</v>
      </c>
      <c r="K203" s="6">
        <v>0</v>
      </c>
      <c r="L203" s="6">
        <v>4.2919999999999998</v>
      </c>
      <c r="M203" s="6">
        <v>4.2919999999999998</v>
      </c>
      <c r="N203" s="6">
        <v>4.2919999999999998</v>
      </c>
      <c r="O203" s="6">
        <v>4.2919999999999998</v>
      </c>
      <c r="P203" s="6">
        <v>0</v>
      </c>
      <c r="Q203" s="4" t="s">
        <v>26</v>
      </c>
      <c r="R203" s="4">
        <v>0</v>
      </c>
      <c r="S203" s="4">
        <v>0</v>
      </c>
      <c r="T203" s="4">
        <v>30</v>
      </c>
      <c r="U203" s="4">
        <v>55</v>
      </c>
      <c r="V203" s="6">
        <f>IF(ISERROR(VLOOKUP($S$203,'TAR FIN'!$A$1:$O$85,15,0)),0,VLOOKUP($S$203,'TAR FIN'!$A$1:$O$85,15,0))</f>
        <v>0</v>
      </c>
      <c r="W203" s="6">
        <f>IF(ISERROR(VLOOKUP($T$203,'TAR FIN'!$A$1:$O$85,15,0)),0,VLOOKUP($T$203,'TAR FIN'!$A$1:$O$85,15,0))</f>
        <v>331.77</v>
      </c>
      <c r="X203" s="6">
        <f>IF(ISERROR(VLOOKUP($U$203,'TAR FIN'!$A$1:$O$85,15,0)),0,VLOOKUP($U$203,'TAR FIN'!$A$1:$O$85,15,0))</f>
        <v>124.36</v>
      </c>
      <c r="Y203" s="6"/>
      <c r="Z203" s="6">
        <f ca="1">('TUSD BE'!$AM$33+'TUSD BF'!$AM$33+'TUSD CVA'!$AM$33)*(1-CUSTOS!$M$38)</f>
        <v>390.73403238820225</v>
      </c>
      <c r="AA203" s="6">
        <f>('TE BE'!$AB$23+'TE BF'!$AB$23+'TE CVA'!$AB$23)*(1-CUSTOS!$M$38)</f>
        <v>127.65788581931002</v>
      </c>
      <c r="AB203" s="6">
        <f t="shared" si="12"/>
        <v>0</v>
      </c>
      <c r="AC203" s="6">
        <f>(L203-M203)*(W203+X203)+($W$141+$X$141-$W$203-$X$203)*(L203)</f>
        <v>266.96239999999977</v>
      </c>
      <c r="AD203" s="6">
        <f t="shared" si="13"/>
        <v>0</v>
      </c>
      <c r="AE203" s="6">
        <f ca="1">(L203-M203)*(Z203+AA203)+($Z$141+$AA$141-$Z$203-$AA$203)*(L203)</f>
        <v>142.01732635829677</v>
      </c>
      <c r="AF203" s="4" t="s">
        <v>590</v>
      </c>
    </row>
    <row r="204" spans="1:32" ht="11.25" customHeight="1" x14ac:dyDescent="0.25">
      <c r="A204" s="4" t="s">
        <v>28</v>
      </c>
      <c r="B204" s="4" t="s">
        <v>40</v>
      </c>
      <c r="C204" s="4" t="s">
        <v>23</v>
      </c>
      <c r="D204" s="4" t="s">
        <v>41</v>
      </c>
      <c r="E204" s="4" t="s">
        <v>49</v>
      </c>
      <c r="F204" s="4" t="s">
        <v>50</v>
      </c>
      <c r="G204" s="4" t="s">
        <v>25</v>
      </c>
      <c r="H204" s="4" t="s">
        <v>25</v>
      </c>
      <c r="I204" s="5">
        <v>44562</v>
      </c>
      <c r="J204" s="6">
        <v>0</v>
      </c>
      <c r="K204" s="6">
        <v>0</v>
      </c>
      <c r="L204" s="6">
        <v>0.44400000000000001</v>
      </c>
      <c r="M204" s="6">
        <v>0.44400000000000001</v>
      </c>
      <c r="N204" s="6">
        <v>0.44400000000000001</v>
      </c>
      <c r="O204" s="6">
        <v>0.44400000000000001</v>
      </c>
      <c r="P204" s="6">
        <v>0</v>
      </c>
      <c r="Q204" s="4" t="s">
        <v>26</v>
      </c>
      <c r="R204" s="4">
        <v>0</v>
      </c>
      <c r="S204" s="4">
        <v>0</v>
      </c>
      <c r="T204" s="4">
        <v>30</v>
      </c>
      <c r="U204" s="4">
        <v>55</v>
      </c>
      <c r="V204" s="6">
        <f>IF(ISERROR(VLOOKUP($S$204,'TAR FIN'!$A$1:$O$85,15,0)),0,VLOOKUP($S$204,'TAR FIN'!$A$1:$O$85,15,0))</f>
        <v>0</v>
      </c>
      <c r="W204" s="6">
        <f>IF(ISERROR(VLOOKUP($T$204,'TAR FIN'!$A$1:$O$85,15,0)),0,VLOOKUP($T$204,'TAR FIN'!$A$1:$O$85,15,0))</f>
        <v>331.77</v>
      </c>
      <c r="X204" s="6">
        <f>IF(ISERROR(VLOOKUP($U$204,'TAR FIN'!$A$1:$O$85,15,0)),0,VLOOKUP($U$204,'TAR FIN'!$A$1:$O$85,15,0))</f>
        <v>124.36</v>
      </c>
      <c r="Y204" s="6"/>
      <c r="Z204" s="6">
        <f ca="1">('TUSD BE'!$AM$33+'TUSD BF'!$AM$33+'TUSD CVA'!$AM$33)*(1-CUSTOS!$M$38)</f>
        <v>390.73403238820225</v>
      </c>
      <c r="AA204" s="6">
        <f>('TE BE'!$AB$23+'TE BF'!$AB$23+'TE CVA'!$AB$23)*(1-CUSTOS!$M$38)</f>
        <v>127.65788581931002</v>
      </c>
      <c r="AB204" s="6">
        <f t="shared" si="12"/>
        <v>0</v>
      </c>
      <c r="AC204" s="6">
        <f>(L204-M204)*(W204+X204)+($W$141+$X$141-$W$204-$X$204)*(L204)</f>
        <v>27.616799999999976</v>
      </c>
      <c r="AD204" s="6">
        <f t="shared" si="13"/>
        <v>0</v>
      </c>
      <c r="AE204" s="6">
        <f ca="1">(L204-M204)*(Z204+AA204)+($Z$141+$AA$141-$Z$204-$AA$204)*(L204)</f>
        <v>14.691447554306563</v>
      </c>
      <c r="AF204" s="4" t="s">
        <v>590</v>
      </c>
    </row>
    <row r="205" spans="1:32" ht="11.25" customHeight="1" x14ac:dyDescent="0.25">
      <c r="A205" s="4" t="s">
        <v>21</v>
      </c>
      <c r="B205" s="4" t="s">
        <v>40</v>
      </c>
      <c r="C205" s="4" t="s">
        <v>23</v>
      </c>
      <c r="D205" s="4" t="s">
        <v>41</v>
      </c>
      <c r="E205" s="4" t="s">
        <v>49</v>
      </c>
      <c r="F205" s="4" t="s">
        <v>50</v>
      </c>
      <c r="G205" s="4" t="s">
        <v>25</v>
      </c>
      <c r="H205" s="4" t="s">
        <v>25</v>
      </c>
      <c r="I205" s="5">
        <v>44593</v>
      </c>
      <c r="J205" s="6">
        <v>0</v>
      </c>
      <c r="K205" s="6">
        <v>0</v>
      </c>
      <c r="L205" s="6">
        <v>4.452</v>
      </c>
      <c r="M205" s="6">
        <v>4.452</v>
      </c>
      <c r="N205" s="6">
        <v>4.452</v>
      </c>
      <c r="O205" s="6">
        <v>4.452</v>
      </c>
      <c r="P205" s="6">
        <v>0</v>
      </c>
      <c r="Q205" s="4" t="s">
        <v>26</v>
      </c>
      <c r="R205" s="4">
        <v>0</v>
      </c>
      <c r="S205" s="4">
        <v>0</v>
      </c>
      <c r="T205" s="4">
        <v>30</v>
      </c>
      <c r="U205" s="4">
        <v>55</v>
      </c>
      <c r="V205" s="6">
        <f>IF(ISERROR(VLOOKUP($S$205,'TAR FIN'!$A$1:$O$85,15,0)),0,VLOOKUP($S$205,'TAR FIN'!$A$1:$O$85,15,0))</f>
        <v>0</v>
      </c>
      <c r="W205" s="6">
        <f>IF(ISERROR(VLOOKUP($T$205,'TAR FIN'!$A$1:$O$85,15,0)),0,VLOOKUP($T$205,'TAR FIN'!$A$1:$O$85,15,0))</f>
        <v>331.77</v>
      </c>
      <c r="X205" s="6">
        <f>IF(ISERROR(VLOOKUP($U$205,'TAR FIN'!$A$1:$O$85,15,0)),0,VLOOKUP($U$205,'TAR FIN'!$A$1:$O$85,15,0))</f>
        <v>124.36</v>
      </c>
      <c r="Y205" s="6"/>
      <c r="Z205" s="6">
        <f ca="1">('TUSD BE'!$AM$33+'TUSD BF'!$AM$33+'TUSD CVA'!$AM$33)*(1-CUSTOS!$M$38)</f>
        <v>390.73403238820225</v>
      </c>
      <c r="AA205" s="6">
        <f>('TE BE'!$AB$23+'TE BF'!$AB$23+'TE CVA'!$AB$23)*(1-CUSTOS!$M$38)</f>
        <v>127.65788581931002</v>
      </c>
      <c r="AB205" s="6">
        <f t="shared" si="12"/>
        <v>0</v>
      </c>
      <c r="AC205" s="6">
        <f>(L205-M205)*(W205+X205)+($W$141+$X$141-$W$205-$X$205)*(L205)</f>
        <v>276.91439999999977</v>
      </c>
      <c r="AD205" s="6">
        <f t="shared" si="13"/>
        <v>0</v>
      </c>
      <c r="AE205" s="6">
        <f ca="1">(L205-M205)*(Z205+AA205)+($Z$141+$AA$141-$Z$205-$AA$205)*(L205)</f>
        <v>147.31154169318202</v>
      </c>
      <c r="AF205" s="4" t="s">
        <v>590</v>
      </c>
    </row>
    <row r="206" spans="1:32" ht="11.25" customHeight="1" x14ac:dyDescent="0.25">
      <c r="A206" s="4" t="s">
        <v>28</v>
      </c>
      <c r="B206" s="4" t="s">
        <v>40</v>
      </c>
      <c r="C206" s="4" t="s">
        <v>23</v>
      </c>
      <c r="D206" s="4" t="s">
        <v>41</v>
      </c>
      <c r="E206" s="4" t="s">
        <v>49</v>
      </c>
      <c r="F206" s="4" t="s">
        <v>50</v>
      </c>
      <c r="G206" s="4" t="s">
        <v>25</v>
      </c>
      <c r="H206" s="4" t="s">
        <v>25</v>
      </c>
      <c r="I206" s="5">
        <v>44593</v>
      </c>
      <c r="J206" s="6">
        <v>0</v>
      </c>
      <c r="K206" s="6">
        <v>0</v>
      </c>
      <c r="L206" s="6">
        <v>0.33800000000000002</v>
      </c>
      <c r="M206" s="6">
        <v>0.33800000000000002</v>
      </c>
      <c r="N206" s="6">
        <v>0.33800000000000002</v>
      </c>
      <c r="O206" s="6">
        <v>0.33800000000000002</v>
      </c>
      <c r="P206" s="6">
        <v>0</v>
      </c>
      <c r="Q206" s="4" t="s">
        <v>26</v>
      </c>
      <c r="R206" s="4">
        <v>0</v>
      </c>
      <c r="S206" s="4">
        <v>0</v>
      </c>
      <c r="T206" s="4">
        <v>30</v>
      </c>
      <c r="U206" s="4">
        <v>55</v>
      </c>
      <c r="V206" s="6">
        <f>IF(ISERROR(VLOOKUP($S$206,'TAR FIN'!$A$1:$O$85,15,0)),0,VLOOKUP($S$206,'TAR FIN'!$A$1:$O$85,15,0))</f>
        <v>0</v>
      </c>
      <c r="W206" s="6">
        <f>IF(ISERROR(VLOOKUP($T$206,'TAR FIN'!$A$1:$O$85,15,0)),0,VLOOKUP($T$206,'TAR FIN'!$A$1:$O$85,15,0))</f>
        <v>331.77</v>
      </c>
      <c r="X206" s="6">
        <f>IF(ISERROR(VLOOKUP($U$206,'TAR FIN'!$A$1:$O$85,15,0)),0,VLOOKUP($U$206,'TAR FIN'!$A$1:$O$85,15,0))</f>
        <v>124.36</v>
      </c>
      <c r="Y206" s="6"/>
      <c r="Z206" s="6">
        <f ca="1">('TUSD BE'!$AM$33+'TUSD BF'!$AM$33+'TUSD CVA'!$AM$33)*(1-CUSTOS!$M$38)</f>
        <v>390.73403238820225</v>
      </c>
      <c r="AA206" s="6">
        <f>('TE BE'!$AB$23+'TE BF'!$AB$23+'TE CVA'!$AB$23)*(1-CUSTOS!$M$38)</f>
        <v>127.65788581931002</v>
      </c>
      <c r="AB206" s="6">
        <f t="shared" si="12"/>
        <v>0</v>
      </c>
      <c r="AC206" s="6">
        <f>(L206-M206)*(W206+X206)+($W$141+$X$141-$W$206-$X$206)*(L206)</f>
        <v>21.023599999999984</v>
      </c>
      <c r="AD206" s="6">
        <f t="shared" si="13"/>
        <v>0</v>
      </c>
      <c r="AE206" s="6">
        <f ca="1">(L206-M206)*(Z206+AA206)+($Z$141+$AA$141-$Z$206-$AA$206)*(L206)</f>
        <v>11.184029894945088</v>
      </c>
      <c r="AF206" s="4" t="s">
        <v>590</v>
      </c>
    </row>
    <row r="207" spans="1:32" ht="11.25" customHeight="1" x14ac:dyDescent="0.25">
      <c r="A207" s="4" t="s">
        <v>21</v>
      </c>
      <c r="B207" s="4" t="s">
        <v>40</v>
      </c>
      <c r="C207" s="4" t="s">
        <v>23</v>
      </c>
      <c r="D207" s="4" t="s">
        <v>41</v>
      </c>
      <c r="E207" s="4" t="s">
        <v>49</v>
      </c>
      <c r="F207" s="4" t="s">
        <v>50</v>
      </c>
      <c r="G207" s="4" t="s">
        <v>25</v>
      </c>
      <c r="H207" s="4" t="s">
        <v>25</v>
      </c>
      <c r="I207" s="5">
        <v>44621</v>
      </c>
      <c r="J207" s="6">
        <v>0</v>
      </c>
      <c r="K207" s="6">
        <v>0</v>
      </c>
      <c r="L207" s="6">
        <v>3.6970000000000001</v>
      </c>
      <c r="M207" s="6">
        <v>3.6970000000000001</v>
      </c>
      <c r="N207" s="6">
        <v>3.6970000000000001</v>
      </c>
      <c r="O207" s="6">
        <v>3.6970000000000001</v>
      </c>
      <c r="P207" s="6">
        <v>0</v>
      </c>
      <c r="Q207" s="4" t="s">
        <v>26</v>
      </c>
      <c r="R207" s="4">
        <v>0</v>
      </c>
      <c r="S207" s="4">
        <v>0</v>
      </c>
      <c r="T207" s="4">
        <v>30</v>
      </c>
      <c r="U207" s="4">
        <v>55</v>
      </c>
      <c r="V207" s="6">
        <f>IF(ISERROR(VLOOKUP($S$207,'TAR FIN'!$A$1:$O$85,15,0)),0,VLOOKUP($S$207,'TAR FIN'!$A$1:$O$85,15,0))</f>
        <v>0</v>
      </c>
      <c r="W207" s="6">
        <f>IF(ISERROR(VLOOKUP($T$207,'TAR FIN'!$A$1:$O$85,15,0)),0,VLOOKUP($T$207,'TAR FIN'!$A$1:$O$85,15,0))</f>
        <v>331.77</v>
      </c>
      <c r="X207" s="6">
        <f>IF(ISERROR(VLOOKUP($U$207,'TAR FIN'!$A$1:$O$85,15,0)),0,VLOOKUP($U$207,'TAR FIN'!$A$1:$O$85,15,0))</f>
        <v>124.36</v>
      </c>
      <c r="Y207" s="6"/>
      <c r="Z207" s="6">
        <f ca="1">('TUSD BE'!$AM$33+'TUSD BF'!$AM$33+'TUSD CVA'!$AM$33)*(1-CUSTOS!$M$38)</f>
        <v>390.73403238820225</v>
      </c>
      <c r="AA207" s="6">
        <f>('TE BE'!$AB$23+'TE BF'!$AB$23+'TE CVA'!$AB$23)*(1-CUSTOS!$M$38)</f>
        <v>127.65788581931002</v>
      </c>
      <c r="AB207" s="6">
        <f t="shared" si="12"/>
        <v>0</v>
      </c>
      <c r="AC207" s="6">
        <f>(L207-M207)*(W207+X207)+($W$141+$X$141-$W$207-$X$207)*(L207)</f>
        <v>229.95339999999982</v>
      </c>
      <c r="AD207" s="6">
        <f t="shared" si="13"/>
        <v>0</v>
      </c>
      <c r="AE207" s="6">
        <f ca="1">(L207-M207)*(Z207+AA207)+($Z$141+$AA$141-$Z$207-$AA$207)*(L207)</f>
        <v>122.32946308169227</v>
      </c>
      <c r="AF207" s="4" t="s">
        <v>590</v>
      </c>
    </row>
    <row r="208" spans="1:32" ht="11.25" customHeight="1" x14ac:dyDescent="0.25">
      <c r="A208" s="4" t="s">
        <v>28</v>
      </c>
      <c r="B208" s="4" t="s">
        <v>40</v>
      </c>
      <c r="C208" s="4" t="s">
        <v>23</v>
      </c>
      <c r="D208" s="4" t="s">
        <v>41</v>
      </c>
      <c r="E208" s="4" t="s">
        <v>49</v>
      </c>
      <c r="F208" s="4" t="s">
        <v>50</v>
      </c>
      <c r="G208" s="4" t="s">
        <v>25</v>
      </c>
      <c r="H208" s="4" t="s">
        <v>25</v>
      </c>
      <c r="I208" s="5">
        <v>44621</v>
      </c>
      <c r="J208" s="6">
        <v>0</v>
      </c>
      <c r="K208" s="6">
        <v>0</v>
      </c>
      <c r="L208" s="6">
        <v>0.374</v>
      </c>
      <c r="M208" s="6">
        <v>0.374</v>
      </c>
      <c r="N208" s="6">
        <v>0.374</v>
      </c>
      <c r="O208" s="6">
        <v>0.374</v>
      </c>
      <c r="P208" s="6">
        <v>0</v>
      </c>
      <c r="Q208" s="4" t="s">
        <v>26</v>
      </c>
      <c r="R208" s="4">
        <v>0</v>
      </c>
      <c r="S208" s="4">
        <v>0</v>
      </c>
      <c r="T208" s="4">
        <v>30</v>
      </c>
      <c r="U208" s="4">
        <v>55</v>
      </c>
      <c r="V208" s="6">
        <f>IF(ISERROR(VLOOKUP($S$208,'TAR FIN'!$A$1:$O$85,15,0)),0,VLOOKUP($S$208,'TAR FIN'!$A$1:$O$85,15,0))</f>
        <v>0</v>
      </c>
      <c r="W208" s="6">
        <f>IF(ISERROR(VLOOKUP($T$208,'TAR FIN'!$A$1:$O$85,15,0)),0,VLOOKUP($T$208,'TAR FIN'!$A$1:$O$85,15,0))</f>
        <v>331.77</v>
      </c>
      <c r="X208" s="6">
        <f>IF(ISERROR(VLOOKUP($U$208,'TAR FIN'!$A$1:$O$85,15,0)),0,VLOOKUP($U$208,'TAR FIN'!$A$1:$O$85,15,0))</f>
        <v>124.36</v>
      </c>
      <c r="Y208" s="6"/>
      <c r="Z208" s="6">
        <f ca="1">('TUSD BE'!$AM$33+'TUSD BF'!$AM$33+'TUSD CVA'!$AM$33)*(1-CUSTOS!$M$38)</f>
        <v>390.73403238820225</v>
      </c>
      <c r="AA208" s="6">
        <f>('TE BE'!$AB$23+'TE BF'!$AB$23+'TE CVA'!$AB$23)*(1-CUSTOS!$M$38)</f>
        <v>127.65788581931002</v>
      </c>
      <c r="AB208" s="6">
        <f t="shared" si="12"/>
        <v>0</v>
      </c>
      <c r="AC208" s="6">
        <f>(L208-M208)*(W208+X208)+($W$141+$X$141-$W$208-$X$208)*(L208)</f>
        <v>23.262799999999981</v>
      </c>
      <c r="AD208" s="6">
        <f t="shared" si="13"/>
        <v>0</v>
      </c>
      <c r="AE208" s="6">
        <f ca="1">(L208-M208)*(Z208+AA208)+($Z$141+$AA$141-$Z$208-$AA$208)*(L208)</f>
        <v>12.375228345294268</v>
      </c>
      <c r="AF208" s="4" t="s">
        <v>590</v>
      </c>
    </row>
    <row r="209" spans="1:32" ht="11.25" customHeight="1" x14ac:dyDescent="0.25">
      <c r="A209" s="4" t="s">
        <v>21</v>
      </c>
      <c r="B209" s="4" t="s">
        <v>40</v>
      </c>
      <c r="C209" s="4" t="s">
        <v>23</v>
      </c>
      <c r="D209" s="4" t="s">
        <v>41</v>
      </c>
      <c r="E209" s="4" t="s">
        <v>49</v>
      </c>
      <c r="F209" s="4" t="s">
        <v>50</v>
      </c>
      <c r="G209" s="4" t="s">
        <v>25</v>
      </c>
      <c r="H209" s="4" t="s">
        <v>25</v>
      </c>
      <c r="I209" s="5">
        <v>44652</v>
      </c>
      <c r="J209" s="6">
        <v>0</v>
      </c>
      <c r="K209" s="6">
        <v>0</v>
      </c>
      <c r="L209" s="6">
        <v>3.0859999999999999</v>
      </c>
      <c r="M209" s="6">
        <v>3.0859999999999999</v>
      </c>
      <c r="N209" s="6">
        <v>3.0859999999999999</v>
      </c>
      <c r="O209" s="6">
        <v>3.0859999999999999</v>
      </c>
      <c r="P209" s="6">
        <v>0</v>
      </c>
      <c r="Q209" s="4" t="s">
        <v>26</v>
      </c>
      <c r="R209" s="4">
        <v>0</v>
      </c>
      <c r="S209" s="4">
        <v>0</v>
      </c>
      <c r="T209" s="4">
        <v>30</v>
      </c>
      <c r="U209" s="4">
        <v>55</v>
      </c>
      <c r="V209" s="6">
        <f>IF(ISERROR(VLOOKUP($S$209,'TAR FIN'!$A$1:$O$85,15,0)),0,VLOOKUP($S$209,'TAR FIN'!$A$1:$O$85,15,0))</f>
        <v>0</v>
      </c>
      <c r="W209" s="6">
        <f>IF(ISERROR(VLOOKUP($T$209,'TAR FIN'!$A$1:$O$85,15,0)),0,VLOOKUP($T$209,'TAR FIN'!$A$1:$O$85,15,0))</f>
        <v>331.77</v>
      </c>
      <c r="X209" s="6">
        <f>IF(ISERROR(VLOOKUP($U$209,'TAR FIN'!$A$1:$O$85,15,0)),0,VLOOKUP($U$209,'TAR FIN'!$A$1:$O$85,15,0))</f>
        <v>124.36</v>
      </c>
      <c r="Y209" s="6"/>
      <c r="Z209" s="6">
        <f ca="1">('TUSD BE'!$AM$33+'TUSD BF'!$AM$33+'TUSD CVA'!$AM$33)*(1-CUSTOS!$M$38)</f>
        <v>390.73403238820225</v>
      </c>
      <c r="AA209" s="6">
        <f>('TE BE'!$AB$23+'TE BF'!$AB$23+'TE CVA'!$AB$23)*(1-CUSTOS!$M$38)</f>
        <v>127.65788581931002</v>
      </c>
      <c r="AB209" s="6">
        <f t="shared" si="12"/>
        <v>0</v>
      </c>
      <c r="AC209" s="6">
        <f>(L209-M209)*(W209+X209)+($W$141+$X$141-$W$209-$X$209)*(L209)</f>
        <v>191.94919999999982</v>
      </c>
      <c r="AD209" s="6">
        <f t="shared" si="13"/>
        <v>0</v>
      </c>
      <c r="AE209" s="6">
        <f ca="1">(L209-M209)*(Z209+AA209)+($Z$141+$AA$141-$Z$209-$AA$209)*(L209)</f>
        <v>102.11217827159922</v>
      </c>
      <c r="AF209" s="4" t="s">
        <v>590</v>
      </c>
    </row>
    <row r="210" spans="1:32" ht="11.25" customHeight="1" x14ac:dyDescent="0.25">
      <c r="A210" s="4" t="s">
        <v>28</v>
      </c>
      <c r="B210" s="4" t="s">
        <v>40</v>
      </c>
      <c r="C210" s="4" t="s">
        <v>23</v>
      </c>
      <c r="D210" s="4" t="s">
        <v>41</v>
      </c>
      <c r="E210" s="4" t="s">
        <v>49</v>
      </c>
      <c r="F210" s="4" t="s">
        <v>50</v>
      </c>
      <c r="G210" s="4" t="s">
        <v>25</v>
      </c>
      <c r="H210" s="4" t="s">
        <v>25</v>
      </c>
      <c r="I210" s="5">
        <v>44652</v>
      </c>
      <c r="J210" s="6">
        <v>0</v>
      </c>
      <c r="K210" s="6">
        <v>0</v>
      </c>
      <c r="L210" s="6">
        <v>0.23699999999999999</v>
      </c>
      <c r="M210" s="6">
        <v>0.23699999999999999</v>
      </c>
      <c r="N210" s="6">
        <v>0.23699999999999999</v>
      </c>
      <c r="O210" s="6">
        <v>0.23699999999999999</v>
      </c>
      <c r="P210" s="6">
        <v>0</v>
      </c>
      <c r="Q210" s="4" t="s">
        <v>26</v>
      </c>
      <c r="R210" s="4">
        <v>0</v>
      </c>
      <c r="S210" s="4">
        <v>0</v>
      </c>
      <c r="T210" s="4">
        <v>30</v>
      </c>
      <c r="U210" s="4">
        <v>55</v>
      </c>
      <c r="V210" s="6">
        <f>IF(ISERROR(VLOOKUP($S$210,'TAR FIN'!$A$1:$O$85,15,0)),0,VLOOKUP($S$210,'TAR FIN'!$A$1:$O$85,15,0))</f>
        <v>0</v>
      </c>
      <c r="W210" s="6">
        <f>IF(ISERROR(VLOOKUP($T$210,'TAR FIN'!$A$1:$O$85,15,0)),0,VLOOKUP($T$210,'TAR FIN'!$A$1:$O$85,15,0))</f>
        <v>331.77</v>
      </c>
      <c r="X210" s="6">
        <f>IF(ISERROR(VLOOKUP($U$210,'TAR FIN'!$A$1:$O$85,15,0)),0,VLOOKUP($U$210,'TAR FIN'!$A$1:$O$85,15,0))</f>
        <v>124.36</v>
      </c>
      <c r="Y210" s="6"/>
      <c r="Z210" s="6">
        <f ca="1">('TUSD BE'!$AM$33+'TUSD BF'!$AM$33+'TUSD CVA'!$AM$33)*(1-CUSTOS!$M$38)</f>
        <v>390.73403238820225</v>
      </c>
      <c r="AA210" s="6">
        <f>('TE BE'!$AB$23+'TE BF'!$AB$23+'TE CVA'!$AB$23)*(1-CUSTOS!$M$38)</f>
        <v>127.65788581931002</v>
      </c>
      <c r="AB210" s="6">
        <f t="shared" si="12"/>
        <v>0</v>
      </c>
      <c r="AC210" s="6">
        <f>(L210-M210)*(W210+X210)+($W$141+$X$141-$W$210-$X$210)*(L210)</f>
        <v>14.741399999999986</v>
      </c>
      <c r="AD210" s="6">
        <f t="shared" si="13"/>
        <v>0</v>
      </c>
      <c r="AE210" s="6">
        <f ca="1">(L210-M210)*(Z210+AA210)+($Z$141+$AA$141-$Z$210-$AA$210)*(L210)</f>
        <v>7.8420564647987732</v>
      </c>
      <c r="AF210" s="4" t="s">
        <v>590</v>
      </c>
    </row>
    <row r="211" spans="1:32" ht="11.25" customHeight="1" x14ac:dyDescent="0.25">
      <c r="A211" s="4" t="s">
        <v>21</v>
      </c>
      <c r="B211" s="4" t="s">
        <v>40</v>
      </c>
      <c r="C211" s="4" t="s">
        <v>23</v>
      </c>
      <c r="D211" s="4" t="s">
        <v>41</v>
      </c>
      <c r="E211" s="4" t="s">
        <v>49</v>
      </c>
      <c r="F211" s="4" t="s">
        <v>50</v>
      </c>
      <c r="G211" s="4" t="s">
        <v>25</v>
      </c>
      <c r="H211" s="4" t="s">
        <v>25</v>
      </c>
      <c r="I211" s="5">
        <v>44682</v>
      </c>
      <c r="J211" s="6">
        <v>0</v>
      </c>
      <c r="K211" s="6">
        <v>0</v>
      </c>
      <c r="L211" s="6">
        <v>2.173</v>
      </c>
      <c r="M211" s="6">
        <v>2.173</v>
      </c>
      <c r="N211" s="6">
        <v>2.173</v>
      </c>
      <c r="O211" s="6">
        <v>2.173</v>
      </c>
      <c r="P211" s="6">
        <v>0</v>
      </c>
      <c r="Q211" s="4" t="s">
        <v>26</v>
      </c>
      <c r="R211" s="4">
        <v>0</v>
      </c>
      <c r="S211" s="4">
        <v>0</v>
      </c>
      <c r="T211" s="4">
        <v>30</v>
      </c>
      <c r="U211" s="4">
        <v>55</v>
      </c>
      <c r="V211" s="6">
        <f>IF(ISERROR(VLOOKUP($S$211,'TAR FIN'!$A$1:$O$85,15,0)),0,VLOOKUP($S$211,'TAR FIN'!$A$1:$O$85,15,0))</f>
        <v>0</v>
      </c>
      <c r="W211" s="6">
        <f>IF(ISERROR(VLOOKUP($T$211,'TAR FIN'!$A$1:$O$85,15,0)),0,VLOOKUP($T$211,'TAR FIN'!$A$1:$O$85,15,0))</f>
        <v>331.77</v>
      </c>
      <c r="X211" s="6">
        <f>IF(ISERROR(VLOOKUP($U$211,'TAR FIN'!$A$1:$O$85,15,0)),0,VLOOKUP($U$211,'TAR FIN'!$A$1:$O$85,15,0))</f>
        <v>124.36</v>
      </c>
      <c r="Y211" s="6"/>
      <c r="Z211" s="6">
        <f ca="1">('TUSD BE'!$AM$33+'TUSD BF'!$AM$33+'TUSD CVA'!$AM$33)*(1-CUSTOS!$M$38)</f>
        <v>390.73403238820225</v>
      </c>
      <c r="AA211" s="6">
        <f>('TE BE'!$AB$23+'TE BF'!$AB$23+'TE CVA'!$AB$23)*(1-CUSTOS!$M$38)</f>
        <v>127.65788581931002</v>
      </c>
      <c r="AB211" s="6">
        <f t="shared" si="12"/>
        <v>0</v>
      </c>
      <c r="AC211" s="6">
        <f>(L211-M211)*(W211+X211)+($W$141+$X$141-$W$211-$X$211)*(L211)</f>
        <v>135.16059999999987</v>
      </c>
      <c r="AD211" s="6">
        <f t="shared" si="13"/>
        <v>0</v>
      </c>
      <c r="AE211" s="6">
        <f ca="1">(L211-M211)*(Z211+AA211)+($Z$141+$AA$141-$Z$211-$AA$211)*(L211)</f>
        <v>71.902062016910278</v>
      </c>
      <c r="AF211" s="4" t="s">
        <v>590</v>
      </c>
    </row>
    <row r="212" spans="1:32" ht="11.25" customHeight="1" x14ac:dyDescent="0.25">
      <c r="A212" s="4" t="s">
        <v>28</v>
      </c>
      <c r="B212" s="4" t="s">
        <v>40</v>
      </c>
      <c r="C212" s="4" t="s">
        <v>23</v>
      </c>
      <c r="D212" s="4" t="s">
        <v>41</v>
      </c>
      <c r="E212" s="4" t="s">
        <v>49</v>
      </c>
      <c r="F212" s="4" t="s">
        <v>50</v>
      </c>
      <c r="G212" s="4" t="s">
        <v>25</v>
      </c>
      <c r="H212" s="4" t="s">
        <v>25</v>
      </c>
      <c r="I212" s="5">
        <v>44682</v>
      </c>
      <c r="J212" s="6">
        <v>0</v>
      </c>
      <c r="K212" s="6">
        <v>0</v>
      </c>
      <c r="L212" s="6">
        <v>0.34200000000000003</v>
      </c>
      <c r="M212" s="6">
        <v>0.34200000000000003</v>
      </c>
      <c r="N212" s="6">
        <v>0.34200000000000003</v>
      </c>
      <c r="O212" s="6">
        <v>0.34200000000000003</v>
      </c>
      <c r="P212" s="6">
        <v>0</v>
      </c>
      <c r="Q212" s="4" t="s">
        <v>26</v>
      </c>
      <c r="R212" s="4">
        <v>0</v>
      </c>
      <c r="S212" s="4">
        <v>0</v>
      </c>
      <c r="T212" s="4">
        <v>30</v>
      </c>
      <c r="U212" s="4">
        <v>55</v>
      </c>
      <c r="V212" s="6">
        <f>IF(ISERROR(VLOOKUP($S$212,'TAR FIN'!$A$1:$O$85,15,0)),0,VLOOKUP($S$212,'TAR FIN'!$A$1:$O$85,15,0))</f>
        <v>0</v>
      </c>
      <c r="W212" s="6">
        <f>IF(ISERROR(VLOOKUP($T$212,'TAR FIN'!$A$1:$O$85,15,0)),0,VLOOKUP($T$212,'TAR FIN'!$A$1:$O$85,15,0))</f>
        <v>331.77</v>
      </c>
      <c r="X212" s="6">
        <f>IF(ISERROR(VLOOKUP($U$212,'TAR FIN'!$A$1:$O$85,15,0)),0,VLOOKUP($U$212,'TAR FIN'!$A$1:$O$85,15,0))</f>
        <v>124.36</v>
      </c>
      <c r="Y212" s="6"/>
      <c r="Z212" s="6">
        <f ca="1">('TUSD BE'!$AM$33+'TUSD BF'!$AM$33+'TUSD CVA'!$AM$33)*(1-CUSTOS!$M$38)</f>
        <v>390.73403238820225</v>
      </c>
      <c r="AA212" s="6">
        <f>('TE BE'!$AB$23+'TE BF'!$AB$23+'TE CVA'!$AB$23)*(1-CUSTOS!$M$38)</f>
        <v>127.65788581931002</v>
      </c>
      <c r="AB212" s="6">
        <f t="shared" si="12"/>
        <v>0</v>
      </c>
      <c r="AC212" s="6">
        <f>(L212-M212)*(W212+X212)+($W$141+$X$141-$W$212-$X$212)*(L212)</f>
        <v>21.272399999999983</v>
      </c>
      <c r="AD212" s="6">
        <f t="shared" si="13"/>
        <v>0</v>
      </c>
      <c r="AE212" s="6">
        <f ca="1">(L212-M212)*(Z212+AA212)+($Z$141+$AA$141-$Z$212-$AA$212)*(L212)</f>
        <v>11.316385278317219</v>
      </c>
      <c r="AF212" s="4" t="s">
        <v>590</v>
      </c>
    </row>
    <row r="213" spans="1:32" ht="11.25" customHeight="1" x14ac:dyDescent="0.25">
      <c r="A213" s="4" t="s">
        <v>21</v>
      </c>
      <c r="B213" s="4" t="s">
        <v>40</v>
      </c>
      <c r="C213" s="4" t="s">
        <v>23</v>
      </c>
      <c r="D213" s="4" t="s">
        <v>41</v>
      </c>
      <c r="E213" s="4" t="s">
        <v>49</v>
      </c>
      <c r="F213" s="4" t="s">
        <v>50</v>
      </c>
      <c r="G213" s="4" t="s">
        <v>25</v>
      </c>
      <c r="H213" s="4" t="s">
        <v>25</v>
      </c>
      <c r="I213" s="5">
        <v>44713</v>
      </c>
      <c r="J213" s="6">
        <v>0</v>
      </c>
      <c r="K213" s="6">
        <v>0</v>
      </c>
      <c r="L213" s="6">
        <v>3.0910000000000002</v>
      </c>
      <c r="M213" s="6">
        <v>3.0910000000000002</v>
      </c>
      <c r="N213" s="6">
        <v>3.0910000000000002</v>
      </c>
      <c r="O213" s="6">
        <v>3.0910000000000002</v>
      </c>
      <c r="P213" s="6">
        <v>0</v>
      </c>
      <c r="Q213" s="4" t="s">
        <v>26</v>
      </c>
      <c r="R213" s="4">
        <v>0</v>
      </c>
      <c r="S213" s="4">
        <v>0</v>
      </c>
      <c r="T213" s="4">
        <v>30</v>
      </c>
      <c r="U213" s="4">
        <v>55</v>
      </c>
      <c r="V213" s="6">
        <f>IF(ISERROR(VLOOKUP($S$213,'TAR FIN'!$A$1:$O$85,15,0)),0,VLOOKUP($S$213,'TAR FIN'!$A$1:$O$85,15,0))</f>
        <v>0</v>
      </c>
      <c r="W213" s="6">
        <f>IF(ISERROR(VLOOKUP($T$213,'TAR FIN'!$A$1:$O$85,15,0)),0,VLOOKUP($T$213,'TAR FIN'!$A$1:$O$85,15,0))</f>
        <v>331.77</v>
      </c>
      <c r="X213" s="6">
        <f>IF(ISERROR(VLOOKUP($U$213,'TAR FIN'!$A$1:$O$85,15,0)),0,VLOOKUP($U$213,'TAR FIN'!$A$1:$O$85,15,0))</f>
        <v>124.36</v>
      </c>
      <c r="Y213" s="6"/>
      <c r="Z213" s="6">
        <f ca="1">('TUSD BE'!$AM$33+'TUSD BF'!$AM$33+'TUSD CVA'!$AM$33)*(1-CUSTOS!$M$38)</f>
        <v>390.73403238820225</v>
      </c>
      <c r="AA213" s="6">
        <f>('TE BE'!$AB$23+'TE BF'!$AB$23+'TE CVA'!$AB$23)*(1-CUSTOS!$M$38)</f>
        <v>127.65788581931002</v>
      </c>
      <c r="AB213" s="6">
        <f t="shared" si="12"/>
        <v>0</v>
      </c>
      <c r="AC213" s="6">
        <f>(L213-M213)*(W213+X213)+($W$141+$X$141-$W$213-$X$213)*(L213)</f>
        <v>192.26019999999986</v>
      </c>
      <c r="AD213" s="6">
        <f t="shared" si="13"/>
        <v>0</v>
      </c>
      <c r="AE213" s="6">
        <f ca="1">(L213-M213)*(Z213+AA213)+($Z$141+$AA$141-$Z$213-$AA$213)*(L213)</f>
        <v>102.27762250081439</v>
      </c>
      <c r="AF213" s="4" t="s">
        <v>590</v>
      </c>
    </row>
    <row r="214" spans="1:32" ht="11.25" customHeight="1" x14ac:dyDescent="0.25">
      <c r="A214" s="4" t="s">
        <v>21</v>
      </c>
      <c r="B214" s="4" t="s">
        <v>40</v>
      </c>
      <c r="C214" s="4" t="s">
        <v>23</v>
      </c>
      <c r="D214" s="4" t="s">
        <v>41</v>
      </c>
      <c r="E214" s="4" t="s">
        <v>49</v>
      </c>
      <c r="F214" s="4" t="s">
        <v>50</v>
      </c>
      <c r="G214" s="4" t="s">
        <v>25</v>
      </c>
      <c r="H214" s="4" t="s">
        <v>25</v>
      </c>
      <c r="I214" s="5">
        <v>44743</v>
      </c>
      <c r="J214" s="6">
        <v>0</v>
      </c>
      <c r="K214" s="6">
        <v>0</v>
      </c>
      <c r="L214" s="6">
        <v>2.78</v>
      </c>
      <c r="M214" s="6">
        <v>2.78</v>
      </c>
      <c r="N214" s="6">
        <v>2.78</v>
      </c>
      <c r="O214" s="6">
        <v>2.78</v>
      </c>
      <c r="P214" s="6">
        <v>0</v>
      </c>
      <c r="Q214" s="4" t="s">
        <v>26</v>
      </c>
      <c r="R214" s="4">
        <v>0</v>
      </c>
      <c r="S214" s="4">
        <v>0</v>
      </c>
      <c r="T214" s="4">
        <v>30</v>
      </c>
      <c r="U214" s="4">
        <v>55</v>
      </c>
      <c r="V214" s="6">
        <f>IF(ISERROR(VLOOKUP($S$214,'TAR FIN'!$A$1:$O$85,15,0)),0,VLOOKUP($S$214,'TAR FIN'!$A$1:$O$85,15,0))</f>
        <v>0</v>
      </c>
      <c r="W214" s="6">
        <f>IF(ISERROR(VLOOKUP($T$214,'TAR FIN'!$A$1:$O$85,15,0)),0,VLOOKUP($T$214,'TAR FIN'!$A$1:$O$85,15,0))</f>
        <v>331.77</v>
      </c>
      <c r="X214" s="6">
        <f>IF(ISERROR(VLOOKUP($U$214,'TAR FIN'!$A$1:$O$85,15,0)),0,VLOOKUP($U$214,'TAR FIN'!$A$1:$O$85,15,0))</f>
        <v>124.36</v>
      </c>
      <c r="Y214" s="6"/>
      <c r="Z214" s="6">
        <f ca="1">('TUSD BE'!$AM$33+'TUSD BF'!$AM$33+'TUSD CVA'!$AM$33)*(1-CUSTOS!$M$38)</f>
        <v>390.73403238820225</v>
      </c>
      <c r="AA214" s="6">
        <f>('TE BE'!$AB$23+'TE BF'!$AB$23+'TE CVA'!$AB$23)*(1-CUSTOS!$M$38)</f>
        <v>127.65788581931002</v>
      </c>
      <c r="AB214" s="6">
        <f t="shared" si="12"/>
        <v>0</v>
      </c>
      <c r="AC214" s="6">
        <f>(L214-M214)*(W214+X214)+($W$141+$X$141-$W$214-$X$214)*(L214)</f>
        <v>172.91599999999983</v>
      </c>
      <c r="AD214" s="6">
        <f t="shared" si="13"/>
        <v>0</v>
      </c>
      <c r="AE214" s="6">
        <f ca="1">(L214-M214)*(Z214+AA214)+($Z$141+$AA$141-$Z$214-$AA$214)*(L214)</f>
        <v>91.986991443631183</v>
      </c>
      <c r="AF214" s="4" t="s">
        <v>590</v>
      </c>
    </row>
    <row r="215" spans="1:32" ht="11.25" customHeight="1" x14ac:dyDescent="0.25">
      <c r="A215" s="4" t="s">
        <v>27</v>
      </c>
      <c r="B215" s="4" t="s">
        <v>40</v>
      </c>
      <c r="C215" s="4" t="s">
        <v>23</v>
      </c>
      <c r="D215" s="4" t="s">
        <v>41</v>
      </c>
      <c r="E215" s="4" t="s">
        <v>49</v>
      </c>
      <c r="F215" s="4" t="s">
        <v>50</v>
      </c>
      <c r="G215" s="4" t="s">
        <v>25</v>
      </c>
      <c r="H215" s="4" t="s">
        <v>25</v>
      </c>
      <c r="I215" s="5">
        <v>44743</v>
      </c>
      <c r="J215" s="6">
        <v>0</v>
      </c>
      <c r="K215" s="6">
        <v>0</v>
      </c>
      <c r="L215" s="6">
        <v>-0.26</v>
      </c>
      <c r="M215" s="6">
        <v>-0.26</v>
      </c>
      <c r="N215" s="6">
        <v>-0.26</v>
      </c>
      <c r="O215" s="6">
        <v>-0.26</v>
      </c>
      <c r="P215" s="6">
        <v>0</v>
      </c>
      <c r="Q215" s="4" t="s">
        <v>26</v>
      </c>
      <c r="R215" s="4">
        <v>0</v>
      </c>
      <c r="S215" s="4">
        <v>0</v>
      </c>
      <c r="T215" s="4">
        <v>30</v>
      </c>
      <c r="U215" s="4">
        <v>55</v>
      </c>
      <c r="V215" s="6">
        <f>IF(ISERROR(VLOOKUP($S$215,'TAR FIN'!$A$1:$O$85,15,0)),0,VLOOKUP($S$215,'TAR FIN'!$A$1:$O$85,15,0))</f>
        <v>0</v>
      </c>
      <c r="W215" s="6">
        <f>IF(ISERROR(VLOOKUP($T$215,'TAR FIN'!$A$1:$O$85,15,0)),0,VLOOKUP($T$215,'TAR FIN'!$A$1:$O$85,15,0))</f>
        <v>331.77</v>
      </c>
      <c r="X215" s="6">
        <f>IF(ISERROR(VLOOKUP($U$215,'TAR FIN'!$A$1:$O$85,15,0)),0,VLOOKUP($U$215,'TAR FIN'!$A$1:$O$85,15,0))</f>
        <v>124.36</v>
      </c>
      <c r="Y215" s="6"/>
      <c r="Z215" s="6">
        <f ca="1">('TUSD BE'!$AM$33+'TUSD BF'!$AM$33+'TUSD CVA'!$AM$33)*(1-CUSTOS!$M$38)</f>
        <v>390.73403238820225</v>
      </c>
      <c r="AA215" s="6">
        <f>('TE BE'!$AB$23+'TE BF'!$AB$23+'TE CVA'!$AB$23)*(1-CUSTOS!$M$38)</f>
        <v>127.65788581931002</v>
      </c>
      <c r="AB215" s="6">
        <f t="shared" si="12"/>
        <v>0</v>
      </c>
      <c r="AC215" s="6">
        <f>(L215-M215)*(W215+X215)+($W$141+$X$141-$W$215-$X$215)*(L215)</f>
        <v>-16.171999999999986</v>
      </c>
      <c r="AD215" s="6">
        <f t="shared" si="13"/>
        <v>0</v>
      </c>
      <c r="AE215" s="6">
        <f ca="1">(L215-M215)*(Z215+AA215)+($Z$141+$AA$141-$Z$215-$AA$215)*(L215)</f>
        <v>-8.6030999191885282</v>
      </c>
      <c r="AF215" s="4" t="s">
        <v>590</v>
      </c>
    </row>
    <row r="216" spans="1:32" ht="11.25" customHeight="1" x14ac:dyDescent="0.25">
      <c r="A216" s="4" t="s">
        <v>28</v>
      </c>
      <c r="B216" s="4" t="s">
        <v>40</v>
      </c>
      <c r="C216" s="4" t="s">
        <v>23</v>
      </c>
      <c r="D216" s="4" t="s">
        <v>41</v>
      </c>
      <c r="E216" s="4" t="s">
        <v>49</v>
      </c>
      <c r="F216" s="4" t="s">
        <v>50</v>
      </c>
      <c r="G216" s="4" t="s">
        <v>25</v>
      </c>
      <c r="H216" s="4" t="s">
        <v>25</v>
      </c>
      <c r="I216" s="5">
        <v>44743</v>
      </c>
      <c r="J216" s="6">
        <v>0</v>
      </c>
      <c r="K216" s="6">
        <v>0</v>
      </c>
      <c r="L216" s="6">
        <v>0.1</v>
      </c>
      <c r="M216" s="6">
        <v>0.1</v>
      </c>
      <c r="N216" s="6">
        <v>0.1</v>
      </c>
      <c r="O216" s="6">
        <v>0.1</v>
      </c>
      <c r="P216" s="6">
        <v>0</v>
      </c>
      <c r="Q216" s="4" t="s">
        <v>26</v>
      </c>
      <c r="R216" s="4">
        <v>0</v>
      </c>
      <c r="S216" s="4">
        <v>0</v>
      </c>
      <c r="T216" s="4">
        <v>30</v>
      </c>
      <c r="U216" s="4">
        <v>55</v>
      </c>
      <c r="V216" s="6">
        <f>IF(ISERROR(VLOOKUP($S$216,'TAR FIN'!$A$1:$O$85,15,0)),0,VLOOKUP($S$216,'TAR FIN'!$A$1:$O$85,15,0))</f>
        <v>0</v>
      </c>
      <c r="W216" s="6">
        <f>IF(ISERROR(VLOOKUP($T$216,'TAR FIN'!$A$1:$O$85,15,0)),0,VLOOKUP($T$216,'TAR FIN'!$A$1:$O$85,15,0))</f>
        <v>331.77</v>
      </c>
      <c r="X216" s="6">
        <f>IF(ISERROR(VLOOKUP($U$216,'TAR FIN'!$A$1:$O$85,15,0)),0,VLOOKUP($U$216,'TAR FIN'!$A$1:$O$85,15,0))</f>
        <v>124.36</v>
      </c>
      <c r="Y216" s="6"/>
      <c r="Z216" s="6">
        <f ca="1">('TUSD BE'!$AM$33+'TUSD BF'!$AM$33+'TUSD CVA'!$AM$33)*(1-CUSTOS!$M$38)</f>
        <v>390.73403238820225</v>
      </c>
      <c r="AA216" s="6">
        <f>('TE BE'!$AB$23+'TE BF'!$AB$23+'TE CVA'!$AB$23)*(1-CUSTOS!$M$38)</f>
        <v>127.65788581931002</v>
      </c>
      <c r="AB216" s="6">
        <f t="shared" si="12"/>
        <v>0</v>
      </c>
      <c r="AC216" s="6">
        <f>(L216-M216)*(W216+X216)+($W$141+$X$141-$W$216-$X$216)*(L216)</f>
        <v>6.2199999999999953</v>
      </c>
      <c r="AD216" s="6">
        <f t="shared" si="13"/>
        <v>0</v>
      </c>
      <c r="AE216" s="6">
        <f ca="1">(L216-M216)*(Z216+AA216)+($Z$141+$AA$141-$Z$216-$AA$216)*(L216)</f>
        <v>3.3088845843032804</v>
      </c>
      <c r="AF216" s="4" t="s">
        <v>590</v>
      </c>
    </row>
    <row r="217" spans="1:32" ht="11.25" customHeight="1" x14ac:dyDescent="0.25">
      <c r="A217" s="4" t="s">
        <v>21</v>
      </c>
      <c r="B217" s="4" t="s">
        <v>40</v>
      </c>
      <c r="C217" s="4" t="s">
        <v>23</v>
      </c>
      <c r="D217" s="4" t="s">
        <v>41</v>
      </c>
      <c r="E217" s="4" t="s">
        <v>49</v>
      </c>
      <c r="F217" s="4" t="s">
        <v>50</v>
      </c>
      <c r="G217" s="4" t="s">
        <v>25</v>
      </c>
      <c r="H217" s="4" t="s">
        <v>25</v>
      </c>
      <c r="I217" s="5">
        <v>44774</v>
      </c>
      <c r="J217" s="6">
        <v>0</v>
      </c>
      <c r="K217" s="6">
        <v>0</v>
      </c>
      <c r="L217" s="6">
        <v>2.8079999999999998</v>
      </c>
      <c r="M217" s="6">
        <v>2.8079999999999998</v>
      </c>
      <c r="N217" s="6">
        <v>2.8079999999999998</v>
      </c>
      <c r="O217" s="6">
        <v>2.8079999999999998</v>
      </c>
      <c r="P217" s="6">
        <v>0</v>
      </c>
      <c r="Q217" s="4" t="s">
        <v>26</v>
      </c>
      <c r="R217" s="4">
        <v>0</v>
      </c>
      <c r="S217" s="4">
        <v>0</v>
      </c>
      <c r="T217" s="4">
        <v>30</v>
      </c>
      <c r="U217" s="4">
        <v>55</v>
      </c>
      <c r="V217" s="6">
        <f>IF(ISERROR(VLOOKUP($S$217,'TAR FIN'!$A$1:$O$85,15,0)),0,VLOOKUP($S$217,'TAR FIN'!$A$1:$O$85,15,0))</f>
        <v>0</v>
      </c>
      <c r="W217" s="6">
        <f>IF(ISERROR(VLOOKUP($T$217,'TAR FIN'!$A$1:$O$85,15,0)),0,VLOOKUP($T$217,'TAR FIN'!$A$1:$O$85,15,0))</f>
        <v>331.77</v>
      </c>
      <c r="X217" s="6">
        <f>IF(ISERROR(VLOOKUP($U$217,'TAR FIN'!$A$1:$O$85,15,0)),0,VLOOKUP($U$217,'TAR FIN'!$A$1:$O$85,15,0))</f>
        <v>124.36</v>
      </c>
      <c r="Y217" s="6"/>
      <c r="Z217" s="6">
        <f ca="1">('TUSD BE'!$AM$33+'TUSD BF'!$AM$33+'TUSD CVA'!$AM$33)*(1-CUSTOS!$M$38)</f>
        <v>390.73403238820225</v>
      </c>
      <c r="AA217" s="6">
        <f>('TE BE'!$AB$23+'TE BF'!$AB$23+'TE CVA'!$AB$23)*(1-CUSTOS!$M$38)</f>
        <v>127.65788581931002</v>
      </c>
      <c r="AB217" s="6">
        <f t="shared" si="12"/>
        <v>0</v>
      </c>
      <c r="AC217" s="6">
        <f>(L217-M217)*(W217+X217)+($W$141+$X$141-$W$217-$X$217)*(L217)</f>
        <v>174.65759999999983</v>
      </c>
      <c r="AD217" s="6">
        <f t="shared" si="13"/>
        <v>0</v>
      </c>
      <c r="AE217" s="6">
        <f ca="1">(L217-M217)*(Z217+AA217)+($Z$141+$AA$141-$Z$217-$AA$217)*(L217)</f>
        <v>92.913479127236101</v>
      </c>
      <c r="AF217" s="4" t="s">
        <v>590</v>
      </c>
    </row>
    <row r="218" spans="1:32" ht="11.25" customHeight="1" x14ac:dyDescent="0.25">
      <c r="A218" s="4" t="s">
        <v>28</v>
      </c>
      <c r="B218" s="4" t="s">
        <v>40</v>
      </c>
      <c r="C218" s="4" t="s">
        <v>23</v>
      </c>
      <c r="D218" s="4" t="s">
        <v>41</v>
      </c>
      <c r="E218" s="4" t="s">
        <v>49</v>
      </c>
      <c r="F218" s="4" t="s">
        <v>50</v>
      </c>
      <c r="G218" s="4" t="s">
        <v>25</v>
      </c>
      <c r="H218" s="4" t="s">
        <v>25</v>
      </c>
      <c r="I218" s="5">
        <v>44774</v>
      </c>
      <c r="J218" s="6">
        <v>0</v>
      </c>
      <c r="K218" s="6">
        <v>0</v>
      </c>
      <c r="L218" s="6">
        <v>0.1</v>
      </c>
      <c r="M218" s="6">
        <v>0.1</v>
      </c>
      <c r="N218" s="6">
        <v>0.1</v>
      </c>
      <c r="O218" s="6">
        <v>0.1</v>
      </c>
      <c r="P218" s="6">
        <v>0</v>
      </c>
      <c r="Q218" s="4" t="s">
        <v>26</v>
      </c>
      <c r="R218" s="4">
        <v>0</v>
      </c>
      <c r="S218" s="4">
        <v>0</v>
      </c>
      <c r="T218" s="4">
        <v>30</v>
      </c>
      <c r="U218" s="4">
        <v>55</v>
      </c>
      <c r="V218" s="6">
        <f>IF(ISERROR(VLOOKUP($S$218,'TAR FIN'!$A$1:$O$85,15,0)),0,VLOOKUP($S$218,'TAR FIN'!$A$1:$O$85,15,0))</f>
        <v>0</v>
      </c>
      <c r="W218" s="6">
        <f>IF(ISERROR(VLOOKUP($T$218,'TAR FIN'!$A$1:$O$85,15,0)),0,VLOOKUP($T$218,'TAR FIN'!$A$1:$O$85,15,0))</f>
        <v>331.77</v>
      </c>
      <c r="X218" s="6">
        <f>IF(ISERROR(VLOOKUP($U$218,'TAR FIN'!$A$1:$O$85,15,0)),0,VLOOKUP($U$218,'TAR FIN'!$A$1:$O$85,15,0))</f>
        <v>124.36</v>
      </c>
      <c r="Y218" s="6"/>
      <c r="Z218" s="6">
        <f ca="1">('TUSD BE'!$AM$33+'TUSD BF'!$AM$33+'TUSD CVA'!$AM$33)*(1-CUSTOS!$M$38)</f>
        <v>390.73403238820225</v>
      </c>
      <c r="AA218" s="6">
        <f>('TE BE'!$AB$23+'TE BF'!$AB$23+'TE CVA'!$AB$23)*(1-CUSTOS!$M$38)</f>
        <v>127.65788581931002</v>
      </c>
      <c r="AB218" s="6">
        <f t="shared" si="12"/>
        <v>0</v>
      </c>
      <c r="AC218" s="6">
        <f>(L218-M218)*(W218+X218)+($W$141+$X$141-$W$218-$X$218)*(L218)</f>
        <v>6.2199999999999953</v>
      </c>
      <c r="AD218" s="6">
        <f t="shared" si="13"/>
        <v>0</v>
      </c>
      <c r="AE218" s="6">
        <f ca="1">(L218-M218)*(Z218+AA218)+($Z$141+$AA$141-$Z$218-$AA$218)*(L218)</f>
        <v>3.3088845843032804</v>
      </c>
      <c r="AF218" s="4" t="s">
        <v>590</v>
      </c>
    </row>
    <row r="219" spans="1:32" ht="11.25" customHeight="1" x14ac:dyDescent="0.25">
      <c r="A219" s="4" t="s">
        <v>21</v>
      </c>
      <c r="B219" s="4" t="s">
        <v>40</v>
      </c>
      <c r="C219" s="4" t="s">
        <v>23</v>
      </c>
      <c r="D219" s="4" t="s">
        <v>41</v>
      </c>
      <c r="E219" s="4" t="s">
        <v>49</v>
      </c>
      <c r="F219" s="4" t="s">
        <v>51</v>
      </c>
      <c r="G219" s="4" t="s">
        <v>25</v>
      </c>
      <c r="H219" s="4" t="s">
        <v>25</v>
      </c>
      <c r="I219" s="5">
        <v>44440</v>
      </c>
      <c r="J219" s="6">
        <v>0</v>
      </c>
      <c r="K219" s="6">
        <v>0</v>
      </c>
      <c r="L219" s="6">
        <v>4.4800000000000004</v>
      </c>
      <c r="M219" s="6">
        <v>1.792</v>
      </c>
      <c r="N219" s="6">
        <v>4.4800000000000004</v>
      </c>
      <c r="O219" s="6">
        <v>1.792</v>
      </c>
      <c r="P219" s="6">
        <v>0</v>
      </c>
      <c r="Q219" s="4" t="s">
        <v>26</v>
      </c>
      <c r="R219" s="4">
        <v>0</v>
      </c>
      <c r="S219" s="4">
        <v>0</v>
      </c>
      <c r="T219" s="4">
        <v>30</v>
      </c>
      <c r="U219" s="4">
        <v>55</v>
      </c>
      <c r="V219" s="6">
        <f>IF(ISERROR(VLOOKUP($S$219,'TAR FIN'!$A$1:$O$85,15,0)),0,VLOOKUP($S$219,'TAR FIN'!$A$1:$O$85,15,0))</f>
        <v>0</v>
      </c>
      <c r="W219" s="6">
        <f>IF(ISERROR(VLOOKUP($T$219,'TAR FIN'!$A$1:$O$85,15,0)),0,VLOOKUP($T$219,'TAR FIN'!$A$1:$O$85,15,0))</f>
        <v>331.77</v>
      </c>
      <c r="X219" s="6">
        <f>IF(ISERROR(VLOOKUP($U$219,'TAR FIN'!$A$1:$O$85,15,0)),0,VLOOKUP($U$219,'TAR FIN'!$A$1:$O$85,15,0))</f>
        <v>124.36</v>
      </c>
      <c r="Y219" s="6"/>
      <c r="Z219" s="6">
        <f ca="1">('TUSD BE'!$AM$33+'TUSD BF'!$AM$33+'TUSD CVA'!$AM$33)*(1-CUSTOS!$M$38)</f>
        <v>390.73403238820225</v>
      </c>
      <c r="AA219" s="6">
        <f>('TE BE'!$AB$23+'TE BF'!$AB$23+'TE CVA'!$AB$23)*(1-CUSTOS!$M$38)</f>
        <v>127.65788581931002</v>
      </c>
      <c r="AB219" s="6">
        <f t="shared" si="12"/>
        <v>0</v>
      </c>
      <c r="AC219" s="6">
        <f>(L219-M219)*(W219+X219)+($W$141+$X$141-$W$219-$X$219)*(L219)</f>
        <v>1504.73344</v>
      </c>
      <c r="AD219" s="6">
        <f t="shared" si="13"/>
        <v>0</v>
      </c>
      <c r="AE219" s="6">
        <f ca="1">(L219-M219)*(Z219+AA219)+($Z$141+$AA$141-$Z$219-$AA$219)*(L219)</f>
        <v>1541.6755055185802</v>
      </c>
      <c r="AF219" s="4" t="s">
        <v>592</v>
      </c>
    </row>
    <row r="220" spans="1:32" ht="11.25" customHeight="1" x14ac:dyDescent="0.25">
      <c r="A220" s="4" t="s">
        <v>28</v>
      </c>
      <c r="B220" s="4" t="s">
        <v>40</v>
      </c>
      <c r="C220" s="4" t="s">
        <v>23</v>
      </c>
      <c r="D220" s="4" t="s">
        <v>41</v>
      </c>
      <c r="E220" s="4" t="s">
        <v>49</v>
      </c>
      <c r="F220" s="4" t="s">
        <v>51</v>
      </c>
      <c r="G220" s="4" t="s">
        <v>25</v>
      </c>
      <c r="H220" s="4" t="s">
        <v>25</v>
      </c>
      <c r="I220" s="5">
        <v>44440</v>
      </c>
      <c r="J220" s="6">
        <v>0</v>
      </c>
      <c r="K220" s="6">
        <v>0</v>
      </c>
      <c r="L220" s="6">
        <v>6.0000000000000001E-3</v>
      </c>
      <c r="M220" s="6">
        <v>2.3999999999999998E-3</v>
      </c>
      <c r="N220" s="6">
        <v>6.0000000000000001E-3</v>
      </c>
      <c r="O220" s="6">
        <v>2.3999999999999998E-3</v>
      </c>
      <c r="P220" s="6">
        <v>0</v>
      </c>
      <c r="Q220" s="4" t="s">
        <v>26</v>
      </c>
      <c r="R220" s="4">
        <v>0</v>
      </c>
      <c r="S220" s="4">
        <v>0</v>
      </c>
      <c r="T220" s="4">
        <v>30</v>
      </c>
      <c r="U220" s="4">
        <v>55</v>
      </c>
      <c r="V220" s="6">
        <f>IF(ISERROR(VLOOKUP($S$220,'TAR FIN'!$A$1:$O$85,15,0)),0,VLOOKUP($S$220,'TAR FIN'!$A$1:$O$85,15,0))</f>
        <v>0</v>
      </c>
      <c r="W220" s="6">
        <f>IF(ISERROR(VLOOKUP($T$220,'TAR FIN'!$A$1:$O$85,15,0)),0,VLOOKUP($T$220,'TAR FIN'!$A$1:$O$85,15,0))</f>
        <v>331.77</v>
      </c>
      <c r="X220" s="6">
        <f>IF(ISERROR(VLOOKUP($U$220,'TAR FIN'!$A$1:$O$85,15,0)),0,VLOOKUP($U$220,'TAR FIN'!$A$1:$O$85,15,0))</f>
        <v>124.36</v>
      </c>
      <c r="Y220" s="6"/>
      <c r="Z220" s="6">
        <f ca="1">('TUSD BE'!$AM$33+'TUSD BF'!$AM$33+'TUSD CVA'!$AM$33)*(1-CUSTOS!$M$38)</f>
        <v>390.73403238820225</v>
      </c>
      <c r="AA220" s="6">
        <f>('TE BE'!$AB$23+'TE BF'!$AB$23+'TE CVA'!$AB$23)*(1-CUSTOS!$M$38)</f>
        <v>127.65788581931002</v>
      </c>
      <c r="AB220" s="6">
        <f t="shared" si="12"/>
        <v>0</v>
      </c>
      <c r="AC220" s="6">
        <f>(L220-M220)*(W220+X220)+($W$141+$X$141-$W$220-$X$220)*(L220)</f>
        <v>2.0152679999999998</v>
      </c>
      <c r="AD220" s="6">
        <f t="shared" si="13"/>
        <v>0</v>
      </c>
      <c r="AE220" s="6">
        <f ca="1">(L220-M220)*(Z220+AA220)+($Z$141+$AA$141-$Z$220-$AA$220)*(L220)</f>
        <v>2.064743980605241</v>
      </c>
      <c r="AF220" s="4" t="s">
        <v>592</v>
      </c>
    </row>
    <row r="221" spans="1:32" ht="11.25" customHeight="1" x14ac:dyDescent="0.25">
      <c r="A221" s="4" t="s">
        <v>21</v>
      </c>
      <c r="B221" s="4" t="s">
        <v>40</v>
      </c>
      <c r="C221" s="4" t="s">
        <v>23</v>
      </c>
      <c r="D221" s="4" t="s">
        <v>41</v>
      </c>
      <c r="E221" s="4" t="s">
        <v>49</v>
      </c>
      <c r="F221" s="4" t="s">
        <v>51</v>
      </c>
      <c r="G221" s="4" t="s">
        <v>25</v>
      </c>
      <c r="H221" s="4" t="s">
        <v>25</v>
      </c>
      <c r="I221" s="5">
        <v>44470</v>
      </c>
      <c r="J221" s="6">
        <v>0</v>
      </c>
      <c r="K221" s="6">
        <v>0</v>
      </c>
      <c r="L221" s="6">
        <v>1.861</v>
      </c>
      <c r="M221" s="6">
        <v>0.74439999999999995</v>
      </c>
      <c r="N221" s="6">
        <v>1.861</v>
      </c>
      <c r="O221" s="6">
        <v>0.74439999999999995</v>
      </c>
      <c r="P221" s="6">
        <v>0</v>
      </c>
      <c r="Q221" s="4" t="s">
        <v>26</v>
      </c>
      <c r="R221" s="4">
        <v>0</v>
      </c>
      <c r="S221" s="4">
        <v>0</v>
      </c>
      <c r="T221" s="4">
        <v>30</v>
      </c>
      <c r="U221" s="4">
        <v>55</v>
      </c>
      <c r="V221" s="6">
        <f>IF(ISERROR(VLOOKUP($S$221,'TAR FIN'!$A$1:$O$85,15,0)),0,VLOOKUP($S$221,'TAR FIN'!$A$1:$O$85,15,0))</f>
        <v>0</v>
      </c>
      <c r="W221" s="6">
        <f>IF(ISERROR(VLOOKUP($T$221,'TAR FIN'!$A$1:$O$85,15,0)),0,VLOOKUP($T$221,'TAR FIN'!$A$1:$O$85,15,0))</f>
        <v>331.77</v>
      </c>
      <c r="X221" s="6">
        <f>IF(ISERROR(VLOOKUP($U$221,'TAR FIN'!$A$1:$O$85,15,0)),0,VLOOKUP($U$221,'TAR FIN'!$A$1:$O$85,15,0))</f>
        <v>124.36</v>
      </c>
      <c r="Y221" s="6"/>
      <c r="Z221" s="6">
        <f ca="1">('TUSD BE'!$AM$33+'TUSD BF'!$AM$33+'TUSD CVA'!$AM$33)*(1-CUSTOS!$M$38)</f>
        <v>390.73403238820225</v>
      </c>
      <c r="AA221" s="6">
        <f>('TE BE'!$AB$23+'TE BF'!$AB$23+'TE CVA'!$AB$23)*(1-CUSTOS!$M$38)</f>
        <v>127.65788581931002</v>
      </c>
      <c r="AB221" s="6">
        <f t="shared" si="12"/>
        <v>0</v>
      </c>
      <c r="AC221" s="6">
        <f>(L221-M221)*(W221+X221)+($W$141+$X$141-$W$221-$X$221)*(L221)</f>
        <v>625.06895799999984</v>
      </c>
      <c r="AD221" s="6">
        <f t="shared" si="13"/>
        <v>0</v>
      </c>
      <c r="AE221" s="6">
        <f ca="1">(L221-M221)*(Z221+AA221)+($Z$141+$AA$141-$Z$221-$AA$221)*(L221)</f>
        <v>640.41475798439217</v>
      </c>
      <c r="AF221" s="4" t="s">
        <v>592</v>
      </c>
    </row>
    <row r="222" spans="1:32" ht="11.25" customHeight="1" x14ac:dyDescent="0.25">
      <c r="A222" s="4" t="s">
        <v>28</v>
      </c>
      <c r="B222" s="4" t="s">
        <v>40</v>
      </c>
      <c r="C222" s="4" t="s">
        <v>23</v>
      </c>
      <c r="D222" s="4" t="s">
        <v>41</v>
      </c>
      <c r="E222" s="4" t="s">
        <v>49</v>
      </c>
      <c r="F222" s="4" t="s">
        <v>51</v>
      </c>
      <c r="G222" s="4" t="s">
        <v>25</v>
      </c>
      <c r="H222" s="4" t="s">
        <v>25</v>
      </c>
      <c r="I222" s="5">
        <v>44470</v>
      </c>
      <c r="J222" s="6">
        <v>0</v>
      </c>
      <c r="K222" s="6">
        <v>0</v>
      </c>
      <c r="L222" s="6">
        <v>5.0000000000000001E-3</v>
      </c>
      <c r="M222" s="6">
        <v>2E-3</v>
      </c>
      <c r="N222" s="6">
        <v>5.0000000000000001E-3</v>
      </c>
      <c r="O222" s="6">
        <v>2E-3</v>
      </c>
      <c r="P222" s="6">
        <v>0</v>
      </c>
      <c r="Q222" s="4" t="s">
        <v>26</v>
      </c>
      <c r="R222" s="4">
        <v>0</v>
      </c>
      <c r="S222" s="4">
        <v>0</v>
      </c>
      <c r="T222" s="4">
        <v>30</v>
      </c>
      <c r="U222" s="4">
        <v>55</v>
      </c>
      <c r="V222" s="6">
        <f>IF(ISERROR(VLOOKUP($S$222,'TAR FIN'!$A$1:$O$85,15,0)),0,VLOOKUP($S$222,'TAR FIN'!$A$1:$O$85,15,0))</f>
        <v>0</v>
      </c>
      <c r="W222" s="6">
        <f>IF(ISERROR(VLOOKUP($T$222,'TAR FIN'!$A$1:$O$85,15,0)),0,VLOOKUP($T$222,'TAR FIN'!$A$1:$O$85,15,0))</f>
        <v>331.77</v>
      </c>
      <c r="X222" s="6">
        <f>IF(ISERROR(VLOOKUP($U$222,'TAR FIN'!$A$1:$O$85,15,0)),0,VLOOKUP($U$222,'TAR FIN'!$A$1:$O$85,15,0))</f>
        <v>124.36</v>
      </c>
      <c r="Y222" s="6"/>
      <c r="Z222" s="6">
        <f ca="1">('TUSD BE'!$AM$33+'TUSD BF'!$AM$33+'TUSD CVA'!$AM$33)*(1-CUSTOS!$M$38)</f>
        <v>390.73403238820225</v>
      </c>
      <c r="AA222" s="6">
        <f>('TE BE'!$AB$23+'TE BF'!$AB$23+'TE CVA'!$AB$23)*(1-CUSTOS!$M$38)</f>
        <v>127.65788581931002</v>
      </c>
      <c r="AB222" s="6">
        <f t="shared" si="12"/>
        <v>0</v>
      </c>
      <c r="AC222" s="6">
        <f>(L222-M222)*(W222+X222)+($W$141+$X$141-$W$222-$X$222)*(L222)</f>
        <v>1.6793899999999997</v>
      </c>
      <c r="AD222" s="6">
        <f t="shared" si="13"/>
        <v>0</v>
      </c>
      <c r="AE222" s="6">
        <f ca="1">(L222-M222)*(Z222+AA222)+($Z$141+$AA$141-$Z$222-$AA$222)*(L222)</f>
        <v>1.7206199838377008</v>
      </c>
      <c r="AF222" s="4" t="s">
        <v>592</v>
      </c>
    </row>
    <row r="223" spans="1:32" ht="11.25" customHeight="1" x14ac:dyDescent="0.25">
      <c r="A223" s="4" t="s">
        <v>21</v>
      </c>
      <c r="B223" s="4" t="s">
        <v>40</v>
      </c>
      <c r="C223" s="4" t="s">
        <v>23</v>
      </c>
      <c r="D223" s="4" t="s">
        <v>41</v>
      </c>
      <c r="E223" s="4" t="s">
        <v>49</v>
      </c>
      <c r="F223" s="4" t="s">
        <v>51</v>
      </c>
      <c r="G223" s="4" t="s">
        <v>25</v>
      </c>
      <c r="H223" s="4" t="s">
        <v>25</v>
      </c>
      <c r="I223" s="5">
        <v>44501</v>
      </c>
      <c r="J223" s="6">
        <v>0</v>
      </c>
      <c r="K223" s="6">
        <v>0</v>
      </c>
      <c r="L223" s="6">
        <v>2.6339999999999999</v>
      </c>
      <c r="M223" s="6">
        <v>1.0536000000000001</v>
      </c>
      <c r="N223" s="6">
        <v>2.6339999999999999</v>
      </c>
      <c r="O223" s="6">
        <v>1.0536000000000001</v>
      </c>
      <c r="P223" s="6">
        <v>0</v>
      </c>
      <c r="Q223" s="4" t="s">
        <v>26</v>
      </c>
      <c r="R223" s="4">
        <v>0</v>
      </c>
      <c r="S223" s="4">
        <v>0</v>
      </c>
      <c r="T223" s="4">
        <v>30</v>
      </c>
      <c r="U223" s="4">
        <v>55</v>
      </c>
      <c r="V223" s="6">
        <f>IF(ISERROR(VLOOKUP($S$223,'TAR FIN'!$A$1:$O$85,15,0)),0,VLOOKUP($S$223,'TAR FIN'!$A$1:$O$85,15,0))</f>
        <v>0</v>
      </c>
      <c r="W223" s="6">
        <f>IF(ISERROR(VLOOKUP($T$223,'TAR FIN'!$A$1:$O$85,15,0)),0,VLOOKUP($T$223,'TAR FIN'!$A$1:$O$85,15,0))</f>
        <v>331.77</v>
      </c>
      <c r="X223" s="6">
        <f>IF(ISERROR(VLOOKUP($U$223,'TAR FIN'!$A$1:$O$85,15,0)),0,VLOOKUP($U$223,'TAR FIN'!$A$1:$O$85,15,0))</f>
        <v>124.36</v>
      </c>
      <c r="Y223" s="6"/>
      <c r="Z223" s="6">
        <f ca="1">('TUSD BE'!$AM$33+'TUSD BF'!$AM$33+'TUSD CVA'!$AM$33)*(1-CUSTOS!$M$38)</f>
        <v>390.73403238820225</v>
      </c>
      <c r="AA223" s="6">
        <f>('TE BE'!$AB$23+'TE BF'!$AB$23+'TE CVA'!$AB$23)*(1-CUSTOS!$M$38)</f>
        <v>127.65788581931002</v>
      </c>
      <c r="AB223" s="6">
        <f t="shared" si="12"/>
        <v>0</v>
      </c>
      <c r="AC223" s="6">
        <f>(L223-M223)*(W223+X223)+($W$141+$X$141-$W$223-$X$223)*(L223)</f>
        <v>884.70265199999972</v>
      </c>
      <c r="AD223" s="6">
        <f t="shared" si="13"/>
        <v>0</v>
      </c>
      <c r="AE223" s="6">
        <f ca="1">(L223-M223)*(Z223+AA223)+($Z$141+$AA$141-$Z$223-$AA$223)*(L223)</f>
        <v>906.42260748570072</v>
      </c>
      <c r="AF223" s="4" t="s">
        <v>592</v>
      </c>
    </row>
    <row r="224" spans="1:32" ht="11.25" customHeight="1" x14ac:dyDescent="0.25">
      <c r="A224" s="4" t="s">
        <v>28</v>
      </c>
      <c r="B224" s="4" t="s">
        <v>40</v>
      </c>
      <c r="C224" s="4" t="s">
        <v>23</v>
      </c>
      <c r="D224" s="4" t="s">
        <v>41</v>
      </c>
      <c r="E224" s="4" t="s">
        <v>49</v>
      </c>
      <c r="F224" s="4" t="s">
        <v>51</v>
      </c>
      <c r="G224" s="4" t="s">
        <v>25</v>
      </c>
      <c r="H224" s="4" t="s">
        <v>25</v>
      </c>
      <c r="I224" s="5">
        <v>44501</v>
      </c>
      <c r="J224" s="6">
        <v>0</v>
      </c>
      <c r="K224" s="6">
        <v>0</v>
      </c>
      <c r="L224" s="6">
        <v>4.0000000000000001E-3</v>
      </c>
      <c r="M224" s="6">
        <v>1.6000000000000001E-3</v>
      </c>
      <c r="N224" s="6">
        <v>4.0000000000000001E-3</v>
      </c>
      <c r="O224" s="6">
        <v>1.6000000000000001E-3</v>
      </c>
      <c r="P224" s="6">
        <v>0</v>
      </c>
      <c r="Q224" s="4" t="s">
        <v>26</v>
      </c>
      <c r="R224" s="4">
        <v>0</v>
      </c>
      <c r="S224" s="4">
        <v>0</v>
      </c>
      <c r="T224" s="4">
        <v>30</v>
      </c>
      <c r="U224" s="4">
        <v>55</v>
      </c>
      <c r="V224" s="6">
        <f>IF(ISERROR(VLOOKUP($S$224,'TAR FIN'!$A$1:$O$85,15,0)),0,VLOOKUP($S$224,'TAR FIN'!$A$1:$O$85,15,0))</f>
        <v>0</v>
      </c>
      <c r="W224" s="6">
        <f>IF(ISERROR(VLOOKUP($T$224,'TAR FIN'!$A$1:$O$85,15,0)),0,VLOOKUP($T$224,'TAR FIN'!$A$1:$O$85,15,0))</f>
        <v>331.77</v>
      </c>
      <c r="X224" s="6">
        <f>IF(ISERROR(VLOOKUP($U$224,'TAR FIN'!$A$1:$O$85,15,0)),0,VLOOKUP($U$224,'TAR FIN'!$A$1:$O$85,15,0))</f>
        <v>124.36</v>
      </c>
      <c r="Y224" s="6"/>
      <c r="Z224" s="6">
        <f ca="1">('TUSD BE'!$AM$33+'TUSD BF'!$AM$33+'TUSD CVA'!$AM$33)*(1-CUSTOS!$M$38)</f>
        <v>390.73403238820225</v>
      </c>
      <c r="AA224" s="6">
        <f>('TE BE'!$AB$23+'TE BF'!$AB$23+'TE CVA'!$AB$23)*(1-CUSTOS!$M$38)</f>
        <v>127.65788581931002</v>
      </c>
      <c r="AB224" s="6">
        <f t="shared" si="12"/>
        <v>0</v>
      </c>
      <c r="AC224" s="6">
        <f>(L224-M224)*(W224+X224)+($W$141+$X$141-$W$224-$X$224)*(L224)</f>
        <v>1.343512</v>
      </c>
      <c r="AD224" s="6">
        <f t="shared" si="13"/>
        <v>0</v>
      </c>
      <c r="AE224" s="6">
        <f ca="1">(L224-M224)*(Z224+AA224)+($Z$141+$AA$141-$Z$224-$AA$224)*(L224)</f>
        <v>1.3764959870701607</v>
      </c>
      <c r="AF224" s="4" t="s">
        <v>592</v>
      </c>
    </row>
    <row r="225" spans="1:32" ht="11.25" customHeight="1" x14ac:dyDescent="0.25">
      <c r="A225" s="4" t="s">
        <v>21</v>
      </c>
      <c r="B225" s="4" t="s">
        <v>40</v>
      </c>
      <c r="C225" s="4" t="s">
        <v>23</v>
      </c>
      <c r="D225" s="4" t="s">
        <v>41</v>
      </c>
      <c r="E225" s="4" t="s">
        <v>49</v>
      </c>
      <c r="F225" s="4" t="s">
        <v>51</v>
      </c>
      <c r="G225" s="4" t="s">
        <v>25</v>
      </c>
      <c r="H225" s="4" t="s">
        <v>25</v>
      </c>
      <c r="I225" s="5">
        <v>44531</v>
      </c>
      <c r="J225" s="6">
        <v>0</v>
      </c>
      <c r="K225" s="6">
        <v>0</v>
      </c>
      <c r="L225" s="6">
        <v>4.6260000000000003</v>
      </c>
      <c r="M225" s="6">
        <v>1.8504</v>
      </c>
      <c r="N225" s="6">
        <v>4.6260000000000003</v>
      </c>
      <c r="O225" s="6">
        <v>1.8504</v>
      </c>
      <c r="P225" s="6">
        <v>0</v>
      </c>
      <c r="Q225" s="4" t="s">
        <v>26</v>
      </c>
      <c r="R225" s="4">
        <v>0</v>
      </c>
      <c r="S225" s="4">
        <v>0</v>
      </c>
      <c r="T225" s="4">
        <v>30</v>
      </c>
      <c r="U225" s="4">
        <v>55</v>
      </c>
      <c r="V225" s="6">
        <f>IF(ISERROR(VLOOKUP($S$225,'TAR FIN'!$A$1:$O$85,15,0)),0,VLOOKUP($S$225,'TAR FIN'!$A$1:$O$85,15,0))</f>
        <v>0</v>
      </c>
      <c r="W225" s="6">
        <f>IF(ISERROR(VLOOKUP($T$225,'TAR FIN'!$A$1:$O$85,15,0)),0,VLOOKUP($T$225,'TAR FIN'!$A$1:$O$85,15,0))</f>
        <v>331.77</v>
      </c>
      <c r="X225" s="6">
        <f>IF(ISERROR(VLOOKUP($U$225,'TAR FIN'!$A$1:$O$85,15,0)),0,VLOOKUP($U$225,'TAR FIN'!$A$1:$O$85,15,0))</f>
        <v>124.36</v>
      </c>
      <c r="Y225" s="6"/>
      <c r="Z225" s="6">
        <f ca="1">('TUSD BE'!$AM$33+'TUSD BF'!$AM$33+'TUSD CVA'!$AM$33)*(1-CUSTOS!$M$38)</f>
        <v>390.73403238820225</v>
      </c>
      <c r="AA225" s="6">
        <f>('TE BE'!$AB$23+'TE BF'!$AB$23+'TE CVA'!$AB$23)*(1-CUSTOS!$M$38)</f>
        <v>127.65788581931002</v>
      </c>
      <c r="AB225" s="6">
        <f t="shared" si="12"/>
        <v>0</v>
      </c>
      <c r="AC225" s="6">
        <f>(L225-M225)*(W225+X225)+($W$141+$X$141-$W$225-$X$225)*(L225)</f>
        <v>1553.771628</v>
      </c>
      <c r="AD225" s="6">
        <f t="shared" si="13"/>
        <v>0</v>
      </c>
      <c r="AE225" s="6">
        <f ca="1">(L225-M225)*(Z225+AA225)+($Z$141+$AA$141-$Z$225-$AA$225)*(L225)</f>
        <v>1591.917609046641</v>
      </c>
      <c r="AF225" s="4" t="s">
        <v>592</v>
      </c>
    </row>
    <row r="226" spans="1:32" ht="11.25" customHeight="1" x14ac:dyDescent="0.25">
      <c r="A226" s="4" t="s">
        <v>28</v>
      </c>
      <c r="B226" s="4" t="s">
        <v>40</v>
      </c>
      <c r="C226" s="4" t="s">
        <v>23</v>
      </c>
      <c r="D226" s="4" t="s">
        <v>41</v>
      </c>
      <c r="E226" s="4" t="s">
        <v>49</v>
      </c>
      <c r="F226" s="4" t="s">
        <v>51</v>
      </c>
      <c r="G226" s="4" t="s">
        <v>25</v>
      </c>
      <c r="H226" s="4" t="s">
        <v>25</v>
      </c>
      <c r="I226" s="5">
        <v>44531</v>
      </c>
      <c r="J226" s="6">
        <v>0</v>
      </c>
      <c r="K226" s="6">
        <v>0</v>
      </c>
      <c r="L226" s="6">
        <v>0.39100000000000001</v>
      </c>
      <c r="M226" s="6">
        <v>0.15640000000000001</v>
      </c>
      <c r="N226" s="6">
        <v>0.39100000000000001</v>
      </c>
      <c r="O226" s="6">
        <v>0.15640000000000001</v>
      </c>
      <c r="P226" s="6">
        <v>0</v>
      </c>
      <c r="Q226" s="4" t="s">
        <v>26</v>
      </c>
      <c r="R226" s="4">
        <v>0</v>
      </c>
      <c r="S226" s="4">
        <v>0</v>
      </c>
      <c r="T226" s="4">
        <v>30</v>
      </c>
      <c r="U226" s="4">
        <v>55</v>
      </c>
      <c r="V226" s="6">
        <f>IF(ISERROR(VLOOKUP($S$226,'TAR FIN'!$A$1:$O$85,15,0)),0,VLOOKUP($S$226,'TAR FIN'!$A$1:$O$85,15,0))</f>
        <v>0</v>
      </c>
      <c r="W226" s="6">
        <f>IF(ISERROR(VLOOKUP($T$226,'TAR FIN'!$A$1:$O$85,15,0)),0,VLOOKUP($T$226,'TAR FIN'!$A$1:$O$85,15,0))</f>
        <v>331.77</v>
      </c>
      <c r="X226" s="6">
        <f>IF(ISERROR(VLOOKUP($U$226,'TAR FIN'!$A$1:$O$85,15,0)),0,VLOOKUP($U$226,'TAR FIN'!$A$1:$O$85,15,0))</f>
        <v>124.36</v>
      </c>
      <c r="Y226" s="6"/>
      <c r="Z226" s="6">
        <f ca="1">('TUSD BE'!$AM$33+'TUSD BF'!$AM$33+'TUSD CVA'!$AM$33)*(1-CUSTOS!$M$38)</f>
        <v>390.73403238820225</v>
      </c>
      <c r="AA226" s="6">
        <f>('TE BE'!$AB$23+'TE BF'!$AB$23+'TE CVA'!$AB$23)*(1-CUSTOS!$M$38)</f>
        <v>127.65788581931002</v>
      </c>
      <c r="AB226" s="6">
        <f t="shared" si="12"/>
        <v>0</v>
      </c>
      <c r="AC226" s="6">
        <f>(L226-M226)*(W226+X226)+($W$141+$X$141-$W$226-$X$226)*(L226)</f>
        <v>131.32829799999999</v>
      </c>
      <c r="AD226" s="6">
        <f t="shared" si="13"/>
        <v>0</v>
      </c>
      <c r="AE226" s="6">
        <f ca="1">(L226-M226)*(Z226+AA226)+($Z$141+$AA$141-$Z$226-$AA$226)*(L226)</f>
        <v>134.5524827361082</v>
      </c>
      <c r="AF226" s="4" t="s">
        <v>592</v>
      </c>
    </row>
    <row r="227" spans="1:32" ht="11.25" customHeight="1" x14ac:dyDescent="0.25">
      <c r="A227" s="4" t="s">
        <v>21</v>
      </c>
      <c r="B227" s="4" t="s">
        <v>40</v>
      </c>
      <c r="C227" s="4" t="s">
        <v>23</v>
      </c>
      <c r="D227" s="4" t="s">
        <v>41</v>
      </c>
      <c r="E227" s="4" t="s">
        <v>49</v>
      </c>
      <c r="F227" s="4" t="s">
        <v>51</v>
      </c>
      <c r="G227" s="4" t="s">
        <v>25</v>
      </c>
      <c r="H227" s="4" t="s">
        <v>25</v>
      </c>
      <c r="I227" s="5">
        <v>44562</v>
      </c>
      <c r="J227" s="6">
        <v>0</v>
      </c>
      <c r="K227" s="6">
        <v>0</v>
      </c>
      <c r="L227" s="6">
        <v>7.93</v>
      </c>
      <c r="M227" s="6">
        <v>3.1720000000000002</v>
      </c>
      <c r="N227" s="6">
        <v>7.93</v>
      </c>
      <c r="O227" s="6">
        <v>3.1720000000000002</v>
      </c>
      <c r="P227" s="6">
        <v>0</v>
      </c>
      <c r="Q227" s="4" t="s">
        <v>26</v>
      </c>
      <c r="R227" s="4">
        <v>0</v>
      </c>
      <c r="S227" s="4">
        <v>0</v>
      </c>
      <c r="T227" s="4">
        <v>30</v>
      </c>
      <c r="U227" s="4">
        <v>55</v>
      </c>
      <c r="V227" s="6">
        <f>IF(ISERROR(VLOOKUP($S$227,'TAR FIN'!$A$1:$O$85,15,0)),0,VLOOKUP($S$227,'TAR FIN'!$A$1:$O$85,15,0))</f>
        <v>0</v>
      </c>
      <c r="W227" s="6">
        <f>IF(ISERROR(VLOOKUP($T$227,'TAR FIN'!$A$1:$O$85,15,0)),0,VLOOKUP($T$227,'TAR FIN'!$A$1:$O$85,15,0))</f>
        <v>331.77</v>
      </c>
      <c r="X227" s="6">
        <f>IF(ISERROR(VLOOKUP($U$227,'TAR FIN'!$A$1:$O$85,15,0)),0,VLOOKUP($U$227,'TAR FIN'!$A$1:$O$85,15,0))</f>
        <v>124.36</v>
      </c>
      <c r="Y227" s="6"/>
      <c r="Z227" s="6">
        <f ca="1">('TUSD BE'!$AM$33+'TUSD BF'!$AM$33+'TUSD CVA'!$AM$33)*(1-CUSTOS!$M$38)</f>
        <v>390.73403238820225</v>
      </c>
      <c r="AA227" s="6">
        <f>('TE BE'!$AB$23+'TE BF'!$AB$23+'TE CVA'!$AB$23)*(1-CUSTOS!$M$38)</f>
        <v>127.65788581931002</v>
      </c>
      <c r="AB227" s="6">
        <f t="shared" si="12"/>
        <v>0</v>
      </c>
      <c r="AC227" s="6">
        <f>(L227-M227)*(W227+X227)+($W$141+$X$141-$W$227-$X$227)*(L227)</f>
        <v>2663.5125399999993</v>
      </c>
      <c r="AD227" s="6">
        <f t="shared" si="13"/>
        <v>0</v>
      </c>
      <c r="AE227" s="6">
        <f ca="1">(L227-M227)*(Z227+AA227)+($Z$141+$AA$141-$Z$227-$AA$227)*(L227)</f>
        <v>2728.9032943665934</v>
      </c>
      <c r="AF227" s="4" t="s">
        <v>592</v>
      </c>
    </row>
    <row r="228" spans="1:32" ht="11.25" customHeight="1" x14ac:dyDescent="0.25">
      <c r="A228" s="4" t="s">
        <v>28</v>
      </c>
      <c r="B228" s="4" t="s">
        <v>40</v>
      </c>
      <c r="C228" s="4" t="s">
        <v>23</v>
      </c>
      <c r="D228" s="4" t="s">
        <v>41</v>
      </c>
      <c r="E228" s="4" t="s">
        <v>49</v>
      </c>
      <c r="F228" s="4" t="s">
        <v>51</v>
      </c>
      <c r="G228" s="4" t="s">
        <v>25</v>
      </c>
      <c r="H228" s="4" t="s">
        <v>25</v>
      </c>
      <c r="I228" s="5">
        <v>44562</v>
      </c>
      <c r="J228" s="6">
        <v>0</v>
      </c>
      <c r="K228" s="6">
        <v>0</v>
      </c>
      <c r="L228" s="6">
        <v>0.86899999999999999</v>
      </c>
      <c r="M228" s="6">
        <v>0.34760000000000002</v>
      </c>
      <c r="N228" s="6">
        <v>0.86899999999999999</v>
      </c>
      <c r="O228" s="6">
        <v>0.34760000000000002</v>
      </c>
      <c r="P228" s="6">
        <v>0</v>
      </c>
      <c r="Q228" s="4" t="s">
        <v>26</v>
      </c>
      <c r="R228" s="4">
        <v>0</v>
      </c>
      <c r="S228" s="4">
        <v>0</v>
      </c>
      <c r="T228" s="4">
        <v>30</v>
      </c>
      <c r="U228" s="4">
        <v>55</v>
      </c>
      <c r="V228" s="6">
        <f>IF(ISERROR(VLOOKUP($S$228,'TAR FIN'!$A$1:$O$85,15,0)),0,VLOOKUP($S$228,'TAR FIN'!$A$1:$O$85,15,0))</f>
        <v>0</v>
      </c>
      <c r="W228" s="6">
        <f>IF(ISERROR(VLOOKUP($T$228,'TAR FIN'!$A$1:$O$85,15,0)),0,VLOOKUP($T$228,'TAR FIN'!$A$1:$O$85,15,0))</f>
        <v>331.77</v>
      </c>
      <c r="X228" s="6">
        <f>IF(ISERROR(VLOOKUP($U$228,'TAR FIN'!$A$1:$O$85,15,0)),0,VLOOKUP($U$228,'TAR FIN'!$A$1:$O$85,15,0))</f>
        <v>124.36</v>
      </c>
      <c r="Y228" s="6"/>
      <c r="Z228" s="6">
        <f ca="1">('TUSD BE'!$AM$33+'TUSD BF'!$AM$33+'TUSD CVA'!$AM$33)*(1-CUSTOS!$M$38)</f>
        <v>390.73403238820225</v>
      </c>
      <c r="AA228" s="6">
        <f>('TE BE'!$AB$23+'TE BF'!$AB$23+'TE CVA'!$AB$23)*(1-CUSTOS!$M$38)</f>
        <v>127.65788581931002</v>
      </c>
      <c r="AB228" s="6">
        <f t="shared" si="12"/>
        <v>0</v>
      </c>
      <c r="AC228" s="6">
        <f>(L228-M228)*(W228+X228)+($W$141+$X$141-$W$228-$X$228)*(L228)</f>
        <v>291.87798199999992</v>
      </c>
      <c r="AD228" s="6">
        <f t="shared" si="13"/>
        <v>0</v>
      </c>
      <c r="AE228" s="6">
        <f ca="1">(L228-M228)*(Z228+AA228)+($Z$141+$AA$141-$Z$228-$AA$228)*(L228)</f>
        <v>299.04375319099239</v>
      </c>
      <c r="AF228" s="4" t="s">
        <v>592</v>
      </c>
    </row>
    <row r="229" spans="1:32" ht="11.25" customHeight="1" x14ac:dyDescent="0.25">
      <c r="A229" s="4" t="s">
        <v>21</v>
      </c>
      <c r="B229" s="4" t="s">
        <v>40</v>
      </c>
      <c r="C229" s="4" t="s">
        <v>23</v>
      </c>
      <c r="D229" s="4" t="s">
        <v>41</v>
      </c>
      <c r="E229" s="4" t="s">
        <v>49</v>
      </c>
      <c r="F229" s="4" t="s">
        <v>51</v>
      </c>
      <c r="G229" s="4" t="s">
        <v>25</v>
      </c>
      <c r="H229" s="4" t="s">
        <v>25</v>
      </c>
      <c r="I229" s="5">
        <v>44593</v>
      </c>
      <c r="J229" s="6">
        <v>0</v>
      </c>
      <c r="K229" s="6">
        <v>0</v>
      </c>
      <c r="L229" s="6">
        <v>4.54</v>
      </c>
      <c r="M229" s="6">
        <v>1.8160000000000001</v>
      </c>
      <c r="N229" s="6">
        <v>4.54</v>
      </c>
      <c r="O229" s="6">
        <v>1.8160000000000001</v>
      </c>
      <c r="P229" s="6">
        <v>0</v>
      </c>
      <c r="Q229" s="4" t="s">
        <v>26</v>
      </c>
      <c r="R229" s="4">
        <v>0</v>
      </c>
      <c r="S229" s="4">
        <v>0</v>
      </c>
      <c r="T229" s="4">
        <v>30</v>
      </c>
      <c r="U229" s="4">
        <v>55</v>
      </c>
      <c r="V229" s="6">
        <f>IF(ISERROR(VLOOKUP($S$229,'TAR FIN'!$A$1:$O$85,15,0)),0,VLOOKUP($S$229,'TAR FIN'!$A$1:$O$85,15,0))</f>
        <v>0</v>
      </c>
      <c r="W229" s="6">
        <f>IF(ISERROR(VLOOKUP($T$229,'TAR FIN'!$A$1:$O$85,15,0)),0,VLOOKUP($T$229,'TAR FIN'!$A$1:$O$85,15,0))</f>
        <v>331.77</v>
      </c>
      <c r="X229" s="6">
        <f>IF(ISERROR(VLOOKUP($U$229,'TAR FIN'!$A$1:$O$85,15,0)),0,VLOOKUP($U$229,'TAR FIN'!$A$1:$O$85,15,0))</f>
        <v>124.36</v>
      </c>
      <c r="Y229" s="6"/>
      <c r="Z229" s="6">
        <f ca="1">('TUSD BE'!$AM$33+'TUSD BF'!$AM$33+'TUSD CVA'!$AM$33)*(1-CUSTOS!$M$38)</f>
        <v>390.73403238820225</v>
      </c>
      <c r="AA229" s="6">
        <f>('TE BE'!$AB$23+'TE BF'!$AB$23+'TE CVA'!$AB$23)*(1-CUSTOS!$M$38)</f>
        <v>127.65788581931002</v>
      </c>
      <c r="AB229" s="6">
        <f t="shared" si="12"/>
        <v>0</v>
      </c>
      <c r="AC229" s="6">
        <f>(L229-M229)*(W229+X229)+($W$141+$X$141-$W$229-$X$229)*(L229)</f>
        <v>1524.8861199999997</v>
      </c>
      <c r="AD229" s="6">
        <f t="shared" si="13"/>
        <v>0</v>
      </c>
      <c r="AE229" s="6">
        <f ca="1">(L229-M229)*(Z229+AA229)+($Z$141+$AA$141-$Z$229-$AA$229)*(L229)</f>
        <v>1562.3229453246327</v>
      </c>
      <c r="AF229" s="4" t="s">
        <v>592</v>
      </c>
    </row>
    <row r="230" spans="1:32" ht="11.25" customHeight="1" x14ac:dyDescent="0.25">
      <c r="A230" s="4" t="s">
        <v>28</v>
      </c>
      <c r="B230" s="4" t="s">
        <v>40</v>
      </c>
      <c r="C230" s="4" t="s">
        <v>23</v>
      </c>
      <c r="D230" s="4" t="s">
        <v>41</v>
      </c>
      <c r="E230" s="4" t="s">
        <v>49</v>
      </c>
      <c r="F230" s="4" t="s">
        <v>51</v>
      </c>
      <c r="G230" s="4" t="s">
        <v>25</v>
      </c>
      <c r="H230" s="4" t="s">
        <v>25</v>
      </c>
      <c r="I230" s="5">
        <v>44593</v>
      </c>
      <c r="J230" s="6">
        <v>0</v>
      </c>
      <c r="K230" s="6">
        <v>0</v>
      </c>
      <c r="L230" s="6">
        <v>0.13700000000000001</v>
      </c>
      <c r="M230" s="6">
        <v>5.4800000000000001E-2</v>
      </c>
      <c r="N230" s="6">
        <v>0.13700000000000001</v>
      </c>
      <c r="O230" s="6">
        <v>5.4800000000000001E-2</v>
      </c>
      <c r="P230" s="6">
        <v>0</v>
      </c>
      <c r="Q230" s="4" t="s">
        <v>26</v>
      </c>
      <c r="R230" s="4">
        <v>0</v>
      </c>
      <c r="S230" s="4">
        <v>0</v>
      </c>
      <c r="T230" s="4">
        <v>30</v>
      </c>
      <c r="U230" s="4">
        <v>55</v>
      </c>
      <c r="V230" s="6">
        <f>IF(ISERROR(VLOOKUP($S$230,'TAR FIN'!$A$1:$O$85,15,0)),0,VLOOKUP($S$230,'TAR FIN'!$A$1:$O$85,15,0))</f>
        <v>0</v>
      </c>
      <c r="W230" s="6">
        <f>IF(ISERROR(VLOOKUP($T$230,'TAR FIN'!$A$1:$O$85,15,0)),0,VLOOKUP($T$230,'TAR FIN'!$A$1:$O$85,15,0))</f>
        <v>331.77</v>
      </c>
      <c r="X230" s="6">
        <f>IF(ISERROR(VLOOKUP($U$230,'TAR FIN'!$A$1:$O$85,15,0)),0,VLOOKUP($U$230,'TAR FIN'!$A$1:$O$85,15,0))</f>
        <v>124.36</v>
      </c>
      <c r="Y230" s="6"/>
      <c r="Z230" s="6">
        <f ca="1">('TUSD BE'!$AM$33+'TUSD BF'!$AM$33+'TUSD CVA'!$AM$33)*(1-CUSTOS!$M$38)</f>
        <v>390.73403238820225</v>
      </c>
      <c r="AA230" s="6">
        <f>('TE BE'!$AB$23+'TE BF'!$AB$23+'TE CVA'!$AB$23)*(1-CUSTOS!$M$38)</f>
        <v>127.65788581931002</v>
      </c>
      <c r="AB230" s="6">
        <f t="shared" si="12"/>
        <v>0</v>
      </c>
      <c r="AC230" s="6">
        <f>(L230-M230)*(W230+X230)+($W$141+$X$141-$W$230-$X$230)*(L230)</f>
        <v>46.015285999999996</v>
      </c>
      <c r="AD230" s="6">
        <f t="shared" si="13"/>
        <v>0</v>
      </c>
      <c r="AE230" s="6">
        <f ca="1">(L230-M230)*(Z230+AA230)+($Z$141+$AA$141-$Z$230-$AA$230)*(L230)</f>
        <v>47.144987557153009</v>
      </c>
      <c r="AF230" s="4" t="s">
        <v>592</v>
      </c>
    </row>
    <row r="231" spans="1:32" ht="11.25" customHeight="1" x14ac:dyDescent="0.25">
      <c r="A231" s="4" t="s">
        <v>21</v>
      </c>
      <c r="B231" s="4" t="s">
        <v>40</v>
      </c>
      <c r="C231" s="4" t="s">
        <v>23</v>
      </c>
      <c r="D231" s="4" t="s">
        <v>41</v>
      </c>
      <c r="E231" s="4" t="s">
        <v>49</v>
      </c>
      <c r="F231" s="4" t="s">
        <v>51</v>
      </c>
      <c r="G231" s="4" t="s">
        <v>25</v>
      </c>
      <c r="H231" s="4" t="s">
        <v>25</v>
      </c>
      <c r="I231" s="5">
        <v>44621</v>
      </c>
      <c r="J231" s="6">
        <v>0</v>
      </c>
      <c r="K231" s="6">
        <v>0</v>
      </c>
      <c r="L231" s="6">
        <v>3.331</v>
      </c>
      <c r="M231" s="6">
        <v>1.3324</v>
      </c>
      <c r="N231" s="6">
        <v>3.331</v>
      </c>
      <c r="O231" s="6">
        <v>1.3324</v>
      </c>
      <c r="P231" s="6">
        <v>0</v>
      </c>
      <c r="Q231" s="4" t="s">
        <v>26</v>
      </c>
      <c r="R231" s="4">
        <v>0</v>
      </c>
      <c r="S231" s="4">
        <v>0</v>
      </c>
      <c r="T231" s="4">
        <v>30</v>
      </c>
      <c r="U231" s="4">
        <v>55</v>
      </c>
      <c r="V231" s="6">
        <f>IF(ISERROR(VLOOKUP($S$231,'TAR FIN'!$A$1:$O$85,15,0)),0,VLOOKUP($S$231,'TAR FIN'!$A$1:$O$85,15,0))</f>
        <v>0</v>
      </c>
      <c r="W231" s="6">
        <f>IF(ISERROR(VLOOKUP($T$231,'TAR FIN'!$A$1:$O$85,15,0)),0,VLOOKUP($T$231,'TAR FIN'!$A$1:$O$85,15,0))</f>
        <v>331.77</v>
      </c>
      <c r="X231" s="6">
        <f>IF(ISERROR(VLOOKUP($U$231,'TAR FIN'!$A$1:$O$85,15,0)),0,VLOOKUP($U$231,'TAR FIN'!$A$1:$O$85,15,0))</f>
        <v>124.36</v>
      </c>
      <c r="Y231" s="6"/>
      <c r="Z231" s="6">
        <f ca="1">('TUSD BE'!$AM$33+'TUSD BF'!$AM$33+'TUSD CVA'!$AM$33)*(1-CUSTOS!$M$38)</f>
        <v>390.73403238820225</v>
      </c>
      <c r="AA231" s="6">
        <f>('TE BE'!$AB$23+'TE BF'!$AB$23+'TE CVA'!$AB$23)*(1-CUSTOS!$M$38)</f>
        <v>127.65788581931002</v>
      </c>
      <c r="AB231" s="6">
        <f t="shared" si="12"/>
        <v>0</v>
      </c>
      <c r="AC231" s="6">
        <f>(L231-M231)*(W231+X231)+($W$141+$X$141-$W$231-$X$231)*(L231)</f>
        <v>1118.8096179999998</v>
      </c>
      <c r="AD231" s="6">
        <f t="shared" si="13"/>
        <v>0</v>
      </c>
      <c r="AE231" s="6">
        <f ca="1">(L231-M231)*(Z231+AA231)+($Z$141+$AA$141-$Z$231-$AA$231)*(L231)</f>
        <v>1146.2770332326763</v>
      </c>
      <c r="AF231" s="4" t="s">
        <v>592</v>
      </c>
    </row>
    <row r="232" spans="1:32" ht="11.25" customHeight="1" x14ac:dyDescent="0.25">
      <c r="A232" s="4" t="s">
        <v>28</v>
      </c>
      <c r="B232" s="4" t="s">
        <v>40</v>
      </c>
      <c r="C232" s="4" t="s">
        <v>23</v>
      </c>
      <c r="D232" s="4" t="s">
        <v>41</v>
      </c>
      <c r="E232" s="4" t="s">
        <v>49</v>
      </c>
      <c r="F232" s="4" t="s">
        <v>51</v>
      </c>
      <c r="G232" s="4" t="s">
        <v>25</v>
      </c>
      <c r="H232" s="4" t="s">
        <v>25</v>
      </c>
      <c r="I232" s="5">
        <v>44621</v>
      </c>
      <c r="J232" s="6">
        <v>0</v>
      </c>
      <c r="K232" s="6">
        <v>0</v>
      </c>
      <c r="L232" s="6">
        <v>0.246</v>
      </c>
      <c r="M232" s="6">
        <v>9.8400000000000001E-2</v>
      </c>
      <c r="N232" s="6">
        <v>0.246</v>
      </c>
      <c r="O232" s="6">
        <v>9.8400000000000001E-2</v>
      </c>
      <c r="P232" s="6">
        <v>0</v>
      </c>
      <c r="Q232" s="4" t="s">
        <v>26</v>
      </c>
      <c r="R232" s="4">
        <v>0</v>
      </c>
      <c r="S232" s="4">
        <v>0</v>
      </c>
      <c r="T232" s="4">
        <v>30</v>
      </c>
      <c r="U232" s="4">
        <v>55</v>
      </c>
      <c r="V232" s="6">
        <f>IF(ISERROR(VLOOKUP($S$232,'TAR FIN'!$A$1:$O$85,15,0)),0,VLOOKUP($S$232,'TAR FIN'!$A$1:$O$85,15,0))</f>
        <v>0</v>
      </c>
      <c r="W232" s="6">
        <f>IF(ISERROR(VLOOKUP($T$232,'TAR FIN'!$A$1:$O$85,15,0)),0,VLOOKUP($T$232,'TAR FIN'!$A$1:$O$85,15,0))</f>
        <v>331.77</v>
      </c>
      <c r="X232" s="6">
        <f>IF(ISERROR(VLOOKUP($U$232,'TAR FIN'!$A$1:$O$85,15,0)),0,VLOOKUP($U$232,'TAR FIN'!$A$1:$O$85,15,0))</f>
        <v>124.36</v>
      </c>
      <c r="Y232" s="6"/>
      <c r="Z232" s="6">
        <f ca="1">('TUSD BE'!$AM$33+'TUSD BF'!$AM$33+'TUSD CVA'!$AM$33)*(1-CUSTOS!$M$38)</f>
        <v>390.73403238820225</v>
      </c>
      <c r="AA232" s="6">
        <f>('TE BE'!$AB$23+'TE BF'!$AB$23+'TE CVA'!$AB$23)*(1-CUSTOS!$M$38)</f>
        <v>127.65788581931002</v>
      </c>
      <c r="AB232" s="6">
        <f t="shared" si="12"/>
        <v>0</v>
      </c>
      <c r="AC232" s="6">
        <f>(L232-M232)*(W232+X232)+($W$141+$X$141-$W$232-$X$232)*(L232)</f>
        <v>82.625987999999978</v>
      </c>
      <c r="AD232" s="6">
        <f t="shared" si="13"/>
        <v>0</v>
      </c>
      <c r="AE232" s="6">
        <f ca="1">(L232-M232)*(Z232+AA232)+($Z$141+$AA$141-$Z$232-$AA$232)*(L232)</f>
        <v>84.654503204814887</v>
      </c>
      <c r="AF232" s="4" t="s">
        <v>592</v>
      </c>
    </row>
    <row r="233" spans="1:32" ht="11.25" customHeight="1" x14ac:dyDescent="0.25">
      <c r="A233" s="4" t="s">
        <v>21</v>
      </c>
      <c r="B233" s="4" t="s">
        <v>40</v>
      </c>
      <c r="C233" s="4" t="s">
        <v>23</v>
      </c>
      <c r="D233" s="4" t="s">
        <v>41</v>
      </c>
      <c r="E233" s="4" t="s">
        <v>49</v>
      </c>
      <c r="F233" s="4" t="s">
        <v>51</v>
      </c>
      <c r="G233" s="4" t="s">
        <v>25</v>
      </c>
      <c r="H233" s="4" t="s">
        <v>25</v>
      </c>
      <c r="I233" s="5">
        <v>44652</v>
      </c>
      <c r="J233" s="6">
        <v>0</v>
      </c>
      <c r="K233" s="6">
        <v>0</v>
      </c>
      <c r="L233" s="6">
        <v>1.518</v>
      </c>
      <c r="M233" s="6">
        <v>0.60719999999999996</v>
      </c>
      <c r="N233" s="6">
        <v>1.518</v>
      </c>
      <c r="O233" s="6">
        <v>0.60719999999999996</v>
      </c>
      <c r="P233" s="6">
        <v>0</v>
      </c>
      <c r="Q233" s="4" t="s">
        <v>26</v>
      </c>
      <c r="R233" s="4">
        <v>0</v>
      </c>
      <c r="S233" s="4">
        <v>0</v>
      </c>
      <c r="T233" s="4">
        <v>30</v>
      </c>
      <c r="U233" s="4">
        <v>55</v>
      </c>
      <c r="V233" s="6">
        <f>IF(ISERROR(VLOOKUP($S$233,'TAR FIN'!$A$1:$O$85,15,0)),0,VLOOKUP($S$233,'TAR FIN'!$A$1:$O$85,15,0))</f>
        <v>0</v>
      </c>
      <c r="W233" s="6">
        <f>IF(ISERROR(VLOOKUP($T$233,'TAR FIN'!$A$1:$O$85,15,0)),0,VLOOKUP($T$233,'TAR FIN'!$A$1:$O$85,15,0))</f>
        <v>331.77</v>
      </c>
      <c r="X233" s="6">
        <f>IF(ISERROR(VLOOKUP($U$233,'TAR FIN'!$A$1:$O$85,15,0)),0,VLOOKUP($U$233,'TAR FIN'!$A$1:$O$85,15,0))</f>
        <v>124.36</v>
      </c>
      <c r="Y233" s="6"/>
      <c r="Z233" s="6">
        <f ca="1">('TUSD BE'!$AM$33+'TUSD BF'!$AM$33+'TUSD CVA'!$AM$33)*(1-CUSTOS!$M$38)</f>
        <v>390.73403238820225</v>
      </c>
      <c r="AA233" s="6">
        <f>('TE BE'!$AB$23+'TE BF'!$AB$23+'TE CVA'!$AB$23)*(1-CUSTOS!$M$38)</f>
        <v>127.65788581931002</v>
      </c>
      <c r="AB233" s="6">
        <f t="shared" si="12"/>
        <v>0</v>
      </c>
      <c r="AC233" s="6">
        <f>(L233-M233)*(W233+X233)+($W$141+$X$141-$W$233-$X$233)*(L233)</f>
        <v>509.86280399999998</v>
      </c>
      <c r="AD233" s="6">
        <f t="shared" si="13"/>
        <v>0</v>
      </c>
      <c r="AE233" s="6">
        <f ca="1">(L233-M233)*(Z233+AA233)+($Z$141+$AA$141-$Z$233-$AA$233)*(L233)</f>
        <v>522.380227093126</v>
      </c>
      <c r="AF233" s="4" t="s">
        <v>592</v>
      </c>
    </row>
    <row r="234" spans="1:32" ht="11.25" customHeight="1" x14ac:dyDescent="0.25">
      <c r="A234" s="4" t="s">
        <v>28</v>
      </c>
      <c r="B234" s="4" t="s">
        <v>40</v>
      </c>
      <c r="C234" s="4" t="s">
        <v>23</v>
      </c>
      <c r="D234" s="4" t="s">
        <v>41</v>
      </c>
      <c r="E234" s="4" t="s">
        <v>49</v>
      </c>
      <c r="F234" s="4" t="s">
        <v>51</v>
      </c>
      <c r="G234" s="4" t="s">
        <v>25</v>
      </c>
      <c r="H234" s="4" t="s">
        <v>25</v>
      </c>
      <c r="I234" s="5">
        <v>44652</v>
      </c>
      <c r="J234" s="6">
        <v>0</v>
      </c>
      <c r="K234" s="6">
        <v>0</v>
      </c>
      <c r="L234" s="6">
        <v>4.7E-2</v>
      </c>
      <c r="M234" s="6">
        <v>1.8800000000000001E-2</v>
      </c>
      <c r="N234" s="6">
        <v>4.7E-2</v>
      </c>
      <c r="O234" s="6">
        <v>1.8800000000000001E-2</v>
      </c>
      <c r="P234" s="6">
        <v>0</v>
      </c>
      <c r="Q234" s="4" t="s">
        <v>26</v>
      </c>
      <c r="R234" s="4">
        <v>0</v>
      </c>
      <c r="S234" s="4">
        <v>0</v>
      </c>
      <c r="T234" s="4">
        <v>30</v>
      </c>
      <c r="U234" s="4">
        <v>55</v>
      </c>
      <c r="V234" s="6">
        <f>IF(ISERROR(VLOOKUP($S$234,'TAR FIN'!$A$1:$O$85,15,0)),0,VLOOKUP($S$234,'TAR FIN'!$A$1:$O$85,15,0))</f>
        <v>0</v>
      </c>
      <c r="W234" s="6">
        <f>IF(ISERROR(VLOOKUP($T$234,'TAR FIN'!$A$1:$O$85,15,0)),0,VLOOKUP($T$234,'TAR FIN'!$A$1:$O$85,15,0))</f>
        <v>331.77</v>
      </c>
      <c r="X234" s="6">
        <f>IF(ISERROR(VLOOKUP($U$234,'TAR FIN'!$A$1:$O$85,15,0)),0,VLOOKUP($U$234,'TAR FIN'!$A$1:$O$85,15,0))</f>
        <v>124.36</v>
      </c>
      <c r="Y234" s="6"/>
      <c r="Z234" s="6">
        <f ca="1">('TUSD BE'!$AM$33+'TUSD BF'!$AM$33+'TUSD CVA'!$AM$33)*(1-CUSTOS!$M$38)</f>
        <v>390.73403238820225</v>
      </c>
      <c r="AA234" s="6">
        <f>('TE BE'!$AB$23+'TE BF'!$AB$23+'TE CVA'!$AB$23)*(1-CUSTOS!$M$38)</f>
        <v>127.65788581931002</v>
      </c>
      <c r="AB234" s="6">
        <f t="shared" si="12"/>
        <v>0</v>
      </c>
      <c r="AC234" s="6">
        <f>(L234-M234)*(W234+X234)+($W$141+$X$141-$W$234-$X$234)*(L234)</f>
        <v>15.786265999999998</v>
      </c>
      <c r="AD234" s="6">
        <f t="shared" si="13"/>
        <v>0</v>
      </c>
      <c r="AE234" s="6">
        <f ca="1">(L234-M234)*(Z234+AA234)+($Z$141+$AA$141-$Z$234-$AA$234)*(L234)</f>
        <v>16.173827848074389</v>
      </c>
      <c r="AF234" s="4" t="s">
        <v>592</v>
      </c>
    </row>
    <row r="235" spans="1:32" ht="11.25" customHeight="1" x14ac:dyDescent="0.25">
      <c r="A235" s="4" t="s">
        <v>21</v>
      </c>
      <c r="B235" s="4" t="s">
        <v>40</v>
      </c>
      <c r="C235" s="4" t="s">
        <v>23</v>
      </c>
      <c r="D235" s="4" t="s">
        <v>41</v>
      </c>
      <c r="E235" s="4" t="s">
        <v>49</v>
      </c>
      <c r="F235" s="4" t="s">
        <v>51</v>
      </c>
      <c r="G235" s="4" t="s">
        <v>25</v>
      </c>
      <c r="H235" s="4" t="s">
        <v>25</v>
      </c>
      <c r="I235" s="5">
        <v>44682</v>
      </c>
      <c r="J235" s="6">
        <v>0</v>
      </c>
      <c r="K235" s="6">
        <v>0</v>
      </c>
      <c r="L235" s="6">
        <v>0.59099999999999997</v>
      </c>
      <c r="M235" s="6">
        <v>0.2364</v>
      </c>
      <c r="N235" s="6">
        <v>0.59099999999999997</v>
      </c>
      <c r="O235" s="6">
        <v>0.2364</v>
      </c>
      <c r="P235" s="6">
        <v>0</v>
      </c>
      <c r="Q235" s="4" t="s">
        <v>26</v>
      </c>
      <c r="R235" s="4">
        <v>0</v>
      </c>
      <c r="S235" s="4">
        <v>0</v>
      </c>
      <c r="T235" s="4">
        <v>30</v>
      </c>
      <c r="U235" s="4">
        <v>55</v>
      </c>
      <c r="V235" s="6">
        <f>IF(ISERROR(VLOOKUP($S$235,'TAR FIN'!$A$1:$O$85,15,0)),0,VLOOKUP($S$235,'TAR FIN'!$A$1:$O$85,15,0))</f>
        <v>0</v>
      </c>
      <c r="W235" s="6">
        <f>IF(ISERROR(VLOOKUP($T$235,'TAR FIN'!$A$1:$O$85,15,0)),0,VLOOKUP($T$235,'TAR FIN'!$A$1:$O$85,15,0))</f>
        <v>331.77</v>
      </c>
      <c r="X235" s="6">
        <f>IF(ISERROR(VLOOKUP($U$235,'TAR FIN'!$A$1:$O$85,15,0)),0,VLOOKUP($U$235,'TAR FIN'!$A$1:$O$85,15,0))</f>
        <v>124.36</v>
      </c>
      <c r="Y235" s="6"/>
      <c r="Z235" s="6">
        <f ca="1">('TUSD BE'!$AM$33+'TUSD BF'!$AM$33+'TUSD CVA'!$AM$33)*(1-CUSTOS!$M$38)</f>
        <v>390.73403238820225</v>
      </c>
      <c r="AA235" s="6">
        <f>('TE BE'!$AB$23+'TE BF'!$AB$23+'TE CVA'!$AB$23)*(1-CUSTOS!$M$38)</f>
        <v>127.65788581931002</v>
      </c>
      <c r="AB235" s="6">
        <f t="shared" si="12"/>
        <v>0</v>
      </c>
      <c r="AC235" s="6">
        <f>(L235-M235)*(W235+X235)+($W$141+$X$141-$W$235-$X$235)*(L235)</f>
        <v>198.50389799999996</v>
      </c>
      <c r="AD235" s="6">
        <f t="shared" si="13"/>
        <v>0</v>
      </c>
      <c r="AE235" s="6">
        <f ca="1">(L235-M235)*(Z235+AA235)+($Z$141+$AA$141-$Z$235-$AA$235)*(L235)</f>
        <v>203.37728208961622</v>
      </c>
      <c r="AF235" s="4" t="s">
        <v>592</v>
      </c>
    </row>
    <row r="236" spans="1:32" ht="11.25" customHeight="1" x14ac:dyDescent="0.25">
      <c r="A236" s="4" t="s">
        <v>28</v>
      </c>
      <c r="B236" s="4" t="s">
        <v>40</v>
      </c>
      <c r="C236" s="4" t="s">
        <v>23</v>
      </c>
      <c r="D236" s="4" t="s">
        <v>41</v>
      </c>
      <c r="E236" s="4" t="s">
        <v>49</v>
      </c>
      <c r="F236" s="4" t="s">
        <v>51</v>
      </c>
      <c r="G236" s="4" t="s">
        <v>25</v>
      </c>
      <c r="H236" s="4" t="s">
        <v>25</v>
      </c>
      <c r="I236" s="5">
        <v>44682</v>
      </c>
      <c r="J236" s="6">
        <v>0</v>
      </c>
      <c r="K236" s="6">
        <v>0</v>
      </c>
      <c r="L236" s="6">
        <v>6.9000000000000006E-2</v>
      </c>
      <c r="M236" s="6">
        <v>2.76E-2</v>
      </c>
      <c r="N236" s="6">
        <v>6.9000000000000006E-2</v>
      </c>
      <c r="O236" s="6">
        <v>2.76E-2</v>
      </c>
      <c r="P236" s="6">
        <v>0</v>
      </c>
      <c r="Q236" s="4" t="s">
        <v>26</v>
      </c>
      <c r="R236" s="4">
        <v>0</v>
      </c>
      <c r="S236" s="4">
        <v>0</v>
      </c>
      <c r="T236" s="4">
        <v>30</v>
      </c>
      <c r="U236" s="4">
        <v>55</v>
      </c>
      <c r="V236" s="6">
        <f>IF(ISERROR(VLOOKUP($S$236,'TAR FIN'!$A$1:$O$85,15,0)),0,VLOOKUP($S$236,'TAR FIN'!$A$1:$O$85,15,0))</f>
        <v>0</v>
      </c>
      <c r="W236" s="6">
        <f>IF(ISERROR(VLOOKUP($T$236,'TAR FIN'!$A$1:$O$85,15,0)),0,VLOOKUP($T$236,'TAR FIN'!$A$1:$O$85,15,0))</f>
        <v>331.77</v>
      </c>
      <c r="X236" s="6">
        <f>IF(ISERROR(VLOOKUP($U$236,'TAR FIN'!$A$1:$O$85,15,0)),0,VLOOKUP($U$236,'TAR FIN'!$A$1:$O$85,15,0))</f>
        <v>124.36</v>
      </c>
      <c r="Y236" s="6"/>
      <c r="Z236" s="6">
        <f ca="1">('TUSD BE'!$AM$33+'TUSD BF'!$AM$33+'TUSD CVA'!$AM$33)*(1-CUSTOS!$M$38)</f>
        <v>390.73403238820225</v>
      </c>
      <c r="AA236" s="6">
        <f>('TE BE'!$AB$23+'TE BF'!$AB$23+'TE CVA'!$AB$23)*(1-CUSTOS!$M$38)</f>
        <v>127.65788581931002</v>
      </c>
      <c r="AB236" s="6">
        <f t="shared" si="12"/>
        <v>0</v>
      </c>
      <c r="AC236" s="6">
        <f>(L236-M236)*(W236+X236)+($W$141+$X$141-$W$236-$X$236)*(L236)</f>
        <v>23.175581999999999</v>
      </c>
      <c r="AD236" s="6">
        <f t="shared" si="13"/>
        <v>0</v>
      </c>
      <c r="AE236" s="6">
        <f ca="1">(L236-M236)*(Z236+AA236)+($Z$141+$AA$141-$Z$236-$AA$236)*(L236)</f>
        <v>23.744555776960276</v>
      </c>
      <c r="AF236" s="4" t="s">
        <v>592</v>
      </c>
    </row>
    <row r="237" spans="1:32" ht="11.25" customHeight="1" x14ac:dyDescent="0.25">
      <c r="A237" s="4" t="s">
        <v>21</v>
      </c>
      <c r="B237" s="4" t="s">
        <v>40</v>
      </c>
      <c r="C237" s="4" t="s">
        <v>23</v>
      </c>
      <c r="D237" s="4" t="s">
        <v>41</v>
      </c>
      <c r="E237" s="4" t="s">
        <v>49</v>
      </c>
      <c r="F237" s="4" t="s">
        <v>51</v>
      </c>
      <c r="G237" s="4" t="s">
        <v>25</v>
      </c>
      <c r="H237" s="4" t="s">
        <v>25</v>
      </c>
      <c r="I237" s="5">
        <v>44713</v>
      </c>
      <c r="J237" s="6">
        <v>0</v>
      </c>
      <c r="K237" s="6">
        <v>0</v>
      </c>
      <c r="L237" s="6">
        <v>0.83799999999999997</v>
      </c>
      <c r="M237" s="6">
        <v>0.3352</v>
      </c>
      <c r="N237" s="6">
        <v>0.83799999999999997</v>
      </c>
      <c r="O237" s="6">
        <v>0.3352</v>
      </c>
      <c r="P237" s="6">
        <v>0</v>
      </c>
      <c r="Q237" s="4" t="s">
        <v>26</v>
      </c>
      <c r="R237" s="4">
        <v>0</v>
      </c>
      <c r="S237" s="4">
        <v>0</v>
      </c>
      <c r="T237" s="4">
        <v>30</v>
      </c>
      <c r="U237" s="4">
        <v>55</v>
      </c>
      <c r="V237" s="6">
        <f>IF(ISERROR(VLOOKUP($S$237,'TAR FIN'!$A$1:$O$85,15,0)),0,VLOOKUP($S$237,'TAR FIN'!$A$1:$O$85,15,0))</f>
        <v>0</v>
      </c>
      <c r="W237" s="6">
        <f>IF(ISERROR(VLOOKUP($T$237,'TAR FIN'!$A$1:$O$85,15,0)),0,VLOOKUP($T$237,'TAR FIN'!$A$1:$O$85,15,0))</f>
        <v>331.77</v>
      </c>
      <c r="X237" s="6">
        <f>IF(ISERROR(VLOOKUP($U$237,'TAR FIN'!$A$1:$O$85,15,0)),0,VLOOKUP($U$237,'TAR FIN'!$A$1:$O$85,15,0))</f>
        <v>124.36</v>
      </c>
      <c r="Y237" s="6"/>
      <c r="Z237" s="6">
        <f ca="1">('TUSD BE'!$AM$33+'TUSD BF'!$AM$33+'TUSD CVA'!$AM$33)*(1-CUSTOS!$M$38)</f>
        <v>390.73403238820225</v>
      </c>
      <c r="AA237" s="6">
        <f>('TE BE'!$AB$23+'TE BF'!$AB$23+'TE CVA'!$AB$23)*(1-CUSTOS!$M$38)</f>
        <v>127.65788581931002</v>
      </c>
      <c r="AB237" s="6">
        <f t="shared" si="12"/>
        <v>0</v>
      </c>
      <c r="AC237" s="6">
        <f>(L237-M237)*(W237+X237)+($W$141+$X$141-$W$237-$X$237)*(L237)</f>
        <v>281.46576399999992</v>
      </c>
      <c r="AD237" s="6">
        <f t="shared" si="13"/>
        <v>0</v>
      </c>
      <c r="AE237" s="6">
        <f ca="1">(L237-M237)*(Z237+AA237)+($Z$141+$AA$141-$Z$237-$AA$237)*(L237)</f>
        <v>288.37590929119858</v>
      </c>
      <c r="AF237" s="4" t="s">
        <v>592</v>
      </c>
    </row>
    <row r="238" spans="1:32" ht="11.25" customHeight="1" x14ac:dyDescent="0.25">
      <c r="A238" s="4" t="s">
        <v>21</v>
      </c>
      <c r="B238" s="4" t="s">
        <v>40</v>
      </c>
      <c r="C238" s="4" t="s">
        <v>23</v>
      </c>
      <c r="D238" s="4" t="s">
        <v>41</v>
      </c>
      <c r="E238" s="4" t="s">
        <v>49</v>
      </c>
      <c r="F238" s="4" t="s">
        <v>51</v>
      </c>
      <c r="G238" s="4" t="s">
        <v>25</v>
      </c>
      <c r="H238" s="4" t="s">
        <v>25</v>
      </c>
      <c r="I238" s="5">
        <v>44743</v>
      </c>
      <c r="J238" s="6">
        <v>0</v>
      </c>
      <c r="K238" s="6">
        <v>0</v>
      </c>
      <c r="L238" s="6">
        <v>0.85399999999999998</v>
      </c>
      <c r="M238" s="6">
        <v>0.34160000000000001</v>
      </c>
      <c r="N238" s="6">
        <v>0.85399999999999998</v>
      </c>
      <c r="O238" s="6">
        <v>0.34160000000000001</v>
      </c>
      <c r="P238" s="6">
        <v>0</v>
      </c>
      <c r="Q238" s="4" t="s">
        <v>26</v>
      </c>
      <c r="R238" s="4">
        <v>0</v>
      </c>
      <c r="S238" s="4">
        <v>0</v>
      </c>
      <c r="T238" s="4">
        <v>30</v>
      </c>
      <c r="U238" s="4">
        <v>55</v>
      </c>
      <c r="V238" s="6">
        <f>IF(ISERROR(VLOOKUP($S$238,'TAR FIN'!$A$1:$O$85,15,0)),0,VLOOKUP($S$238,'TAR FIN'!$A$1:$O$85,15,0))</f>
        <v>0</v>
      </c>
      <c r="W238" s="6">
        <f>IF(ISERROR(VLOOKUP($T$238,'TAR FIN'!$A$1:$O$85,15,0)),0,VLOOKUP($T$238,'TAR FIN'!$A$1:$O$85,15,0))</f>
        <v>331.77</v>
      </c>
      <c r="X238" s="6">
        <f>IF(ISERROR(VLOOKUP($U$238,'TAR FIN'!$A$1:$O$85,15,0)),0,VLOOKUP($U$238,'TAR FIN'!$A$1:$O$85,15,0))</f>
        <v>124.36</v>
      </c>
      <c r="Y238" s="6"/>
      <c r="Z238" s="6">
        <f ca="1">('TUSD BE'!$AM$33+'TUSD BF'!$AM$33+'TUSD CVA'!$AM$33)*(1-CUSTOS!$M$38)</f>
        <v>390.73403238820225</v>
      </c>
      <c r="AA238" s="6">
        <f>('TE BE'!$AB$23+'TE BF'!$AB$23+'TE CVA'!$AB$23)*(1-CUSTOS!$M$38)</f>
        <v>127.65788581931002</v>
      </c>
      <c r="AB238" s="6">
        <f t="shared" si="12"/>
        <v>0</v>
      </c>
      <c r="AC238" s="6">
        <f>(L238-M238)*(W238+X238)+($W$141+$X$141-$W$238-$X$238)*(L238)</f>
        <v>286.83981199999994</v>
      </c>
      <c r="AD238" s="6">
        <f t="shared" si="13"/>
        <v>0</v>
      </c>
      <c r="AE238" s="6">
        <f ca="1">(L238-M238)*(Z238+AA238)+($Z$141+$AA$141-$Z$238-$AA$238)*(L238)</f>
        <v>293.88189323947927</v>
      </c>
      <c r="AF238" s="4" t="s">
        <v>592</v>
      </c>
    </row>
    <row r="239" spans="1:32" ht="11.25" customHeight="1" x14ac:dyDescent="0.25">
      <c r="A239" s="4" t="s">
        <v>27</v>
      </c>
      <c r="B239" s="4" t="s">
        <v>40</v>
      </c>
      <c r="C239" s="4" t="s">
        <v>23</v>
      </c>
      <c r="D239" s="4" t="s">
        <v>41</v>
      </c>
      <c r="E239" s="4" t="s">
        <v>49</v>
      </c>
      <c r="F239" s="4" t="s">
        <v>51</v>
      </c>
      <c r="G239" s="4" t="s">
        <v>25</v>
      </c>
      <c r="H239" s="4" t="s">
        <v>25</v>
      </c>
      <c r="I239" s="5">
        <v>44743</v>
      </c>
      <c r="J239" s="6">
        <v>0</v>
      </c>
      <c r="K239" s="6">
        <v>0</v>
      </c>
      <c r="L239" s="6">
        <v>-0.187</v>
      </c>
      <c r="M239" s="6">
        <v>-7.4800000000000005E-2</v>
      </c>
      <c r="N239" s="6">
        <v>-0.187</v>
      </c>
      <c r="O239" s="6">
        <v>-7.4800000000000005E-2</v>
      </c>
      <c r="P239" s="6">
        <v>0</v>
      </c>
      <c r="Q239" s="4" t="s">
        <v>26</v>
      </c>
      <c r="R239" s="4">
        <v>0</v>
      </c>
      <c r="S239" s="4">
        <v>0</v>
      </c>
      <c r="T239" s="4">
        <v>30</v>
      </c>
      <c r="U239" s="4">
        <v>55</v>
      </c>
      <c r="V239" s="6">
        <f>IF(ISERROR(VLOOKUP($S$239,'TAR FIN'!$A$1:$O$85,15,0)),0,VLOOKUP($S$239,'TAR FIN'!$A$1:$O$85,15,0))</f>
        <v>0</v>
      </c>
      <c r="W239" s="6">
        <f>IF(ISERROR(VLOOKUP($T$239,'TAR FIN'!$A$1:$O$85,15,0)),0,VLOOKUP($T$239,'TAR FIN'!$A$1:$O$85,15,0))</f>
        <v>331.77</v>
      </c>
      <c r="X239" s="6">
        <f>IF(ISERROR(VLOOKUP($U$239,'TAR FIN'!$A$1:$O$85,15,0)),0,VLOOKUP($U$239,'TAR FIN'!$A$1:$O$85,15,0))</f>
        <v>124.36</v>
      </c>
      <c r="Y239" s="6"/>
      <c r="Z239" s="6">
        <f ca="1">('TUSD BE'!$AM$33+'TUSD BF'!$AM$33+'TUSD CVA'!$AM$33)*(1-CUSTOS!$M$38)</f>
        <v>390.73403238820225</v>
      </c>
      <c r="AA239" s="6">
        <f>('TE BE'!$AB$23+'TE BF'!$AB$23+'TE CVA'!$AB$23)*(1-CUSTOS!$M$38)</f>
        <v>127.65788581931002</v>
      </c>
      <c r="AB239" s="6">
        <f t="shared" si="12"/>
        <v>0</v>
      </c>
      <c r="AC239" s="6">
        <f>(L239-M239)*(W239+X239)+($W$141+$X$141-$W$239-$X$239)*(L239)</f>
        <v>-62.80918599999999</v>
      </c>
      <c r="AD239" s="6">
        <f t="shared" si="13"/>
        <v>0</v>
      </c>
      <c r="AE239" s="6">
        <f ca="1">(L239-M239)*(Z239+AA239)+($Z$141+$AA$141-$Z$239-$AA$239)*(L239)</f>
        <v>-64.351187395530005</v>
      </c>
      <c r="AF239" s="4" t="s">
        <v>592</v>
      </c>
    </row>
    <row r="240" spans="1:32" ht="11.25" customHeight="1" x14ac:dyDescent="0.25">
      <c r="A240" s="4" t="s">
        <v>21</v>
      </c>
      <c r="B240" s="4" t="s">
        <v>40</v>
      </c>
      <c r="C240" s="4" t="s">
        <v>23</v>
      </c>
      <c r="D240" s="4" t="s">
        <v>41</v>
      </c>
      <c r="E240" s="4" t="s">
        <v>49</v>
      </c>
      <c r="F240" s="4" t="s">
        <v>51</v>
      </c>
      <c r="G240" s="4" t="s">
        <v>25</v>
      </c>
      <c r="H240" s="4" t="s">
        <v>25</v>
      </c>
      <c r="I240" s="5">
        <v>44774</v>
      </c>
      <c r="J240" s="6">
        <v>0</v>
      </c>
      <c r="K240" s="6">
        <v>0</v>
      </c>
      <c r="L240" s="6">
        <v>0.77700000000000002</v>
      </c>
      <c r="M240" s="6">
        <v>0.31080000000000002</v>
      </c>
      <c r="N240" s="6">
        <v>0.77700000000000002</v>
      </c>
      <c r="O240" s="6">
        <v>0.31080000000000002</v>
      </c>
      <c r="P240" s="6">
        <v>0</v>
      </c>
      <c r="Q240" s="4" t="s">
        <v>26</v>
      </c>
      <c r="R240" s="4">
        <v>0</v>
      </c>
      <c r="S240" s="4">
        <v>0</v>
      </c>
      <c r="T240" s="4">
        <v>30</v>
      </c>
      <c r="U240" s="4">
        <v>55</v>
      </c>
      <c r="V240" s="6">
        <f>IF(ISERROR(VLOOKUP($S$240,'TAR FIN'!$A$1:$O$85,15,0)),0,VLOOKUP($S$240,'TAR FIN'!$A$1:$O$85,15,0))</f>
        <v>0</v>
      </c>
      <c r="W240" s="6">
        <f>IF(ISERROR(VLOOKUP($T$240,'TAR FIN'!$A$1:$O$85,15,0)),0,VLOOKUP($T$240,'TAR FIN'!$A$1:$O$85,15,0))</f>
        <v>331.77</v>
      </c>
      <c r="X240" s="6">
        <f>IF(ISERROR(VLOOKUP($U$240,'TAR FIN'!$A$1:$O$85,15,0)),0,VLOOKUP($U$240,'TAR FIN'!$A$1:$O$85,15,0))</f>
        <v>124.36</v>
      </c>
      <c r="Y240" s="6"/>
      <c r="Z240" s="6">
        <f ca="1">('TUSD BE'!$AM$33+'TUSD BF'!$AM$33+'TUSD CVA'!$AM$33)*(1-CUSTOS!$M$38)</f>
        <v>390.73403238820225</v>
      </c>
      <c r="AA240" s="6">
        <f>('TE BE'!$AB$23+'TE BF'!$AB$23+'TE CVA'!$AB$23)*(1-CUSTOS!$M$38)</f>
        <v>127.65788581931002</v>
      </c>
      <c r="AB240" s="6">
        <f t="shared" si="12"/>
        <v>0</v>
      </c>
      <c r="AC240" s="6">
        <f>(L240-M240)*(W240+X240)+($W$141+$X$141-$W$240-$X$240)*(L240)</f>
        <v>260.97720599999997</v>
      </c>
      <c r="AD240" s="6">
        <f t="shared" si="13"/>
        <v>0</v>
      </c>
      <c r="AE240" s="6">
        <f ca="1">(L240-M240)*(Z240+AA240)+($Z$141+$AA$141-$Z$240-$AA$240)*(L240)</f>
        <v>267.3843454883787</v>
      </c>
      <c r="AF240" s="4" t="s">
        <v>592</v>
      </c>
    </row>
    <row r="241" spans="1:32" ht="11.25" customHeight="1" x14ac:dyDescent="0.25">
      <c r="A241" s="4" t="s">
        <v>21</v>
      </c>
      <c r="B241" s="4" t="s">
        <v>40</v>
      </c>
      <c r="C241" s="4" t="s">
        <v>23</v>
      </c>
      <c r="D241" s="4" t="s">
        <v>41</v>
      </c>
      <c r="E241" s="4" t="s">
        <v>52</v>
      </c>
      <c r="F241" s="4" t="s">
        <v>50</v>
      </c>
      <c r="G241" s="4" t="s">
        <v>25</v>
      </c>
      <c r="H241" s="4" t="s">
        <v>25</v>
      </c>
      <c r="I241" s="5">
        <v>44440</v>
      </c>
      <c r="J241" s="6">
        <v>0</v>
      </c>
      <c r="K241" s="6">
        <v>0</v>
      </c>
      <c r="L241" s="6">
        <v>7.766</v>
      </c>
      <c r="M241" s="6">
        <v>7.766</v>
      </c>
      <c r="N241" s="6">
        <v>7.766</v>
      </c>
      <c r="O241" s="6">
        <v>7.766</v>
      </c>
      <c r="P241" s="6">
        <v>0</v>
      </c>
      <c r="Q241" s="4" t="s">
        <v>26</v>
      </c>
      <c r="R241" s="4">
        <v>0</v>
      </c>
      <c r="S241" s="4">
        <v>0</v>
      </c>
      <c r="T241" s="4">
        <v>30</v>
      </c>
      <c r="U241" s="4">
        <v>55</v>
      </c>
      <c r="V241" s="6">
        <f>IF(ISERROR(VLOOKUP($S$241,'TAR FIN'!$A$1:$O$85,15,0)),0,VLOOKUP($S$241,'TAR FIN'!$A$1:$O$85,15,0))</f>
        <v>0</v>
      </c>
      <c r="W241" s="6">
        <f>IF(ISERROR(VLOOKUP($T$241,'TAR FIN'!$A$1:$O$85,15,0)),0,VLOOKUP($T$241,'TAR FIN'!$A$1:$O$85,15,0))</f>
        <v>331.77</v>
      </c>
      <c r="X241" s="6">
        <f>IF(ISERROR(VLOOKUP($U$241,'TAR FIN'!$A$1:$O$85,15,0)),0,VLOOKUP($U$241,'TAR FIN'!$A$1:$O$85,15,0))</f>
        <v>124.36</v>
      </c>
      <c r="Y241" s="6"/>
      <c r="Z241" s="6">
        <f ca="1">('TUSD BE'!$AM$33+'TUSD BF'!$AM$33+'TUSD CVA'!$AM$33)*(1-CUSTOS!$M$38)</f>
        <v>390.73403238820225</v>
      </c>
      <c r="AA241" s="6">
        <f>('TE BE'!$AB$23+'TE BF'!$AB$23+'TE CVA'!$AB$23)*(1-CUSTOS!$M$38)</f>
        <v>127.65788581931002</v>
      </c>
      <c r="AB241" s="6">
        <f t="shared" si="12"/>
        <v>0</v>
      </c>
      <c r="AC241" s="6">
        <f>(L241-M241)*(W241+X241)+($W$141+$X$141-$W$241-$X$241)*(L241)</f>
        <v>483.04519999999957</v>
      </c>
      <c r="AD241" s="6">
        <f t="shared" si="13"/>
        <v>0</v>
      </c>
      <c r="AE241" s="6">
        <f ca="1">(L241-M241)*(Z241+AA241)+($Z$141+$AA$141-$Z$241-$AA$241)*(L241)</f>
        <v>256.96797681699275</v>
      </c>
      <c r="AF241" s="4" t="s">
        <v>590</v>
      </c>
    </row>
    <row r="242" spans="1:32" ht="11.25" customHeight="1" x14ac:dyDescent="0.25">
      <c r="A242" s="4" t="s">
        <v>28</v>
      </c>
      <c r="B242" s="4" t="s">
        <v>40</v>
      </c>
      <c r="C242" s="4" t="s">
        <v>23</v>
      </c>
      <c r="D242" s="4" t="s">
        <v>41</v>
      </c>
      <c r="E242" s="4" t="s">
        <v>52</v>
      </c>
      <c r="F242" s="4" t="s">
        <v>50</v>
      </c>
      <c r="G242" s="4" t="s">
        <v>25</v>
      </c>
      <c r="H242" s="4" t="s">
        <v>25</v>
      </c>
      <c r="I242" s="5">
        <v>44440</v>
      </c>
      <c r="J242" s="6">
        <v>0</v>
      </c>
      <c r="K242" s="6">
        <v>0</v>
      </c>
      <c r="L242" s="6">
        <v>0.05</v>
      </c>
      <c r="M242" s="6">
        <v>0.05</v>
      </c>
      <c r="N242" s="6">
        <v>0.05</v>
      </c>
      <c r="O242" s="6">
        <v>0.05</v>
      </c>
      <c r="P242" s="6">
        <v>0</v>
      </c>
      <c r="Q242" s="4" t="s">
        <v>26</v>
      </c>
      <c r="R242" s="4">
        <v>0</v>
      </c>
      <c r="S242" s="4">
        <v>0</v>
      </c>
      <c r="T242" s="4">
        <v>30</v>
      </c>
      <c r="U242" s="4">
        <v>55</v>
      </c>
      <c r="V242" s="6">
        <f>IF(ISERROR(VLOOKUP($S$242,'TAR FIN'!$A$1:$O$85,15,0)),0,VLOOKUP($S$242,'TAR FIN'!$A$1:$O$85,15,0))</f>
        <v>0</v>
      </c>
      <c r="W242" s="6">
        <f>IF(ISERROR(VLOOKUP($T$242,'TAR FIN'!$A$1:$O$85,15,0)),0,VLOOKUP($T$242,'TAR FIN'!$A$1:$O$85,15,0))</f>
        <v>331.77</v>
      </c>
      <c r="X242" s="6">
        <f>IF(ISERROR(VLOOKUP($U$242,'TAR FIN'!$A$1:$O$85,15,0)),0,VLOOKUP($U$242,'TAR FIN'!$A$1:$O$85,15,0))</f>
        <v>124.36</v>
      </c>
      <c r="Y242" s="6"/>
      <c r="Z242" s="6">
        <f ca="1">('TUSD BE'!$AM$33+'TUSD BF'!$AM$33+'TUSD CVA'!$AM$33)*(1-CUSTOS!$M$38)</f>
        <v>390.73403238820225</v>
      </c>
      <c r="AA242" s="6">
        <f>('TE BE'!$AB$23+'TE BF'!$AB$23+'TE CVA'!$AB$23)*(1-CUSTOS!$M$38)</f>
        <v>127.65788581931002</v>
      </c>
      <c r="AB242" s="6">
        <f t="shared" si="12"/>
        <v>0</v>
      </c>
      <c r="AC242" s="6">
        <f>(L242-M242)*(W242+X242)+($W$141+$X$141-$W$242-$X$242)*(L242)</f>
        <v>3.1099999999999977</v>
      </c>
      <c r="AD242" s="6">
        <f t="shared" si="13"/>
        <v>0</v>
      </c>
      <c r="AE242" s="6">
        <f ca="1">(L242-M242)*(Z242+AA242)+($Z$141+$AA$141-$Z$242-$AA$242)*(L242)</f>
        <v>1.6544422921516402</v>
      </c>
      <c r="AF242" s="4" t="s">
        <v>590</v>
      </c>
    </row>
    <row r="243" spans="1:32" ht="11.25" customHeight="1" x14ac:dyDescent="0.25">
      <c r="A243" s="4" t="s">
        <v>21</v>
      </c>
      <c r="B243" s="4" t="s">
        <v>40</v>
      </c>
      <c r="C243" s="4" t="s">
        <v>23</v>
      </c>
      <c r="D243" s="4" t="s">
        <v>41</v>
      </c>
      <c r="E243" s="4" t="s">
        <v>52</v>
      </c>
      <c r="F243" s="4" t="s">
        <v>50</v>
      </c>
      <c r="G243" s="4" t="s">
        <v>25</v>
      </c>
      <c r="H243" s="4" t="s">
        <v>25</v>
      </c>
      <c r="I243" s="5">
        <v>44470</v>
      </c>
      <c r="J243" s="6">
        <v>0</v>
      </c>
      <c r="K243" s="6">
        <v>0</v>
      </c>
      <c r="L243" s="6">
        <v>7.407</v>
      </c>
      <c r="M243" s="6">
        <v>7.407</v>
      </c>
      <c r="N243" s="6">
        <v>7.407</v>
      </c>
      <c r="O243" s="6">
        <v>7.407</v>
      </c>
      <c r="P243" s="6">
        <v>0</v>
      </c>
      <c r="Q243" s="4" t="s">
        <v>26</v>
      </c>
      <c r="R243" s="4">
        <v>0</v>
      </c>
      <c r="S243" s="4">
        <v>0</v>
      </c>
      <c r="T243" s="4">
        <v>30</v>
      </c>
      <c r="U243" s="4">
        <v>55</v>
      </c>
      <c r="V243" s="6">
        <f>IF(ISERROR(VLOOKUP($S$243,'TAR FIN'!$A$1:$O$85,15,0)),0,VLOOKUP($S$243,'TAR FIN'!$A$1:$O$85,15,0))</f>
        <v>0</v>
      </c>
      <c r="W243" s="6">
        <f>IF(ISERROR(VLOOKUP($T$243,'TAR FIN'!$A$1:$O$85,15,0)),0,VLOOKUP($T$243,'TAR FIN'!$A$1:$O$85,15,0))</f>
        <v>331.77</v>
      </c>
      <c r="X243" s="6">
        <f>IF(ISERROR(VLOOKUP($U$243,'TAR FIN'!$A$1:$O$85,15,0)),0,VLOOKUP($U$243,'TAR FIN'!$A$1:$O$85,15,0))</f>
        <v>124.36</v>
      </c>
      <c r="Y243" s="6"/>
      <c r="Z243" s="6">
        <f ca="1">('TUSD BE'!$AM$33+'TUSD BF'!$AM$33+'TUSD CVA'!$AM$33)*(1-CUSTOS!$M$38)</f>
        <v>390.73403238820225</v>
      </c>
      <c r="AA243" s="6">
        <f>('TE BE'!$AB$23+'TE BF'!$AB$23+'TE CVA'!$AB$23)*(1-CUSTOS!$M$38)</f>
        <v>127.65788581931002</v>
      </c>
      <c r="AB243" s="6">
        <f t="shared" si="12"/>
        <v>0</v>
      </c>
      <c r="AC243" s="6">
        <f>(L243-M243)*(W243+X243)+($W$141+$X$141-$W$243-$X$243)*(L243)</f>
        <v>460.71539999999959</v>
      </c>
      <c r="AD243" s="6">
        <f t="shared" si="13"/>
        <v>0</v>
      </c>
      <c r="AE243" s="6">
        <f ca="1">(L243-M243)*(Z243+AA243)+($Z$141+$AA$141-$Z$243-$AA$243)*(L243)</f>
        <v>245.08908115934395</v>
      </c>
      <c r="AF243" s="4" t="s">
        <v>590</v>
      </c>
    </row>
    <row r="244" spans="1:32" ht="11.25" customHeight="1" x14ac:dyDescent="0.25">
      <c r="A244" s="4" t="s">
        <v>28</v>
      </c>
      <c r="B244" s="4" t="s">
        <v>40</v>
      </c>
      <c r="C244" s="4" t="s">
        <v>23</v>
      </c>
      <c r="D244" s="4" t="s">
        <v>41</v>
      </c>
      <c r="E244" s="4" t="s">
        <v>52</v>
      </c>
      <c r="F244" s="4" t="s">
        <v>50</v>
      </c>
      <c r="G244" s="4" t="s">
        <v>25</v>
      </c>
      <c r="H244" s="4" t="s">
        <v>25</v>
      </c>
      <c r="I244" s="5">
        <v>44470</v>
      </c>
      <c r="J244" s="6">
        <v>0</v>
      </c>
      <c r="K244" s="6">
        <v>0</v>
      </c>
      <c r="L244" s="6">
        <v>0.05</v>
      </c>
      <c r="M244" s="6">
        <v>0.05</v>
      </c>
      <c r="N244" s="6">
        <v>0.05</v>
      </c>
      <c r="O244" s="6">
        <v>0.05</v>
      </c>
      <c r="P244" s="6">
        <v>0</v>
      </c>
      <c r="Q244" s="4" t="s">
        <v>26</v>
      </c>
      <c r="R244" s="4">
        <v>0</v>
      </c>
      <c r="S244" s="4">
        <v>0</v>
      </c>
      <c r="T244" s="4">
        <v>30</v>
      </c>
      <c r="U244" s="4">
        <v>55</v>
      </c>
      <c r="V244" s="6">
        <f>IF(ISERROR(VLOOKUP($S$244,'TAR FIN'!$A$1:$O$85,15,0)),0,VLOOKUP($S$244,'TAR FIN'!$A$1:$O$85,15,0))</f>
        <v>0</v>
      </c>
      <c r="W244" s="6">
        <f>IF(ISERROR(VLOOKUP($T$244,'TAR FIN'!$A$1:$O$85,15,0)),0,VLOOKUP($T$244,'TAR FIN'!$A$1:$O$85,15,0))</f>
        <v>331.77</v>
      </c>
      <c r="X244" s="6">
        <f>IF(ISERROR(VLOOKUP($U$244,'TAR FIN'!$A$1:$O$85,15,0)),0,VLOOKUP($U$244,'TAR FIN'!$A$1:$O$85,15,0))</f>
        <v>124.36</v>
      </c>
      <c r="Y244" s="6"/>
      <c r="Z244" s="6">
        <f ca="1">('TUSD BE'!$AM$33+'TUSD BF'!$AM$33+'TUSD CVA'!$AM$33)*(1-CUSTOS!$M$38)</f>
        <v>390.73403238820225</v>
      </c>
      <c r="AA244" s="6">
        <f>('TE BE'!$AB$23+'TE BF'!$AB$23+'TE CVA'!$AB$23)*(1-CUSTOS!$M$38)</f>
        <v>127.65788581931002</v>
      </c>
      <c r="AB244" s="6">
        <f t="shared" si="12"/>
        <v>0</v>
      </c>
      <c r="AC244" s="6">
        <f>(L244-M244)*(W244+X244)+($W$141+$X$141-$W$244-$X$244)*(L244)</f>
        <v>3.1099999999999977</v>
      </c>
      <c r="AD244" s="6">
        <f t="shared" si="13"/>
        <v>0</v>
      </c>
      <c r="AE244" s="6">
        <f ca="1">(L244-M244)*(Z244+AA244)+($Z$141+$AA$141-$Z$244-$AA$244)*(L244)</f>
        <v>1.6544422921516402</v>
      </c>
      <c r="AF244" s="4" t="s">
        <v>590</v>
      </c>
    </row>
    <row r="245" spans="1:32" ht="11.25" customHeight="1" x14ac:dyDescent="0.25">
      <c r="A245" s="4" t="s">
        <v>21</v>
      </c>
      <c r="B245" s="4" t="s">
        <v>40</v>
      </c>
      <c r="C245" s="4" t="s">
        <v>23</v>
      </c>
      <c r="D245" s="4" t="s">
        <v>41</v>
      </c>
      <c r="E245" s="4" t="s">
        <v>52</v>
      </c>
      <c r="F245" s="4" t="s">
        <v>50</v>
      </c>
      <c r="G245" s="4" t="s">
        <v>25</v>
      </c>
      <c r="H245" s="4" t="s">
        <v>25</v>
      </c>
      <c r="I245" s="5">
        <v>44501</v>
      </c>
      <c r="J245" s="6">
        <v>0</v>
      </c>
      <c r="K245" s="6">
        <v>0</v>
      </c>
      <c r="L245" s="6">
        <v>4.6059999999999999</v>
      </c>
      <c r="M245" s="6">
        <v>4.6059999999999999</v>
      </c>
      <c r="N245" s="6">
        <v>4.6059999999999999</v>
      </c>
      <c r="O245" s="6">
        <v>4.6059999999999999</v>
      </c>
      <c r="P245" s="6">
        <v>0</v>
      </c>
      <c r="Q245" s="4" t="s">
        <v>26</v>
      </c>
      <c r="R245" s="4">
        <v>0</v>
      </c>
      <c r="S245" s="4">
        <v>0</v>
      </c>
      <c r="T245" s="4">
        <v>30</v>
      </c>
      <c r="U245" s="4">
        <v>55</v>
      </c>
      <c r="V245" s="6">
        <f>IF(ISERROR(VLOOKUP($S$245,'TAR FIN'!$A$1:$O$85,15,0)),0,VLOOKUP($S$245,'TAR FIN'!$A$1:$O$85,15,0))</f>
        <v>0</v>
      </c>
      <c r="W245" s="6">
        <f>IF(ISERROR(VLOOKUP($T$245,'TAR FIN'!$A$1:$O$85,15,0)),0,VLOOKUP($T$245,'TAR FIN'!$A$1:$O$85,15,0))</f>
        <v>331.77</v>
      </c>
      <c r="X245" s="6">
        <f>IF(ISERROR(VLOOKUP($U$245,'TAR FIN'!$A$1:$O$85,15,0)),0,VLOOKUP($U$245,'TAR FIN'!$A$1:$O$85,15,0))</f>
        <v>124.36</v>
      </c>
      <c r="Y245" s="6"/>
      <c r="Z245" s="6">
        <f ca="1">('TUSD BE'!$AM$33+'TUSD BF'!$AM$33+'TUSD CVA'!$AM$33)*(1-CUSTOS!$M$38)</f>
        <v>390.73403238820225</v>
      </c>
      <c r="AA245" s="6">
        <f>('TE BE'!$AB$23+'TE BF'!$AB$23+'TE CVA'!$AB$23)*(1-CUSTOS!$M$38)</f>
        <v>127.65788581931002</v>
      </c>
      <c r="AB245" s="6">
        <f t="shared" si="12"/>
        <v>0</v>
      </c>
      <c r="AC245" s="6">
        <f>(L245-M245)*(W245+X245)+($W$141+$X$141-$W$245-$X$245)*(L245)</f>
        <v>286.49319999999972</v>
      </c>
      <c r="AD245" s="6">
        <f t="shared" si="13"/>
        <v>0</v>
      </c>
      <c r="AE245" s="6">
        <f ca="1">(L245-M245)*(Z245+AA245)+($Z$141+$AA$141-$Z$245-$AA$245)*(L245)</f>
        <v>152.40722395300907</v>
      </c>
      <c r="AF245" s="4" t="s">
        <v>590</v>
      </c>
    </row>
    <row r="246" spans="1:32" ht="11.25" customHeight="1" x14ac:dyDescent="0.25">
      <c r="A246" s="4" t="s">
        <v>28</v>
      </c>
      <c r="B246" s="4" t="s">
        <v>40</v>
      </c>
      <c r="C246" s="4" t="s">
        <v>23</v>
      </c>
      <c r="D246" s="4" t="s">
        <v>41</v>
      </c>
      <c r="E246" s="4" t="s">
        <v>52</v>
      </c>
      <c r="F246" s="4" t="s">
        <v>50</v>
      </c>
      <c r="G246" s="4" t="s">
        <v>25</v>
      </c>
      <c r="H246" s="4" t="s">
        <v>25</v>
      </c>
      <c r="I246" s="5">
        <v>44501</v>
      </c>
      <c r="J246" s="6">
        <v>0</v>
      </c>
      <c r="K246" s="6">
        <v>0</v>
      </c>
      <c r="L246" s="6">
        <v>1.756</v>
      </c>
      <c r="M246" s="6">
        <v>1.756</v>
      </c>
      <c r="N246" s="6">
        <v>1.756</v>
      </c>
      <c r="O246" s="6">
        <v>1.756</v>
      </c>
      <c r="P246" s="6">
        <v>0</v>
      </c>
      <c r="Q246" s="4" t="s">
        <v>26</v>
      </c>
      <c r="R246" s="4">
        <v>0</v>
      </c>
      <c r="S246" s="4">
        <v>0</v>
      </c>
      <c r="T246" s="4">
        <v>30</v>
      </c>
      <c r="U246" s="4">
        <v>55</v>
      </c>
      <c r="V246" s="6">
        <f>IF(ISERROR(VLOOKUP($S$246,'TAR FIN'!$A$1:$O$85,15,0)),0,VLOOKUP($S$246,'TAR FIN'!$A$1:$O$85,15,0))</f>
        <v>0</v>
      </c>
      <c r="W246" s="6">
        <f>IF(ISERROR(VLOOKUP($T$246,'TAR FIN'!$A$1:$O$85,15,0)),0,VLOOKUP($T$246,'TAR FIN'!$A$1:$O$85,15,0))</f>
        <v>331.77</v>
      </c>
      <c r="X246" s="6">
        <f>IF(ISERROR(VLOOKUP($U$246,'TAR FIN'!$A$1:$O$85,15,0)),0,VLOOKUP($U$246,'TAR FIN'!$A$1:$O$85,15,0))</f>
        <v>124.36</v>
      </c>
      <c r="Y246" s="6"/>
      <c r="Z246" s="6">
        <f ca="1">('TUSD BE'!$AM$33+'TUSD BF'!$AM$33+'TUSD CVA'!$AM$33)*(1-CUSTOS!$M$38)</f>
        <v>390.73403238820225</v>
      </c>
      <c r="AA246" s="6">
        <f>('TE BE'!$AB$23+'TE BF'!$AB$23+'TE CVA'!$AB$23)*(1-CUSTOS!$M$38)</f>
        <v>127.65788581931002</v>
      </c>
      <c r="AB246" s="6">
        <f t="shared" si="12"/>
        <v>0</v>
      </c>
      <c r="AC246" s="6">
        <f>(L246-M246)*(W246+X246)+($W$141+$X$141-$W$246-$X$246)*(L246)</f>
        <v>109.22319999999991</v>
      </c>
      <c r="AD246" s="6">
        <f t="shared" si="13"/>
        <v>0</v>
      </c>
      <c r="AE246" s="6">
        <f ca="1">(L246-M246)*(Z246+AA246)+($Z$141+$AA$141-$Z$246-$AA$246)*(L246)</f>
        <v>58.104013300365594</v>
      </c>
      <c r="AF246" s="4" t="s">
        <v>590</v>
      </c>
    </row>
    <row r="247" spans="1:32" ht="11.25" customHeight="1" x14ac:dyDescent="0.25">
      <c r="A247" s="4" t="s">
        <v>21</v>
      </c>
      <c r="B247" s="4" t="s">
        <v>40</v>
      </c>
      <c r="C247" s="4" t="s">
        <v>23</v>
      </c>
      <c r="D247" s="4" t="s">
        <v>41</v>
      </c>
      <c r="E247" s="4" t="s">
        <v>52</v>
      </c>
      <c r="F247" s="4" t="s">
        <v>50</v>
      </c>
      <c r="G247" s="4" t="s">
        <v>25</v>
      </c>
      <c r="H247" s="4" t="s">
        <v>25</v>
      </c>
      <c r="I247" s="5">
        <v>44531</v>
      </c>
      <c r="J247" s="6">
        <v>0</v>
      </c>
      <c r="K247" s="6">
        <v>0</v>
      </c>
      <c r="L247" s="6">
        <v>4.41</v>
      </c>
      <c r="M247" s="6">
        <v>4.41</v>
      </c>
      <c r="N247" s="6">
        <v>4.41</v>
      </c>
      <c r="O247" s="6">
        <v>4.41</v>
      </c>
      <c r="P247" s="6">
        <v>0</v>
      </c>
      <c r="Q247" s="4" t="s">
        <v>26</v>
      </c>
      <c r="R247" s="4">
        <v>0</v>
      </c>
      <c r="S247" s="4">
        <v>0</v>
      </c>
      <c r="T247" s="4">
        <v>30</v>
      </c>
      <c r="U247" s="4">
        <v>55</v>
      </c>
      <c r="V247" s="6">
        <f>IF(ISERROR(VLOOKUP($S$247,'TAR FIN'!$A$1:$O$85,15,0)),0,VLOOKUP($S$247,'TAR FIN'!$A$1:$O$85,15,0))</f>
        <v>0</v>
      </c>
      <c r="W247" s="6">
        <f>IF(ISERROR(VLOOKUP($T$247,'TAR FIN'!$A$1:$O$85,15,0)),0,VLOOKUP($T$247,'TAR FIN'!$A$1:$O$85,15,0))</f>
        <v>331.77</v>
      </c>
      <c r="X247" s="6">
        <f>IF(ISERROR(VLOOKUP($U$247,'TAR FIN'!$A$1:$O$85,15,0)),0,VLOOKUP($U$247,'TAR FIN'!$A$1:$O$85,15,0))</f>
        <v>124.36</v>
      </c>
      <c r="Y247" s="6"/>
      <c r="Z247" s="6">
        <f ca="1">('TUSD BE'!$AM$33+'TUSD BF'!$AM$33+'TUSD CVA'!$AM$33)*(1-CUSTOS!$M$38)</f>
        <v>390.73403238820225</v>
      </c>
      <c r="AA247" s="6">
        <f>('TE BE'!$AB$23+'TE BF'!$AB$23+'TE CVA'!$AB$23)*(1-CUSTOS!$M$38)</f>
        <v>127.65788581931002</v>
      </c>
      <c r="AB247" s="6">
        <f t="shared" si="12"/>
        <v>0</v>
      </c>
      <c r="AC247" s="6">
        <f>(L247-M247)*(W247+X247)+($W$141+$X$141-$W$247-$X$247)*(L247)</f>
        <v>274.30199999999979</v>
      </c>
      <c r="AD247" s="6">
        <f t="shared" si="13"/>
        <v>0</v>
      </c>
      <c r="AE247" s="6">
        <f ca="1">(L247-M247)*(Z247+AA247)+($Z$141+$AA$141-$Z$247-$AA$247)*(L247)</f>
        <v>145.92181016777465</v>
      </c>
      <c r="AF247" s="4" t="s">
        <v>590</v>
      </c>
    </row>
    <row r="248" spans="1:32" ht="11.25" customHeight="1" x14ac:dyDescent="0.25">
      <c r="A248" s="4" t="s">
        <v>28</v>
      </c>
      <c r="B248" s="4" t="s">
        <v>40</v>
      </c>
      <c r="C248" s="4" t="s">
        <v>23</v>
      </c>
      <c r="D248" s="4" t="s">
        <v>41</v>
      </c>
      <c r="E248" s="4" t="s">
        <v>52</v>
      </c>
      <c r="F248" s="4" t="s">
        <v>50</v>
      </c>
      <c r="G248" s="4" t="s">
        <v>25</v>
      </c>
      <c r="H248" s="4" t="s">
        <v>25</v>
      </c>
      <c r="I248" s="5">
        <v>44531</v>
      </c>
      <c r="J248" s="6">
        <v>0</v>
      </c>
      <c r="K248" s="6">
        <v>0</v>
      </c>
      <c r="L248" s="6">
        <v>1.4179999999999999</v>
      </c>
      <c r="M248" s="6">
        <v>1.4179999999999999</v>
      </c>
      <c r="N248" s="6">
        <v>1.4179999999999999</v>
      </c>
      <c r="O248" s="6">
        <v>1.4179999999999999</v>
      </c>
      <c r="P248" s="6">
        <v>0</v>
      </c>
      <c r="Q248" s="4" t="s">
        <v>26</v>
      </c>
      <c r="R248" s="4">
        <v>0</v>
      </c>
      <c r="S248" s="4">
        <v>0</v>
      </c>
      <c r="T248" s="4">
        <v>30</v>
      </c>
      <c r="U248" s="4">
        <v>55</v>
      </c>
      <c r="V248" s="6">
        <f>IF(ISERROR(VLOOKUP($S$248,'TAR FIN'!$A$1:$O$85,15,0)),0,VLOOKUP($S$248,'TAR FIN'!$A$1:$O$85,15,0))</f>
        <v>0</v>
      </c>
      <c r="W248" s="6">
        <f>IF(ISERROR(VLOOKUP($T$248,'TAR FIN'!$A$1:$O$85,15,0)),0,VLOOKUP($T$248,'TAR FIN'!$A$1:$O$85,15,0))</f>
        <v>331.77</v>
      </c>
      <c r="X248" s="6">
        <f>IF(ISERROR(VLOOKUP($U$248,'TAR FIN'!$A$1:$O$85,15,0)),0,VLOOKUP($U$248,'TAR FIN'!$A$1:$O$85,15,0))</f>
        <v>124.36</v>
      </c>
      <c r="Y248" s="6"/>
      <c r="Z248" s="6">
        <f ca="1">('TUSD BE'!$AM$33+'TUSD BF'!$AM$33+'TUSD CVA'!$AM$33)*(1-CUSTOS!$M$38)</f>
        <v>390.73403238820225</v>
      </c>
      <c r="AA248" s="6">
        <f>('TE BE'!$AB$23+'TE BF'!$AB$23+'TE CVA'!$AB$23)*(1-CUSTOS!$M$38)</f>
        <v>127.65788581931002</v>
      </c>
      <c r="AB248" s="6">
        <f t="shared" si="12"/>
        <v>0</v>
      </c>
      <c r="AC248" s="6">
        <f>(L248-M248)*(W248+X248)+($W$141+$X$141-$W$248-$X$248)*(L248)</f>
        <v>88.199599999999919</v>
      </c>
      <c r="AD248" s="6">
        <f t="shared" si="13"/>
        <v>0</v>
      </c>
      <c r="AE248" s="6">
        <f ca="1">(L248-M248)*(Z248+AA248)+($Z$141+$AA$141-$Z$248-$AA$248)*(L248)</f>
        <v>46.91998340542051</v>
      </c>
      <c r="AF248" s="4" t="s">
        <v>590</v>
      </c>
    </row>
    <row r="249" spans="1:32" ht="11.25" customHeight="1" x14ac:dyDescent="0.25">
      <c r="A249" s="4" t="s">
        <v>21</v>
      </c>
      <c r="B249" s="4" t="s">
        <v>40</v>
      </c>
      <c r="C249" s="4" t="s">
        <v>23</v>
      </c>
      <c r="D249" s="4" t="s">
        <v>41</v>
      </c>
      <c r="E249" s="4" t="s">
        <v>52</v>
      </c>
      <c r="F249" s="4" t="s">
        <v>50</v>
      </c>
      <c r="G249" s="4" t="s">
        <v>25</v>
      </c>
      <c r="H249" s="4" t="s">
        <v>25</v>
      </c>
      <c r="I249" s="5">
        <v>44562</v>
      </c>
      <c r="J249" s="6">
        <v>0</v>
      </c>
      <c r="K249" s="6">
        <v>0</v>
      </c>
      <c r="L249" s="6">
        <v>8.9499999999999993</v>
      </c>
      <c r="M249" s="6">
        <v>8.9499999999999993</v>
      </c>
      <c r="N249" s="6">
        <v>8.9499999999999993</v>
      </c>
      <c r="O249" s="6">
        <v>8.9499999999999993</v>
      </c>
      <c r="P249" s="6">
        <v>0</v>
      </c>
      <c r="Q249" s="4" t="s">
        <v>26</v>
      </c>
      <c r="R249" s="4">
        <v>0</v>
      </c>
      <c r="S249" s="4">
        <v>0</v>
      </c>
      <c r="T249" s="4">
        <v>30</v>
      </c>
      <c r="U249" s="4">
        <v>55</v>
      </c>
      <c r="V249" s="6">
        <f>IF(ISERROR(VLOOKUP($S$249,'TAR FIN'!$A$1:$O$85,15,0)),0,VLOOKUP($S$249,'TAR FIN'!$A$1:$O$85,15,0))</f>
        <v>0</v>
      </c>
      <c r="W249" s="6">
        <f>IF(ISERROR(VLOOKUP($T$249,'TAR FIN'!$A$1:$O$85,15,0)),0,VLOOKUP($T$249,'TAR FIN'!$A$1:$O$85,15,0))</f>
        <v>331.77</v>
      </c>
      <c r="X249" s="6">
        <f>IF(ISERROR(VLOOKUP($U$249,'TAR FIN'!$A$1:$O$85,15,0)),0,VLOOKUP($U$249,'TAR FIN'!$A$1:$O$85,15,0))</f>
        <v>124.36</v>
      </c>
      <c r="Y249" s="6"/>
      <c r="Z249" s="6">
        <f ca="1">('TUSD BE'!$AM$33+'TUSD BF'!$AM$33+'TUSD CVA'!$AM$33)*(1-CUSTOS!$M$38)</f>
        <v>390.73403238820225</v>
      </c>
      <c r="AA249" s="6">
        <f>('TE BE'!$AB$23+'TE BF'!$AB$23+'TE CVA'!$AB$23)*(1-CUSTOS!$M$38)</f>
        <v>127.65788581931002</v>
      </c>
      <c r="AB249" s="6">
        <f t="shared" si="12"/>
        <v>0</v>
      </c>
      <c r="AC249" s="6">
        <f>(L249-M249)*(W249+X249)+($W$141+$X$141-$W$249-$X$249)*(L249)</f>
        <v>556.68999999999949</v>
      </c>
      <c r="AD249" s="6">
        <f t="shared" si="13"/>
        <v>0</v>
      </c>
      <c r="AE249" s="6">
        <f ca="1">(L249-M249)*(Z249+AA249)+($Z$141+$AA$141-$Z$249-$AA$249)*(L249)</f>
        <v>296.14517029514354</v>
      </c>
      <c r="AF249" s="4" t="s">
        <v>590</v>
      </c>
    </row>
    <row r="250" spans="1:32" ht="11.25" customHeight="1" x14ac:dyDescent="0.25">
      <c r="A250" s="4" t="s">
        <v>28</v>
      </c>
      <c r="B250" s="4" t="s">
        <v>40</v>
      </c>
      <c r="C250" s="4" t="s">
        <v>23</v>
      </c>
      <c r="D250" s="4" t="s">
        <v>41</v>
      </c>
      <c r="E250" s="4" t="s">
        <v>52</v>
      </c>
      <c r="F250" s="4" t="s">
        <v>50</v>
      </c>
      <c r="G250" s="4" t="s">
        <v>25</v>
      </c>
      <c r="H250" s="4" t="s">
        <v>25</v>
      </c>
      <c r="I250" s="5">
        <v>44562</v>
      </c>
      <c r="J250" s="6">
        <v>0</v>
      </c>
      <c r="K250" s="6">
        <v>0</v>
      </c>
      <c r="L250" s="6">
        <v>0.76900000000000002</v>
      </c>
      <c r="M250" s="6">
        <v>0.76900000000000002</v>
      </c>
      <c r="N250" s="6">
        <v>0.76900000000000002</v>
      </c>
      <c r="O250" s="6">
        <v>0.76900000000000002</v>
      </c>
      <c r="P250" s="6">
        <v>0</v>
      </c>
      <c r="Q250" s="4" t="s">
        <v>26</v>
      </c>
      <c r="R250" s="4">
        <v>0</v>
      </c>
      <c r="S250" s="4">
        <v>0</v>
      </c>
      <c r="T250" s="4">
        <v>30</v>
      </c>
      <c r="U250" s="4">
        <v>55</v>
      </c>
      <c r="V250" s="6">
        <f>IF(ISERROR(VLOOKUP($S$250,'TAR FIN'!$A$1:$O$85,15,0)),0,VLOOKUP($S$250,'TAR FIN'!$A$1:$O$85,15,0))</f>
        <v>0</v>
      </c>
      <c r="W250" s="6">
        <f>IF(ISERROR(VLOOKUP($T$250,'TAR FIN'!$A$1:$O$85,15,0)),0,VLOOKUP($T$250,'TAR FIN'!$A$1:$O$85,15,0))</f>
        <v>331.77</v>
      </c>
      <c r="X250" s="6">
        <f>IF(ISERROR(VLOOKUP($U$250,'TAR FIN'!$A$1:$O$85,15,0)),0,VLOOKUP($U$250,'TAR FIN'!$A$1:$O$85,15,0))</f>
        <v>124.36</v>
      </c>
      <c r="Y250" s="6"/>
      <c r="Z250" s="6">
        <f ca="1">('TUSD BE'!$AM$33+'TUSD BF'!$AM$33+'TUSD CVA'!$AM$33)*(1-CUSTOS!$M$38)</f>
        <v>390.73403238820225</v>
      </c>
      <c r="AA250" s="6">
        <f>('TE BE'!$AB$23+'TE BF'!$AB$23+'TE CVA'!$AB$23)*(1-CUSTOS!$M$38)</f>
        <v>127.65788581931002</v>
      </c>
      <c r="AB250" s="6">
        <f t="shared" si="12"/>
        <v>0</v>
      </c>
      <c r="AC250" s="6">
        <f>(L250-M250)*(W250+X250)+($W$141+$X$141-$W$250-$X$250)*(L250)</f>
        <v>47.831799999999959</v>
      </c>
      <c r="AD250" s="6">
        <f t="shared" si="13"/>
        <v>0</v>
      </c>
      <c r="AE250" s="6">
        <f ca="1">(L250-M250)*(Z250+AA250)+($Z$141+$AA$141-$Z$250-$AA$250)*(L250)</f>
        <v>25.445322453292224</v>
      </c>
      <c r="AF250" s="4" t="s">
        <v>590</v>
      </c>
    </row>
    <row r="251" spans="1:32" ht="11.25" customHeight="1" x14ac:dyDescent="0.25">
      <c r="A251" s="4" t="s">
        <v>21</v>
      </c>
      <c r="B251" s="4" t="s">
        <v>40</v>
      </c>
      <c r="C251" s="4" t="s">
        <v>23</v>
      </c>
      <c r="D251" s="4" t="s">
        <v>41</v>
      </c>
      <c r="E251" s="4" t="s">
        <v>52</v>
      </c>
      <c r="F251" s="4" t="s">
        <v>50</v>
      </c>
      <c r="G251" s="4" t="s">
        <v>25</v>
      </c>
      <c r="H251" s="4" t="s">
        <v>25</v>
      </c>
      <c r="I251" s="5">
        <v>44593</v>
      </c>
      <c r="J251" s="6">
        <v>0</v>
      </c>
      <c r="K251" s="6">
        <v>0</v>
      </c>
      <c r="L251" s="6">
        <v>11.526999999999999</v>
      </c>
      <c r="M251" s="6">
        <v>11.526999999999999</v>
      </c>
      <c r="N251" s="6">
        <v>11.526999999999999</v>
      </c>
      <c r="O251" s="6">
        <v>11.526999999999999</v>
      </c>
      <c r="P251" s="6">
        <v>0</v>
      </c>
      <c r="Q251" s="4" t="s">
        <v>26</v>
      </c>
      <c r="R251" s="4">
        <v>0</v>
      </c>
      <c r="S251" s="4">
        <v>0</v>
      </c>
      <c r="T251" s="4">
        <v>30</v>
      </c>
      <c r="U251" s="4">
        <v>55</v>
      </c>
      <c r="V251" s="6">
        <f>IF(ISERROR(VLOOKUP($S$251,'TAR FIN'!$A$1:$O$85,15,0)),0,VLOOKUP($S$251,'TAR FIN'!$A$1:$O$85,15,0))</f>
        <v>0</v>
      </c>
      <c r="W251" s="6">
        <f>IF(ISERROR(VLOOKUP($T$251,'TAR FIN'!$A$1:$O$85,15,0)),0,VLOOKUP($T$251,'TAR FIN'!$A$1:$O$85,15,0))</f>
        <v>331.77</v>
      </c>
      <c r="X251" s="6">
        <f>IF(ISERROR(VLOOKUP($U$251,'TAR FIN'!$A$1:$O$85,15,0)),0,VLOOKUP($U$251,'TAR FIN'!$A$1:$O$85,15,0))</f>
        <v>124.36</v>
      </c>
      <c r="Y251" s="6"/>
      <c r="Z251" s="6">
        <f ca="1">('TUSD BE'!$AM$33+'TUSD BF'!$AM$33+'TUSD CVA'!$AM$33)*(1-CUSTOS!$M$38)</f>
        <v>390.73403238820225</v>
      </c>
      <c r="AA251" s="6">
        <f>('TE BE'!$AB$23+'TE BF'!$AB$23+'TE CVA'!$AB$23)*(1-CUSTOS!$M$38)</f>
        <v>127.65788581931002</v>
      </c>
      <c r="AB251" s="6">
        <f t="shared" si="12"/>
        <v>0</v>
      </c>
      <c r="AC251" s="6">
        <f>(L251-M251)*(W251+X251)+($W$141+$X$141-$W$251-$X$251)*(L251)</f>
        <v>716.97939999999937</v>
      </c>
      <c r="AD251" s="6">
        <f t="shared" si="13"/>
        <v>0</v>
      </c>
      <c r="AE251" s="6">
        <f ca="1">(L251-M251)*(Z251+AA251)+($Z$141+$AA$141-$Z$251-$AA$251)*(L251)</f>
        <v>381.41512603263908</v>
      </c>
      <c r="AF251" s="4" t="s">
        <v>590</v>
      </c>
    </row>
    <row r="252" spans="1:32" ht="11.25" customHeight="1" x14ac:dyDescent="0.25">
      <c r="A252" s="4" t="s">
        <v>28</v>
      </c>
      <c r="B252" s="4" t="s">
        <v>40</v>
      </c>
      <c r="C252" s="4" t="s">
        <v>23</v>
      </c>
      <c r="D252" s="4" t="s">
        <v>41</v>
      </c>
      <c r="E252" s="4" t="s">
        <v>52</v>
      </c>
      <c r="F252" s="4" t="s">
        <v>50</v>
      </c>
      <c r="G252" s="4" t="s">
        <v>25</v>
      </c>
      <c r="H252" s="4" t="s">
        <v>25</v>
      </c>
      <c r="I252" s="5">
        <v>44593</v>
      </c>
      <c r="J252" s="6">
        <v>0</v>
      </c>
      <c r="K252" s="6">
        <v>0</v>
      </c>
      <c r="L252" s="6">
        <v>1.095</v>
      </c>
      <c r="M252" s="6">
        <v>1.095</v>
      </c>
      <c r="N252" s="6">
        <v>1.095</v>
      </c>
      <c r="O252" s="6">
        <v>1.095</v>
      </c>
      <c r="P252" s="6">
        <v>0</v>
      </c>
      <c r="Q252" s="4" t="s">
        <v>26</v>
      </c>
      <c r="R252" s="4">
        <v>0</v>
      </c>
      <c r="S252" s="4">
        <v>0</v>
      </c>
      <c r="T252" s="4">
        <v>30</v>
      </c>
      <c r="U252" s="4">
        <v>55</v>
      </c>
      <c r="V252" s="6">
        <f>IF(ISERROR(VLOOKUP($S$252,'TAR FIN'!$A$1:$O$85,15,0)),0,VLOOKUP($S$252,'TAR FIN'!$A$1:$O$85,15,0))</f>
        <v>0</v>
      </c>
      <c r="W252" s="6">
        <f>IF(ISERROR(VLOOKUP($T$252,'TAR FIN'!$A$1:$O$85,15,0)),0,VLOOKUP($T$252,'TAR FIN'!$A$1:$O$85,15,0))</f>
        <v>331.77</v>
      </c>
      <c r="X252" s="6">
        <f>IF(ISERROR(VLOOKUP($U$252,'TAR FIN'!$A$1:$O$85,15,0)),0,VLOOKUP($U$252,'TAR FIN'!$A$1:$O$85,15,0))</f>
        <v>124.36</v>
      </c>
      <c r="Y252" s="6"/>
      <c r="Z252" s="6">
        <f ca="1">('TUSD BE'!$AM$33+'TUSD BF'!$AM$33+'TUSD CVA'!$AM$33)*(1-CUSTOS!$M$38)</f>
        <v>390.73403238820225</v>
      </c>
      <c r="AA252" s="6">
        <f>('TE BE'!$AB$23+'TE BF'!$AB$23+'TE CVA'!$AB$23)*(1-CUSTOS!$M$38)</f>
        <v>127.65788581931002</v>
      </c>
      <c r="AB252" s="6">
        <f t="shared" si="12"/>
        <v>0</v>
      </c>
      <c r="AC252" s="6">
        <f>(L252-M252)*(W252+X252)+($W$141+$X$141-$W$252-$X$252)*(L252)</f>
        <v>68.108999999999938</v>
      </c>
      <c r="AD252" s="6">
        <f t="shared" si="13"/>
        <v>0</v>
      </c>
      <c r="AE252" s="6">
        <f ca="1">(L252-M252)*(Z252+AA252)+($Z$141+$AA$141-$Z$252-$AA$252)*(L252)</f>
        <v>36.232286198120917</v>
      </c>
      <c r="AF252" s="4" t="s">
        <v>590</v>
      </c>
    </row>
    <row r="253" spans="1:32" ht="11.25" customHeight="1" x14ac:dyDescent="0.25">
      <c r="A253" s="4" t="s">
        <v>21</v>
      </c>
      <c r="B253" s="4" t="s">
        <v>40</v>
      </c>
      <c r="C253" s="4" t="s">
        <v>23</v>
      </c>
      <c r="D253" s="4" t="s">
        <v>41</v>
      </c>
      <c r="E253" s="4" t="s">
        <v>52</v>
      </c>
      <c r="F253" s="4" t="s">
        <v>50</v>
      </c>
      <c r="G253" s="4" t="s">
        <v>25</v>
      </c>
      <c r="H253" s="4" t="s">
        <v>25</v>
      </c>
      <c r="I253" s="5">
        <v>44621</v>
      </c>
      <c r="J253" s="6">
        <v>0</v>
      </c>
      <c r="K253" s="6">
        <v>0</v>
      </c>
      <c r="L253" s="6">
        <v>7.798</v>
      </c>
      <c r="M253" s="6">
        <v>7.798</v>
      </c>
      <c r="N253" s="6">
        <v>7.798</v>
      </c>
      <c r="O253" s="6">
        <v>7.798</v>
      </c>
      <c r="P253" s="6">
        <v>0</v>
      </c>
      <c r="Q253" s="4" t="s">
        <v>26</v>
      </c>
      <c r="R253" s="4">
        <v>0</v>
      </c>
      <c r="S253" s="4">
        <v>0</v>
      </c>
      <c r="T253" s="4">
        <v>30</v>
      </c>
      <c r="U253" s="4">
        <v>55</v>
      </c>
      <c r="V253" s="6">
        <f>IF(ISERROR(VLOOKUP($S$253,'TAR FIN'!$A$1:$O$85,15,0)),0,VLOOKUP($S$253,'TAR FIN'!$A$1:$O$85,15,0))</f>
        <v>0</v>
      </c>
      <c r="W253" s="6">
        <f>IF(ISERROR(VLOOKUP($T$253,'TAR FIN'!$A$1:$O$85,15,0)),0,VLOOKUP($T$253,'TAR FIN'!$A$1:$O$85,15,0))</f>
        <v>331.77</v>
      </c>
      <c r="X253" s="6">
        <f>IF(ISERROR(VLOOKUP($U$253,'TAR FIN'!$A$1:$O$85,15,0)),0,VLOOKUP($U$253,'TAR FIN'!$A$1:$O$85,15,0))</f>
        <v>124.36</v>
      </c>
      <c r="Y253" s="6"/>
      <c r="Z253" s="6">
        <f ca="1">('TUSD BE'!$AM$33+'TUSD BF'!$AM$33+'TUSD CVA'!$AM$33)*(1-CUSTOS!$M$38)</f>
        <v>390.73403238820225</v>
      </c>
      <c r="AA253" s="6">
        <f>('TE BE'!$AB$23+'TE BF'!$AB$23+'TE CVA'!$AB$23)*(1-CUSTOS!$M$38)</f>
        <v>127.65788581931002</v>
      </c>
      <c r="AB253" s="6">
        <f t="shared" si="12"/>
        <v>0</v>
      </c>
      <c r="AC253" s="6">
        <f>(L253-M253)*(W253+X253)+($W$141+$X$141-$W$253-$X$253)*(L253)</f>
        <v>485.03559999999959</v>
      </c>
      <c r="AD253" s="6">
        <f t="shared" si="13"/>
        <v>0</v>
      </c>
      <c r="AE253" s="6">
        <f ca="1">(L253-M253)*(Z253+AA253)+($Z$141+$AA$141-$Z$253-$AA$253)*(L253)</f>
        <v>258.02681988396978</v>
      </c>
      <c r="AF253" s="4" t="s">
        <v>590</v>
      </c>
    </row>
    <row r="254" spans="1:32" ht="11.25" customHeight="1" x14ac:dyDescent="0.25">
      <c r="A254" s="4" t="s">
        <v>28</v>
      </c>
      <c r="B254" s="4" t="s">
        <v>40</v>
      </c>
      <c r="C254" s="4" t="s">
        <v>23</v>
      </c>
      <c r="D254" s="4" t="s">
        <v>41</v>
      </c>
      <c r="E254" s="4" t="s">
        <v>52</v>
      </c>
      <c r="F254" s="4" t="s">
        <v>50</v>
      </c>
      <c r="G254" s="4" t="s">
        <v>25</v>
      </c>
      <c r="H254" s="4" t="s">
        <v>25</v>
      </c>
      <c r="I254" s="5">
        <v>44621</v>
      </c>
      <c r="J254" s="6">
        <v>0</v>
      </c>
      <c r="K254" s="6">
        <v>0</v>
      </c>
      <c r="L254" s="6">
        <v>1.1040000000000001</v>
      </c>
      <c r="M254" s="6">
        <v>1.1040000000000001</v>
      </c>
      <c r="N254" s="6">
        <v>1.1040000000000001</v>
      </c>
      <c r="O254" s="6">
        <v>1.1040000000000001</v>
      </c>
      <c r="P254" s="6">
        <v>0</v>
      </c>
      <c r="Q254" s="4" t="s">
        <v>26</v>
      </c>
      <c r="R254" s="4">
        <v>0</v>
      </c>
      <c r="S254" s="4">
        <v>0</v>
      </c>
      <c r="T254" s="4">
        <v>30</v>
      </c>
      <c r="U254" s="4">
        <v>55</v>
      </c>
      <c r="V254" s="6">
        <f>IF(ISERROR(VLOOKUP($S$254,'TAR FIN'!$A$1:$O$85,15,0)),0,VLOOKUP($S$254,'TAR FIN'!$A$1:$O$85,15,0))</f>
        <v>0</v>
      </c>
      <c r="W254" s="6">
        <f>IF(ISERROR(VLOOKUP($T$254,'TAR FIN'!$A$1:$O$85,15,0)),0,VLOOKUP($T$254,'TAR FIN'!$A$1:$O$85,15,0))</f>
        <v>331.77</v>
      </c>
      <c r="X254" s="6">
        <f>IF(ISERROR(VLOOKUP($U$254,'TAR FIN'!$A$1:$O$85,15,0)),0,VLOOKUP($U$254,'TAR FIN'!$A$1:$O$85,15,0))</f>
        <v>124.36</v>
      </c>
      <c r="Y254" s="6"/>
      <c r="Z254" s="6">
        <f ca="1">('TUSD BE'!$AM$33+'TUSD BF'!$AM$33+'TUSD CVA'!$AM$33)*(1-CUSTOS!$M$38)</f>
        <v>390.73403238820225</v>
      </c>
      <c r="AA254" s="6">
        <f>('TE BE'!$AB$23+'TE BF'!$AB$23+'TE CVA'!$AB$23)*(1-CUSTOS!$M$38)</f>
        <v>127.65788581931002</v>
      </c>
      <c r="AB254" s="6">
        <f t="shared" si="12"/>
        <v>0</v>
      </c>
      <c r="AC254" s="6">
        <f>(L254-M254)*(W254+X254)+($W$141+$X$141-$W$254-$X$254)*(L254)</f>
        <v>68.668799999999948</v>
      </c>
      <c r="AD254" s="6">
        <f t="shared" si="13"/>
        <v>0</v>
      </c>
      <c r="AE254" s="6">
        <f ca="1">(L254-M254)*(Z254+AA254)+($Z$141+$AA$141-$Z$254-$AA$254)*(L254)</f>
        <v>36.530085810708215</v>
      </c>
      <c r="AF254" s="4" t="s">
        <v>590</v>
      </c>
    </row>
    <row r="255" spans="1:32" ht="11.25" customHeight="1" x14ac:dyDescent="0.25">
      <c r="A255" s="4" t="s">
        <v>21</v>
      </c>
      <c r="B255" s="4" t="s">
        <v>40</v>
      </c>
      <c r="C255" s="4" t="s">
        <v>23</v>
      </c>
      <c r="D255" s="4" t="s">
        <v>41</v>
      </c>
      <c r="E255" s="4" t="s">
        <v>52</v>
      </c>
      <c r="F255" s="4" t="s">
        <v>50</v>
      </c>
      <c r="G255" s="4" t="s">
        <v>25</v>
      </c>
      <c r="H255" s="4" t="s">
        <v>25</v>
      </c>
      <c r="I255" s="5">
        <v>44652</v>
      </c>
      <c r="J255" s="6">
        <v>0</v>
      </c>
      <c r="K255" s="6">
        <v>0</v>
      </c>
      <c r="L255" s="6">
        <v>6.8460000000000001</v>
      </c>
      <c r="M255" s="6">
        <v>6.8460000000000001</v>
      </c>
      <c r="N255" s="6">
        <v>6.8460000000000001</v>
      </c>
      <c r="O255" s="6">
        <v>6.8460000000000001</v>
      </c>
      <c r="P255" s="6">
        <v>0</v>
      </c>
      <c r="Q255" s="4" t="s">
        <v>26</v>
      </c>
      <c r="R255" s="4">
        <v>0</v>
      </c>
      <c r="S255" s="4">
        <v>0</v>
      </c>
      <c r="T255" s="4">
        <v>30</v>
      </c>
      <c r="U255" s="4">
        <v>55</v>
      </c>
      <c r="V255" s="6">
        <f>IF(ISERROR(VLOOKUP($S$255,'TAR FIN'!$A$1:$O$85,15,0)),0,VLOOKUP($S$255,'TAR FIN'!$A$1:$O$85,15,0))</f>
        <v>0</v>
      </c>
      <c r="W255" s="6">
        <f>IF(ISERROR(VLOOKUP($T$255,'TAR FIN'!$A$1:$O$85,15,0)),0,VLOOKUP($T$255,'TAR FIN'!$A$1:$O$85,15,0))</f>
        <v>331.77</v>
      </c>
      <c r="X255" s="6">
        <f>IF(ISERROR(VLOOKUP($U$255,'TAR FIN'!$A$1:$O$85,15,0)),0,VLOOKUP($U$255,'TAR FIN'!$A$1:$O$85,15,0))</f>
        <v>124.36</v>
      </c>
      <c r="Y255" s="6"/>
      <c r="Z255" s="6">
        <f ca="1">('TUSD BE'!$AM$33+'TUSD BF'!$AM$33+'TUSD CVA'!$AM$33)*(1-CUSTOS!$M$38)</f>
        <v>390.73403238820225</v>
      </c>
      <c r="AA255" s="6">
        <f>('TE BE'!$AB$23+'TE BF'!$AB$23+'TE CVA'!$AB$23)*(1-CUSTOS!$M$38)</f>
        <v>127.65788581931002</v>
      </c>
      <c r="AB255" s="6">
        <f t="shared" si="12"/>
        <v>0</v>
      </c>
      <c r="AC255" s="6">
        <f>(L255-M255)*(W255+X255)+($W$141+$X$141-$W$255-$X$255)*(L255)</f>
        <v>425.82119999999964</v>
      </c>
      <c r="AD255" s="6">
        <f t="shared" si="13"/>
        <v>0</v>
      </c>
      <c r="AE255" s="6">
        <f ca="1">(L255-M255)*(Z255+AA255)+($Z$141+$AA$141-$Z$255-$AA$255)*(L255)</f>
        <v>226.52623864140256</v>
      </c>
      <c r="AF255" s="4" t="s">
        <v>590</v>
      </c>
    </row>
    <row r="256" spans="1:32" ht="11.25" customHeight="1" x14ac:dyDescent="0.25">
      <c r="A256" s="4" t="s">
        <v>28</v>
      </c>
      <c r="B256" s="4" t="s">
        <v>40</v>
      </c>
      <c r="C256" s="4" t="s">
        <v>23</v>
      </c>
      <c r="D256" s="4" t="s">
        <v>41</v>
      </c>
      <c r="E256" s="4" t="s">
        <v>52</v>
      </c>
      <c r="F256" s="4" t="s">
        <v>50</v>
      </c>
      <c r="G256" s="4" t="s">
        <v>25</v>
      </c>
      <c r="H256" s="4" t="s">
        <v>25</v>
      </c>
      <c r="I256" s="5">
        <v>44652</v>
      </c>
      <c r="J256" s="6">
        <v>0</v>
      </c>
      <c r="K256" s="6">
        <v>0</v>
      </c>
      <c r="L256" s="6">
        <v>1.19</v>
      </c>
      <c r="M256" s="6">
        <v>1.19</v>
      </c>
      <c r="N256" s="6">
        <v>1.19</v>
      </c>
      <c r="O256" s="6">
        <v>1.19</v>
      </c>
      <c r="P256" s="6">
        <v>0</v>
      </c>
      <c r="Q256" s="4" t="s">
        <v>26</v>
      </c>
      <c r="R256" s="4">
        <v>0</v>
      </c>
      <c r="S256" s="4">
        <v>0</v>
      </c>
      <c r="T256" s="4">
        <v>30</v>
      </c>
      <c r="U256" s="4">
        <v>55</v>
      </c>
      <c r="V256" s="6">
        <f>IF(ISERROR(VLOOKUP($S$256,'TAR FIN'!$A$1:$O$85,15,0)),0,VLOOKUP($S$256,'TAR FIN'!$A$1:$O$85,15,0))</f>
        <v>0</v>
      </c>
      <c r="W256" s="6">
        <f>IF(ISERROR(VLOOKUP($T$256,'TAR FIN'!$A$1:$O$85,15,0)),0,VLOOKUP($T$256,'TAR FIN'!$A$1:$O$85,15,0))</f>
        <v>331.77</v>
      </c>
      <c r="X256" s="6">
        <f>IF(ISERROR(VLOOKUP($U$256,'TAR FIN'!$A$1:$O$85,15,0)),0,VLOOKUP($U$256,'TAR FIN'!$A$1:$O$85,15,0))</f>
        <v>124.36</v>
      </c>
      <c r="Y256" s="6"/>
      <c r="Z256" s="6">
        <f ca="1">('TUSD BE'!$AM$33+'TUSD BF'!$AM$33+'TUSD CVA'!$AM$33)*(1-CUSTOS!$M$38)</f>
        <v>390.73403238820225</v>
      </c>
      <c r="AA256" s="6">
        <f>('TE BE'!$AB$23+'TE BF'!$AB$23+'TE CVA'!$AB$23)*(1-CUSTOS!$M$38)</f>
        <v>127.65788581931002</v>
      </c>
      <c r="AB256" s="6">
        <f t="shared" si="12"/>
        <v>0</v>
      </c>
      <c r="AC256" s="6">
        <f>(L256-M256)*(W256+X256)+($W$141+$X$141-$W$256-$X$256)*(L256)</f>
        <v>74.01799999999993</v>
      </c>
      <c r="AD256" s="6">
        <f t="shared" si="13"/>
        <v>0</v>
      </c>
      <c r="AE256" s="6">
        <f ca="1">(L256-M256)*(Z256+AA256)+($Z$141+$AA$141-$Z$256-$AA$256)*(L256)</f>
        <v>39.375726553209027</v>
      </c>
      <c r="AF256" s="4" t="s">
        <v>590</v>
      </c>
    </row>
    <row r="257" spans="1:32" ht="11.25" customHeight="1" x14ac:dyDescent="0.25">
      <c r="A257" s="4" t="s">
        <v>21</v>
      </c>
      <c r="B257" s="4" t="s">
        <v>40</v>
      </c>
      <c r="C257" s="4" t="s">
        <v>23</v>
      </c>
      <c r="D257" s="4" t="s">
        <v>41</v>
      </c>
      <c r="E257" s="4" t="s">
        <v>52</v>
      </c>
      <c r="F257" s="4" t="s">
        <v>50</v>
      </c>
      <c r="G257" s="4" t="s">
        <v>25</v>
      </c>
      <c r="H257" s="4" t="s">
        <v>25</v>
      </c>
      <c r="I257" s="5">
        <v>44682</v>
      </c>
      <c r="J257" s="6">
        <v>0</v>
      </c>
      <c r="K257" s="6">
        <v>0</v>
      </c>
      <c r="L257" s="6">
        <v>5.0679999999999996</v>
      </c>
      <c r="M257" s="6">
        <v>5.0679999999999996</v>
      </c>
      <c r="N257" s="6">
        <v>5.0679999999999996</v>
      </c>
      <c r="O257" s="6">
        <v>5.0679999999999996</v>
      </c>
      <c r="P257" s="6">
        <v>0</v>
      </c>
      <c r="Q257" s="4" t="s">
        <v>26</v>
      </c>
      <c r="R257" s="4">
        <v>0</v>
      </c>
      <c r="S257" s="4">
        <v>0</v>
      </c>
      <c r="T257" s="4">
        <v>30</v>
      </c>
      <c r="U257" s="4">
        <v>55</v>
      </c>
      <c r="V257" s="6">
        <f>IF(ISERROR(VLOOKUP($S$257,'TAR FIN'!$A$1:$O$85,15,0)),0,VLOOKUP($S$257,'TAR FIN'!$A$1:$O$85,15,0))</f>
        <v>0</v>
      </c>
      <c r="W257" s="6">
        <f>IF(ISERROR(VLOOKUP($T$257,'TAR FIN'!$A$1:$O$85,15,0)),0,VLOOKUP($T$257,'TAR FIN'!$A$1:$O$85,15,0))</f>
        <v>331.77</v>
      </c>
      <c r="X257" s="6">
        <f>IF(ISERROR(VLOOKUP($U$257,'TAR FIN'!$A$1:$O$85,15,0)),0,VLOOKUP($U$257,'TAR FIN'!$A$1:$O$85,15,0))</f>
        <v>124.36</v>
      </c>
      <c r="Y257" s="6"/>
      <c r="Z257" s="6">
        <f ca="1">('TUSD BE'!$AM$33+'TUSD BF'!$AM$33+'TUSD CVA'!$AM$33)*(1-CUSTOS!$M$38)</f>
        <v>390.73403238820225</v>
      </c>
      <c r="AA257" s="6">
        <f>('TE BE'!$AB$23+'TE BF'!$AB$23+'TE CVA'!$AB$23)*(1-CUSTOS!$M$38)</f>
        <v>127.65788581931002</v>
      </c>
      <c r="AB257" s="6">
        <f t="shared" si="12"/>
        <v>0</v>
      </c>
      <c r="AC257" s="6">
        <f>(L257-M257)*(W257+X257)+($W$141+$X$141-$W$257-$X$257)*(L257)</f>
        <v>315.22959999999972</v>
      </c>
      <c r="AD257" s="6">
        <f t="shared" si="13"/>
        <v>0</v>
      </c>
      <c r="AE257" s="6">
        <f ca="1">(L257-M257)*(Z257+AA257)+($Z$141+$AA$141-$Z$257-$AA$257)*(L257)</f>
        <v>167.69427073249022</v>
      </c>
      <c r="AF257" s="4" t="s">
        <v>590</v>
      </c>
    </row>
    <row r="258" spans="1:32" ht="11.25" customHeight="1" x14ac:dyDescent="0.25">
      <c r="A258" s="4" t="s">
        <v>28</v>
      </c>
      <c r="B258" s="4" t="s">
        <v>40</v>
      </c>
      <c r="C258" s="4" t="s">
        <v>23</v>
      </c>
      <c r="D258" s="4" t="s">
        <v>41</v>
      </c>
      <c r="E258" s="4" t="s">
        <v>52</v>
      </c>
      <c r="F258" s="4" t="s">
        <v>50</v>
      </c>
      <c r="G258" s="4" t="s">
        <v>25</v>
      </c>
      <c r="H258" s="4" t="s">
        <v>25</v>
      </c>
      <c r="I258" s="5">
        <v>44682</v>
      </c>
      <c r="J258" s="6">
        <v>0</v>
      </c>
      <c r="K258" s="6">
        <v>0</v>
      </c>
      <c r="L258" s="6">
        <v>0.1</v>
      </c>
      <c r="M258" s="6">
        <v>0.1</v>
      </c>
      <c r="N258" s="6">
        <v>0.1</v>
      </c>
      <c r="O258" s="6">
        <v>0.1</v>
      </c>
      <c r="P258" s="6">
        <v>0</v>
      </c>
      <c r="Q258" s="4" t="s">
        <v>26</v>
      </c>
      <c r="R258" s="4">
        <v>0</v>
      </c>
      <c r="S258" s="4">
        <v>0</v>
      </c>
      <c r="T258" s="4">
        <v>30</v>
      </c>
      <c r="U258" s="4">
        <v>55</v>
      </c>
      <c r="V258" s="6">
        <f>IF(ISERROR(VLOOKUP($S$258,'TAR FIN'!$A$1:$O$85,15,0)),0,VLOOKUP($S$258,'TAR FIN'!$A$1:$O$85,15,0))</f>
        <v>0</v>
      </c>
      <c r="W258" s="6">
        <f>IF(ISERROR(VLOOKUP($T$258,'TAR FIN'!$A$1:$O$85,15,0)),0,VLOOKUP($T$258,'TAR FIN'!$A$1:$O$85,15,0))</f>
        <v>331.77</v>
      </c>
      <c r="X258" s="6">
        <f>IF(ISERROR(VLOOKUP($U$258,'TAR FIN'!$A$1:$O$85,15,0)),0,VLOOKUP($U$258,'TAR FIN'!$A$1:$O$85,15,0))</f>
        <v>124.36</v>
      </c>
      <c r="Y258" s="6"/>
      <c r="Z258" s="6">
        <f ca="1">('TUSD BE'!$AM$33+'TUSD BF'!$AM$33+'TUSD CVA'!$AM$33)*(1-CUSTOS!$M$38)</f>
        <v>390.73403238820225</v>
      </c>
      <c r="AA258" s="6">
        <f>('TE BE'!$AB$23+'TE BF'!$AB$23+'TE CVA'!$AB$23)*(1-CUSTOS!$M$38)</f>
        <v>127.65788581931002</v>
      </c>
      <c r="AB258" s="6">
        <f t="shared" ref="AB258:AB321" si="14">(J258-K258)*V258</f>
        <v>0</v>
      </c>
      <c r="AC258" s="6">
        <f>(L258-M258)*(W258+X258)+($W$141+$X$141-$W$258-$X$258)*(L258)</f>
        <v>6.2199999999999953</v>
      </c>
      <c r="AD258" s="6">
        <f t="shared" ref="AD258:AD321" si="15">(J258-K258)*Y258</f>
        <v>0</v>
      </c>
      <c r="AE258" s="6">
        <f ca="1">(L258-M258)*(Z258+AA258)+($Z$141+$AA$141-$Z$258-$AA$258)*(L258)</f>
        <v>3.3088845843032804</v>
      </c>
      <c r="AF258" s="4" t="s">
        <v>590</v>
      </c>
    </row>
    <row r="259" spans="1:32" ht="11.25" customHeight="1" x14ac:dyDescent="0.25">
      <c r="A259" s="4" t="s">
        <v>21</v>
      </c>
      <c r="B259" s="4" t="s">
        <v>40</v>
      </c>
      <c r="C259" s="4" t="s">
        <v>23</v>
      </c>
      <c r="D259" s="4" t="s">
        <v>41</v>
      </c>
      <c r="E259" s="4" t="s">
        <v>52</v>
      </c>
      <c r="F259" s="4" t="s">
        <v>50</v>
      </c>
      <c r="G259" s="4" t="s">
        <v>25</v>
      </c>
      <c r="H259" s="4" t="s">
        <v>25</v>
      </c>
      <c r="I259" s="5">
        <v>44713</v>
      </c>
      <c r="J259" s="6">
        <v>0</v>
      </c>
      <c r="K259" s="6">
        <v>0</v>
      </c>
      <c r="L259" s="6">
        <v>5.0439999999999996</v>
      </c>
      <c r="M259" s="6">
        <v>5.0439999999999996</v>
      </c>
      <c r="N259" s="6">
        <v>5.0439999999999996</v>
      </c>
      <c r="O259" s="6">
        <v>5.0439999999999996</v>
      </c>
      <c r="P259" s="6">
        <v>0</v>
      </c>
      <c r="Q259" s="4" t="s">
        <v>26</v>
      </c>
      <c r="R259" s="4">
        <v>0</v>
      </c>
      <c r="S259" s="4">
        <v>0</v>
      </c>
      <c r="T259" s="4">
        <v>30</v>
      </c>
      <c r="U259" s="4">
        <v>55</v>
      </c>
      <c r="V259" s="6">
        <f>IF(ISERROR(VLOOKUP($S$259,'TAR FIN'!$A$1:$O$85,15,0)),0,VLOOKUP($S$259,'TAR FIN'!$A$1:$O$85,15,0))</f>
        <v>0</v>
      </c>
      <c r="W259" s="6">
        <f>IF(ISERROR(VLOOKUP($T$259,'TAR FIN'!$A$1:$O$85,15,0)),0,VLOOKUP($T$259,'TAR FIN'!$A$1:$O$85,15,0))</f>
        <v>331.77</v>
      </c>
      <c r="X259" s="6">
        <f>IF(ISERROR(VLOOKUP($U$259,'TAR FIN'!$A$1:$O$85,15,0)),0,VLOOKUP($U$259,'TAR FIN'!$A$1:$O$85,15,0))</f>
        <v>124.36</v>
      </c>
      <c r="Y259" s="6"/>
      <c r="Z259" s="6">
        <f ca="1">('TUSD BE'!$AM$33+'TUSD BF'!$AM$33+'TUSD CVA'!$AM$33)*(1-CUSTOS!$M$38)</f>
        <v>390.73403238820225</v>
      </c>
      <c r="AA259" s="6">
        <f>('TE BE'!$AB$23+'TE BF'!$AB$23+'TE CVA'!$AB$23)*(1-CUSTOS!$M$38)</f>
        <v>127.65788581931002</v>
      </c>
      <c r="AB259" s="6">
        <f t="shared" si="14"/>
        <v>0</v>
      </c>
      <c r="AC259" s="6">
        <f>(L259-M259)*(W259+X259)+($W$141+$X$141-$W$259-$X$259)*(L259)</f>
        <v>313.73679999999968</v>
      </c>
      <c r="AD259" s="6">
        <f t="shared" si="15"/>
        <v>0</v>
      </c>
      <c r="AE259" s="6">
        <f ca="1">(L259-M259)*(Z259+AA259)+($Z$141+$AA$141-$Z$259-$AA$259)*(L259)</f>
        <v>166.90013843225742</v>
      </c>
      <c r="AF259" s="4" t="s">
        <v>590</v>
      </c>
    </row>
    <row r="260" spans="1:32" ht="11.25" customHeight="1" x14ac:dyDescent="0.25">
      <c r="A260" s="4" t="s">
        <v>28</v>
      </c>
      <c r="B260" s="4" t="s">
        <v>40</v>
      </c>
      <c r="C260" s="4" t="s">
        <v>23</v>
      </c>
      <c r="D260" s="4" t="s">
        <v>41</v>
      </c>
      <c r="E260" s="4" t="s">
        <v>52</v>
      </c>
      <c r="F260" s="4" t="s">
        <v>50</v>
      </c>
      <c r="G260" s="4" t="s">
        <v>25</v>
      </c>
      <c r="H260" s="4" t="s">
        <v>25</v>
      </c>
      <c r="I260" s="5">
        <v>44713</v>
      </c>
      <c r="J260" s="6">
        <v>0</v>
      </c>
      <c r="K260" s="6">
        <v>0</v>
      </c>
      <c r="L260" s="6">
        <v>0.2</v>
      </c>
      <c r="M260" s="6">
        <v>0.2</v>
      </c>
      <c r="N260" s="6">
        <v>0.2</v>
      </c>
      <c r="O260" s="6">
        <v>0.2</v>
      </c>
      <c r="P260" s="6">
        <v>0</v>
      </c>
      <c r="Q260" s="4" t="s">
        <v>26</v>
      </c>
      <c r="R260" s="4">
        <v>0</v>
      </c>
      <c r="S260" s="4">
        <v>0</v>
      </c>
      <c r="T260" s="4">
        <v>30</v>
      </c>
      <c r="U260" s="4">
        <v>55</v>
      </c>
      <c r="V260" s="6">
        <f>IF(ISERROR(VLOOKUP($S$260,'TAR FIN'!$A$1:$O$85,15,0)),0,VLOOKUP($S$260,'TAR FIN'!$A$1:$O$85,15,0))</f>
        <v>0</v>
      </c>
      <c r="W260" s="6">
        <f>IF(ISERROR(VLOOKUP($T$260,'TAR FIN'!$A$1:$O$85,15,0)),0,VLOOKUP($T$260,'TAR FIN'!$A$1:$O$85,15,0))</f>
        <v>331.77</v>
      </c>
      <c r="X260" s="6">
        <f>IF(ISERROR(VLOOKUP($U$260,'TAR FIN'!$A$1:$O$85,15,0)),0,VLOOKUP($U$260,'TAR FIN'!$A$1:$O$85,15,0))</f>
        <v>124.36</v>
      </c>
      <c r="Y260" s="6"/>
      <c r="Z260" s="6">
        <f ca="1">('TUSD BE'!$AM$33+'TUSD BF'!$AM$33+'TUSD CVA'!$AM$33)*(1-CUSTOS!$M$38)</f>
        <v>390.73403238820225</v>
      </c>
      <c r="AA260" s="6">
        <f>('TE BE'!$AB$23+'TE BF'!$AB$23+'TE CVA'!$AB$23)*(1-CUSTOS!$M$38)</f>
        <v>127.65788581931002</v>
      </c>
      <c r="AB260" s="6">
        <f t="shared" si="14"/>
        <v>0</v>
      </c>
      <c r="AC260" s="6">
        <f>(L260-M260)*(W260+X260)+($W$141+$X$141-$W$260-$X$260)*(L260)</f>
        <v>12.439999999999991</v>
      </c>
      <c r="AD260" s="6">
        <f t="shared" si="15"/>
        <v>0</v>
      </c>
      <c r="AE260" s="6">
        <f ca="1">(L260-M260)*(Z260+AA260)+($Z$141+$AA$141-$Z$260-$AA$260)*(L260)</f>
        <v>6.6177691686065607</v>
      </c>
      <c r="AF260" s="4" t="s">
        <v>590</v>
      </c>
    </row>
    <row r="261" spans="1:32" ht="11.25" customHeight="1" x14ac:dyDescent="0.25">
      <c r="A261" s="4" t="s">
        <v>21</v>
      </c>
      <c r="B261" s="4" t="s">
        <v>40</v>
      </c>
      <c r="C261" s="4" t="s">
        <v>23</v>
      </c>
      <c r="D261" s="4" t="s">
        <v>41</v>
      </c>
      <c r="E261" s="4" t="s">
        <v>52</v>
      </c>
      <c r="F261" s="4" t="s">
        <v>50</v>
      </c>
      <c r="G261" s="4" t="s">
        <v>25</v>
      </c>
      <c r="H261" s="4" t="s">
        <v>25</v>
      </c>
      <c r="I261" s="5">
        <v>44743</v>
      </c>
      <c r="J261" s="6">
        <v>0</v>
      </c>
      <c r="K261" s="6">
        <v>0</v>
      </c>
      <c r="L261" s="6">
        <v>3.3410000000000002</v>
      </c>
      <c r="M261" s="6">
        <v>3.3410000000000002</v>
      </c>
      <c r="N261" s="6">
        <v>3.3410000000000002</v>
      </c>
      <c r="O261" s="6">
        <v>3.3410000000000002</v>
      </c>
      <c r="P261" s="6">
        <v>0</v>
      </c>
      <c r="Q261" s="4" t="s">
        <v>26</v>
      </c>
      <c r="R261" s="4">
        <v>0</v>
      </c>
      <c r="S261" s="4">
        <v>0</v>
      </c>
      <c r="T261" s="4">
        <v>30</v>
      </c>
      <c r="U261" s="4">
        <v>55</v>
      </c>
      <c r="V261" s="6">
        <f>IF(ISERROR(VLOOKUP($S$261,'TAR FIN'!$A$1:$O$85,15,0)),0,VLOOKUP($S$261,'TAR FIN'!$A$1:$O$85,15,0))</f>
        <v>0</v>
      </c>
      <c r="W261" s="6">
        <f>IF(ISERROR(VLOOKUP($T$261,'TAR FIN'!$A$1:$O$85,15,0)),0,VLOOKUP($T$261,'TAR FIN'!$A$1:$O$85,15,0))</f>
        <v>331.77</v>
      </c>
      <c r="X261" s="6">
        <f>IF(ISERROR(VLOOKUP($U$261,'TAR FIN'!$A$1:$O$85,15,0)),0,VLOOKUP($U$261,'TAR FIN'!$A$1:$O$85,15,0))</f>
        <v>124.36</v>
      </c>
      <c r="Y261" s="6"/>
      <c r="Z261" s="6">
        <f ca="1">('TUSD BE'!$AM$33+'TUSD BF'!$AM$33+'TUSD CVA'!$AM$33)*(1-CUSTOS!$M$38)</f>
        <v>390.73403238820225</v>
      </c>
      <c r="AA261" s="6">
        <f>('TE BE'!$AB$23+'TE BF'!$AB$23+'TE CVA'!$AB$23)*(1-CUSTOS!$M$38)</f>
        <v>127.65788581931002</v>
      </c>
      <c r="AB261" s="6">
        <f t="shared" si="14"/>
        <v>0</v>
      </c>
      <c r="AC261" s="6">
        <f>(L261-M261)*(W261+X261)+($W$141+$X$141-$W$261-$X$261)*(L261)</f>
        <v>207.81019999999984</v>
      </c>
      <c r="AD261" s="6">
        <f t="shared" si="15"/>
        <v>0</v>
      </c>
      <c r="AE261" s="6">
        <f ca="1">(L261-M261)*(Z261+AA261)+($Z$141+$AA$141-$Z$261-$AA$261)*(L261)</f>
        <v>110.54983396157259</v>
      </c>
      <c r="AF261" s="4" t="s">
        <v>590</v>
      </c>
    </row>
    <row r="262" spans="1:32" ht="11.25" customHeight="1" x14ac:dyDescent="0.25">
      <c r="A262" s="4" t="s">
        <v>28</v>
      </c>
      <c r="B262" s="4" t="s">
        <v>40</v>
      </c>
      <c r="C262" s="4" t="s">
        <v>23</v>
      </c>
      <c r="D262" s="4" t="s">
        <v>41</v>
      </c>
      <c r="E262" s="4" t="s">
        <v>52</v>
      </c>
      <c r="F262" s="4" t="s">
        <v>50</v>
      </c>
      <c r="G262" s="4" t="s">
        <v>25</v>
      </c>
      <c r="H262" s="4" t="s">
        <v>25</v>
      </c>
      <c r="I262" s="5">
        <v>44743</v>
      </c>
      <c r="J262" s="6">
        <v>0</v>
      </c>
      <c r="K262" s="6">
        <v>0</v>
      </c>
      <c r="L262" s="6">
        <v>0.2</v>
      </c>
      <c r="M262" s="6">
        <v>0.2</v>
      </c>
      <c r="N262" s="6">
        <v>0.2</v>
      </c>
      <c r="O262" s="6">
        <v>0.2</v>
      </c>
      <c r="P262" s="6">
        <v>0</v>
      </c>
      <c r="Q262" s="4" t="s">
        <v>26</v>
      </c>
      <c r="R262" s="4">
        <v>0</v>
      </c>
      <c r="S262" s="4">
        <v>0</v>
      </c>
      <c r="T262" s="4">
        <v>30</v>
      </c>
      <c r="U262" s="4">
        <v>55</v>
      </c>
      <c r="V262" s="6">
        <f>IF(ISERROR(VLOOKUP($S$262,'TAR FIN'!$A$1:$O$85,15,0)),0,VLOOKUP($S$262,'TAR FIN'!$A$1:$O$85,15,0))</f>
        <v>0</v>
      </c>
      <c r="W262" s="6">
        <f>IF(ISERROR(VLOOKUP($T$262,'TAR FIN'!$A$1:$O$85,15,0)),0,VLOOKUP($T$262,'TAR FIN'!$A$1:$O$85,15,0))</f>
        <v>331.77</v>
      </c>
      <c r="X262" s="6">
        <f>IF(ISERROR(VLOOKUP($U$262,'TAR FIN'!$A$1:$O$85,15,0)),0,VLOOKUP($U$262,'TAR FIN'!$A$1:$O$85,15,0))</f>
        <v>124.36</v>
      </c>
      <c r="Y262" s="6"/>
      <c r="Z262" s="6">
        <f ca="1">('TUSD BE'!$AM$33+'TUSD BF'!$AM$33+'TUSD CVA'!$AM$33)*(1-CUSTOS!$M$38)</f>
        <v>390.73403238820225</v>
      </c>
      <c r="AA262" s="6">
        <f>('TE BE'!$AB$23+'TE BF'!$AB$23+'TE CVA'!$AB$23)*(1-CUSTOS!$M$38)</f>
        <v>127.65788581931002</v>
      </c>
      <c r="AB262" s="6">
        <f t="shared" si="14"/>
        <v>0</v>
      </c>
      <c r="AC262" s="6">
        <f>(L262-M262)*(W262+X262)+($W$141+$X$141-$W$262-$X$262)*(L262)</f>
        <v>12.439999999999991</v>
      </c>
      <c r="AD262" s="6">
        <f t="shared" si="15"/>
        <v>0</v>
      </c>
      <c r="AE262" s="6">
        <f ca="1">(L262-M262)*(Z262+AA262)+($Z$141+$AA$141-$Z$262-$AA$262)*(L262)</f>
        <v>6.6177691686065607</v>
      </c>
      <c r="AF262" s="4" t="s">
        <v>590</v>
      </c>
    </row>
    <row r="263" spans="1:32" ht="11.25" customHeight="1" x14ac:dyDescent="0.25">
      <c r="A263" s="4" t="s">
        <v>21</v>
      </c>
      <c r="B263" s="4" t="s">
        <v>40</v>
      </c>
      <c r="C263" s="4" t="s">
        <v>23</v>
      </c>
      <c r="D263" s="4" t="s">
        <v>41</v>
      </c>
      <c r="E263" s="4" t="s">
        <v>52</v>
      </c>
      <c r="F263" s="4" t="s">
        <v>50</v>
      </c>
      <c r="G263" s="4" t="s">
        <v>25</v>
      </c>
      <c r="H263" s="4" t="s">
        <v>25</v>
      </c>
      <c r="I263" s="5">
        <v>44774</v>
      </c>
      <c r="J263" s="6">
        <v>0</v>
      </c>
      <c r="K263" s="6">
        <v>0</v>
      </c>
      <c r="L263" s="6">
        <v>3.7090000000000001</v>
      </c>
      <c r="M263" s="6">
        <v>3.7090000000000001</v>
      </c>
      <c r="N263" s="6">
        <v>3.7090000000000001</v>
      </c>
      <c r="O263" s="6">
        <v>3.7090000000000001</v>
      </c>
      <c r="P263" s="6">
        <v>0</v>
      </c>
      <c r="Q263" s="4" t="s">
        <v>26</v>
      </c>
      <c r="R263" s="4">
        <v>0</v>
      </c>
      <c r="S263" s="4">
        <v>0</v>
      </c>
      <c r="T263" s="4">
        <v>30</v>
      </c>
      <c r="U263" s="4">
        <v>55</v>
      </c>
      <c r="V263" s="6">
        <f>IF(ISERROR(VLOOKUP($S$263,'TAR FIN'!$A$1:$O$85,15,0)),0,VLOOKUP($S$263,'TAR FIN'!$A$1:$O$85,15,0))</f>
        <v>0</v>
      </c>
      <c r="W263" s="6">
        <f>IF(ISERROR(VLOOKUP($T$263,'TAR FIN'!$A$1:$O$85,15,0)),0,VLOOKUP($T$263,'TAR FIN'!$A$1:$O$85,15,0))</f>
        <v>331.77</v>
      </c>
      <c r="X263" s="6">
        <f>IF(ISERROR(VLOOKUP($U$263,'TAR FIN'!$A$1:$O$85,15,0)),0,VLOOKUP($U$263,'TAR FIN'!$A$1:$O$85,15,0))</f>
        <v>124.36</v>
      </c>
      <c r="Y263" s="6"/>
      <c r="Z263" s="6">
        <f ca="1">('TUSD BE'!$AM$33+'TUSD BF'!$AM$33+'TUSD CVA'!$AM$33)*(1-CUSTOS!$M$38)</f>
        <v>390.73403238820225</v>
      </c>
      <c r="AA263" s="6">
        <f>('TE BE'!$AB$23+'TE BF'!$AB$23+'TE CVA'!$AB$23)*(1-CUSTOS!$M$38)</f>
        <v>127.65788581931002</v>
      </c>
      <c r="AB263" s="6">
        <f t="shared" si="14"/>
        <v>0</v>
      </c>
      <c r="AC263" s="6">
        <f>(L263-M263)*(W263+X263)+($W$141+$X$141-$W$263-$X$263)*(L263)</f>
        <v>230.69979999999981</v>
      </c>
      <c r="AD263" s="6">
        <f t="shared" si="15"/>
        <v>0</v>
      </c>
      <c r="AE263" s="6">
        <f ca="1">(L263-M263)*(Z263+AA263)+($Z$141+$AA$141-$Z$263-$AA$263)*(L263)</f>
        <v>122.72652923180866</v>
      </c>
      <c r="AF263" s="4" t="s">
        <v>590</v>
      </c>
    </row>
    <row r="264" spans="1:32" ht="11.25" customHeight="1" x14ac:dyDescent="0.25">
      <c r="A264" s="4" t="s">
        <v>28</v>
      </c>
      <c r="B264" s="4" t="s">
        <v>40</v>
      </c>
      <c r="C264" s="4" t="s">
        <v>23</v>
      </c>
      <c r="D264" s="4" t="s">
        <v>41</v>
      </c>
      <c r="E264" s="4" t="s">
        <v>52</v>
      </c>
      <c r="F264" s="4" t="s">
        <v>50</v>
      </c>
      <c r="G264" s="4" t="s">
        <v>25</v>
      </c>
      <c r="H264" s="4" t="s">
        <v>25</v>
      </c>
      <c r="I264" s="5">
        <v>44774</v>
      </c>
      <c r="J264" s="6">
        <v>0</v>
      </c>
      <c r="K264" s="6">
        <v>0</v>
      </c>
      <c r="L264" s="6">
        <v>0.2</v>
      </c>
      <c r="M264" s="6">
        <v>0.2</v>
      </c>
      <c r="N264" s="6">
        <v>0.2</v>
      </c>
      <c r="O264" s="6">
        <v>0.2</v>
      </c>
      <c r="P264" s="6">
        <v>0</v>
      </c>
      <c r="Q264" s="4" t="s">
        <v>26</v>
      </c>
      <c r="R264" s="4">
        <v>0</v>
      </c>
      <c r="S264" s="4">
        <v>0</v>
      </c>
      <c r="T264" s="4">
        <v>30</v>
      </c>
      <c r="U264" s="4">
        <v>55</v>
      </c>
      <c r="V264" s="6">
        <f>IF(ISERROR(VLOOKUP($S$264,'TAR FIN'!$A$1:$O$85,15,0)),0,VLOOKUP($S$264,'TAR FIN'!$A$1:$O$85,15,0))</f>
        <v>0</v>
      </c>
      <c r="W264" s="6">
        <f>IF(ISERROR(VLOOKUP($T$264,'TAR FIN'!$A$1:$O$85,15,0)),0,VLOOKUP($T$264,'TAR FIN'!$A$1:$O$85,15,0))</f>
        <v>331.77</v>
      </c>
      <c r="X264" s="6">
        <f>IF(ISERROR(VLOOKUP($U$264,'TAR FIN'!$A$1:$O$85,15,0)),0,VLOOKUP($U$264,'TAR FIN'!$A$1:$O$85,15,0))</f>
        <v>124.36</v>
      </c>
      <c r="Y264" s="6"/>
      <c r="Z264" s="6">
        <f ca="1">('TUSD BE'!$AM$33+'TUSD BF'!$AM$33+'TUSD CVA'!$AM$33)*(1-CUSTOS!$M$38)</f>
        <v>390.73403238820225</v>
      </c>
      <c r="AA264" s="6">
        <f>('TE BE'!$AB$23+'TE BF'!$AB$23+'TE CVA'!$AB$23)*(1-CUSTOS!$M$38)</f>
        <v>127.65788581931002</v>
      </c>
      <c r="AB264" s="6">
        <f t="shared" si="14"/>
        <v>0</v>
      </c>
      <c r="AC264" s="6">
        <f>(L264-M264)*(W264+X264)+($W$141+$X$141-$W$264-$X$264)*(L264)</f>
        <v>12.439999999999991</v>
      </c>
      <c r="AD264" s="6">
        <f t="shared" si="15"/>
        <v>0</v>
      </c>
      <c r="AE264" s="6">
        <f ca="1">(L264-M264)*(Z264+AA264)+($Z$141+$AA$141-$Z$264-$AA$264)*(L264)</f>
        <v>6.6177691686065607</v>
      </c>
      <c r="AF264" s="4" t="s">
        <v>590</v>
      </c>
    </row>
    <row r="265" spans="1:32" ht="11.25" customHeight="1" x14ac:dyDescent="0.25">
      <c r="A265" s="4" t="s">
        <v>21</v>
      </c>
      <c r="B265" s="4" t="s">
        <v>40</v>
      </c>
      <c r="C265" s="4" t="s">
        <v>23</v>
      </c>
      <c r="D265" s="4" t="s">
        <v>41</v>
      </c>
      <c r="E265" s="4" t="s">
        <v>52</v>
      </c>
      <c r="F265" s="4" t="s">
        <v>51</v>
      </c>
      <c r="G265" s="4" t="s">
        <v>25</v>
      </c>
      <c r="H265" s="4" t="s">
        <v>25</v>
      </c>
      <c r="I265" s="5">
        <v>44440</v>
      </c>
      <c r="J265" s="6">
        <v>0</v>
      </c>
      <c r="K265" s="6">
        <v>0</v>
      </c>
      <c r="L265" s="6">
        <v>10.45</v>
      </c>
      <c r="M265" s="6">
        <v>4.18</v>
      </c>
      <c r="N265" s="6">
        <v>10.45</v>
      </c>
      <c r="O265" s="6">
        <v>4.18</v>
      </c>
      <c r="P265" s="6">
        <v>0</v>
      </c>
      <c r="Q265" s="4" t="s">
        <v>26</v>
      </c>
      <c r="R265" s="4">
        <v>0</v>
      </c>
      <c r="S265" s="4">
        <v>0</v>
      </c>
      <c r="T265" s="4">
        <v>30</v>
      </c>
      <c r="U265" s="4">
        <v>55</v>
      </c>
      <c r="V265" s="6">
        <f>IF(ISERROR(VLOOKUP($S$265,'TAR FIN'!$A$1:$O$85,15,0)),0,VLOOKUP($S$265,'TAR FIN'!$A$1:$O$85,15,0))</f>
        <v>0</v>
      </c>
      <c r="W265" s="6">
        <f>IF(ISERROR(VLOOKUP($T$265,'TAR FIN'!$A$1:$O$85,15,0)),0,VLOOKUP($T$265,'TAR FIN'!$A$1:$O$85,15,0))</f>
        <v>331.77</v>
      </c>
      <c r="X265" s="6">
        <f>IF(ISERROR(VLOOKUP($U$265,'TAR FIN'!$A$1:$O$85,15,0)),0,VLOOKUP($U$265,'TAR FIN'!$A$1:$O$85,15,0))</f>
        <v>124.36</v>
      </c>
      <c r="Y265" s="6"/>
      <c r="Z265" s="6">
        <f ca="1">('TUSD BE'!$AM$33+'TUSD BF'!$AM$33+'TUSD CVA'!$AM$33)*(1-CUSTOS!$M$38)</f>
        <v>390.73403238820225</v>
      </c>
      <c r="AA265" s="6">
        <f>('TE BE'!$AB$23+'TE BF'!$AB$23+'TE CVA'!$AB$23)*(1-CUSTOS!$M$38)</f>
        <v>127.65788581931002</v>
      </c>
      <c r="AB265" s="6">
        <f t="shared" si="14"/>
        <v>0</v>
      </c>
      <c r="AC265" s="6">
        <f>(L265-M265)*(W265+X265)+($W$141+$X$141-$W$265-$X$265)*(L265)</f>
        <v>3509.925099999999</v>
      </c>
      <c r="AD265" s="6">
        <f t="shared" si="15"/>
        <v>0</v>
      </c>
      <c r="AE265" s="6">
        <f ca="1">(L265-M265)*(Z265+AA265)+($Z$141+$AA$141-$Z$265-$AA$265)*(L265)</f>
        <v>3596.0957662207943</v>
      </c>
      <c r="AF265" s="4" t="s">
        <v>592</v>
      </c>
    </row>
    <row r="266" spans="1:32" ht="11.25" customHeight="1" x14ac:dyDescent="0.25">
      <c r="A266" s="4" t="s">
        <v>28</v>
      </c>
      <c r="B266" s="4" t="s">
        <v>40</v>
      </c>
      <c r="C266" s="4" t="s">
        <v>23</v>
      </c>
      <c r="D266" s="4" t="s">
        <v>41</v>
      </c>
      <c r="E266" s="4" t="s">
        <v>52</v>
      </c>
      <c r="F266" s="4" t="s">
        <v>51</v>
      </c>
      <c r="G266" s="4" t="s">
        <v>25</v>
      </c>
      <c r="H266" s="4" t="s">
        <v>25</v>
      </c>
      <c r="I266" s="5">
        <v>44440</v>
      </c>
      <c r="J266" s="6">
        <v>0</v>
      </c>
      <c r="K266" s="6">
        <v>0</v>
      </c>
      <c r="L266" s="6">
        <v>0.05</v>
      </c>
      <c r="M266" s="6">
        <v>0.02</v>
      </c>
      <c r="N266" s="6">
        <v>0.05</v>
      </c>
      <c r="O266" s="6">
        <v>0.02</v>
      </c>
      <c r="P266" s="6">
        <v>0</v>
      </c>
      <c r="Q266" s="4" t="s">
        <v>26</v>
      </c>
      <c r="R266" s="4">
        <v>0</v>
      </c>
      <c r="S266" s="4">
        <v>0</v>
      </c>
      <c r="T266" s="4">
        <v>30</v>
      </c>
      <c r="U266" s="4">
        <v>55</v>
      </c>
      <c r="V266" s="6">
        <f>IF(ISERROR(VLOOKUP($S$266,'TAR FIN'!$A$1:$O$85,15,0)),0,VLOOKUP($S$266,'TAR FIN'!$A$1:$O$85,15,0))</f>
        <v>0</v>
      </c>
      <c r="W266" s="6">
        <f>IF(ISERROR(VLOOKUP($T$266,'TAR FIN'!$A$1:$O$85,15,0)),0,VLOOKUP($T$266,'TAR FIN'!$A$1:$O$85,15,0))</f>
        <v>331.77</v>
      </c>
      <c r="X266" s="6">
        <f>IF(ISERROR(VLOOKUP($U$266,'TAR FIN'!$A$1:$O$85,15,0)),0,VLOOKUP($U$266,'TAR FIN'!$A$1:$O$85,15,0))</f>
        <v>124.36</v>
      </c>
      <c r="Y266" s="6"/>
      <c r="Z266" s="6">
        <f ca="1">('TUSD BE'!$AM$33+'TUSD BF'!$AM$33+'TUSD CVA'!$AM$33)*(1-CUSTOS!$M$38)</f>
        <v>390.73403238820225</v>
      </c>
      <c r="AA266" s="6">
        <f>('TE BE'!$AB$23+'TE BF'!$AB$23+'TE CVA'!$AB$23)*(1-CUSTOS!$M$38)</f>
        <v>127.65788581931002</v>
      </c>
      <c r="AB266" s="6">
        <f t="shared" si="14"/>
        <v>0</v>
      </c>
      <c r="AC266" s="6">
        <f>(L266-M266)*(W266+X266)+($W$141+$X$141-$W$266-$X$266)*(L266)</f>
        <v>16.793900000000001</v>
      </c>
      <c r="AD266" s="6">
        <f t="shared" si="15"/>
        <v>0</v>
      </c>
      <c r="AE266" s="6">
        <f ca="1">(L266-M266)*(Z266+AA266)+($Z$141+$AA$141-$Z$266-$AA$266)*(L266)</f>
        <v>17.20619983837701</v>
      </c>
      <c r="AF266" s="4" t="s">
        <v>592</v>
      </c>
    </row>
    <row r="267" spans="1:32" ht="11.25" customHeight="1" x14ac:dyDescent="0.25">
      <c r="A267" s="4" t="s">
        <v>21</v>
      </c>
      <c r="B267" s="4" t="s">
        <v>40</v>
      </c>
      <c r="C267" s="4" t="s">
        <v>23</v>
      </c>
      <c r="D267" s="4" t="s">
        <v>41</v>
      </c>
      <c r="E267" s="4" t="s">
        <v>52</v>
      </c>
      <c r="F267" s="4" t="s">
        <v>51</v>
      </c>
      <c r="G267" s="4" t="s">
        <v>25</v>
      </c>
      <c r="H267" s="4" t="s">
        <v>25</v>
      </c>
      <c r="I267" s="5">
        <v>44470</v>
      </c>
      <c r="J267" s="6">
        <v>0</v>
      </c>
      <c r="K267" s="6">
        <v>0</v>
      </c>
      <c r="L267" s="6">
        <v>9.8000000000000007</v>
      </c>
      <c r="M267" s="6">
        <v>3.92</v>
      </c>
      <c r="N267" s="6">
        <v>9.8000000000000007</v>
      </c>
      <c r="O267" s="6">
        <v>3.92</v>
      </c>
      <c r="P267" s="6">
        <v>0</v>
      </c>
      <c r="Q267" s="4" t="s">
        <v>26</v>
      </c>
      <c r="R267" s="4">
        <v>0</v>
      </c>
      <c r="S267" s="4">
        <v>0</v>
      </c>
      <c r="T267" s="4">
        <v>30</v>
      </c>
      <c r="U267" s="4">
        <v>55</v>
      </c>
      <c r="V267" s="6">
        <f>IF(ISERROR(VLOOKUP($S$267,'TAR FIN'!$A$1:$O$85,15,0)),0,VLOOKUP($S$267,'TAR FIN'!$A$1:$O$85,15,0))</f>
        <v>0</v>
      </c>
      <c r="W267" s="6">
        <f>IF(ISERROR(VLOOKUP($T$267,'TAR FIN'!$A$1:$O$85,15,0)),0,VLOOKUP($T$267,'TAR FIN'!$A$1:$O$85,15,0))</f>
        <v>331.77</v>
      </c>
      <c r="X267" s="6">
        <f>IF(ISERROR(VLOOKUP($U$267,'TAR FIN'!$A$1:$O$85,15,0)),0,VLOOKUP($U$267,'TAR FIN'!$A$1:$O$85,15,0))</f>
        <v>124.36</v>
      </c>
      <c r="Y267" s="6"/>
      <c r="Z267" s="6">
        <f ca="1">('TUSD BE'!$AM$33+'TUSD BF'!$AM$33+'TUSD CVA'!$AM$33)*(1-CUSTOS!$M$38)</f>
        <v>390.73403238820225</v>
      </c>
      <c r="AA267" s="6">
        <f>('TE BE'!$AB$23+'TE BF'!$AB$23+'TE CVA'!$AB$23)*(1-CUSTOS!$M$38)</f>
        <v>127.65788581931002</v>
      </c>
      <c r="AB267" s="6">
        <f t="shared" si="14"/>
        <v>0</v>
      </c>
      <c r="AC267" s="6">
        <f>(L267-M267)*(W267+X267)+($W$141+$X$141-$W$267-$X$267)*(L267)</f>
        <v>3291.6043999999997</v>
      </c>
      <c r="AD267" s="6">
        <f t="shared" si="15"/>
        <v>0</v>
      </c>
      <c r="AE267" s="6">
        <f ca="1">(L267-M267)*(Z267+AA267)+($Z$141+$AA$141-$Z$267-$AA$267)*(L267)</f>
        <v>3372.4151683218943</v>
      </c>
      <c r="AF267" s="4" t="s">
        <v>592</v>
      </c>
    </row>
    <row r="268" spans="1:32" ht="11.25" customHeight="1" x14ac:dyDescent="0.25">
      <c r="A268" s="4" t="s">
        <v>28</v>
      </c>
      <c r="B268" s="4" t="s">
        <v>40</v>
      </c>
      <c r="C268" s="4" t="s">
        <v>23</v>
      </c>
      <c r="D268" s="4" t="s">
        <v>41</v>
      </c>
      <c r="E268" s="4" t="s">
        <v>52</v>
      </c>
      <c r="F268" s="4" t="s">
        <v>51</v>
      </c>
      <c r="G268" s="4" t="s">
        <v>25</v>
      </c>
      <c r="H268" s="4" t="s">
        <v>25</v>
      </c>
      <c r="I268" s="5">
        <v>44470</v>
      </c>
      <c r="J268" s="6">
        <v>0</v>
      </c>
      <c r="K268" s="6">
        <v>0</v>
      </c>
      <c r="L268" s="6">
        <v>0.33200000000000002</v>
      </c>
      <c r="M268" s="6">
        <v>0.1328</v>
      </c>
      <c r="N268" s="6">
        <v>0.33200000000000002</v>
      </c>
      <c r="O268" s="6">
        <v>0.1328</v>
      </c>
      <c r="P268" s="6">
        <v>0</v>
      </c>
      <c r="Q268" s="4" t="s">
        <v>26</v>
      </c>
      <c r="R268" s="4">
        <v>0</v>
      </c>
      <c r="S268" s="4">
        <v>0</v>
      </c>
      <c r="T268" s="4">
        <v>30</v>
      </c>
      <c r="U268" s="4">
        <v>55</v>
      </c>
      <c r="V268" s="6">
        <f>IF(ISERROR(VLOOKUP($S$268,'TAR FIN'!$A$1:$O$85,15,0)),0,VLOOKUP($S$268,'TAR FIN'!$A$1:$O$85,15,0))</f>
        <v>0</v>
      </c>
      <c r="W268" s="6">
        <f>IF(ISERROR(VLOOKUP($T$268,'TAR FIN'!$A$1:$O$85,15,0)),0,VLOOKUP($T$268,'TAR FIN'!$A$1:$O$85,15,0))</f>
        <v>331.77</v>
      </c>
      <c r="X268" s="6">
        <f>IF(ISERROR(VLOOKUP($U$268,'TAR FIN'!$A$1:$O$85,15,0)),0,VLOOKUP($U$268,'TAR FIN'!$A$1:$O$85,15,0))</f>
        <v>124.36</v>
      </c>
      <c r="Y268" s="6"/>
      <c r="Z268" s="6">
        <f ca="1">('TUSD BE'!$AM$33+'TUSD BF'!$AM$33+'TUSD CVA'!$AM$33)*(1-CUSTOS!$M$38)</f>
        <v>390.73403238820225</v>
      </c>
      <c r="AA268" s="6">
        <f>('TE BE'!$AB$23+'TE BF'!$AB$23+'TE CVA'!$AB$23)*(1-CUSTOS!$M$38)</f>
        <v>127.65788581931002</v>
      </c>
      <c r="AB268" s="6">
        <f t="shared" si="14"/>
        <v>0</v>
      </c>
      <c r="AC268" s="6">
        <f>(L268-M268)*(W268+X268)+($W$141+$X$141-$W$268-$X$268)*(L268)</f>
        <v>111.51149599999999</v>
      </c>
      <c r="AD268" s="6">
        <f t="shared" si="15"/>
        <v>0</v>
      </c>
      <c r="AE268" s="6">
        <f ca="1">(L268-M268)*(Z268+AA268)+($Z$141+$AA$141-$Z$268-$AA$268)*(L268)</f>
        <v>114.24916692682335</v>
      </c>
      <c r="AF268" s="4" t="s">
        <v>592</v>
      </c>
    </row>
    <row r="269" spans="1:32" ht="11.25" customHeight="1" x14ac:dyDescent="0.25">
      <c r="A269" s="4" t="s">
        <v>21</v>
      </c>
      <c r="B269" s="4" t="s">
        <v>40</v>
      </c>
      <c r="C269" s="4" t="s">
        <v>23</v>
      </c>
      <c r="D269" s="4" t="s">
        <v>41</v>
      </c>
      <c r="E269" s="4" t="s">
        <v>52</v>
      </c>
      <c r="F269" s="4" t="s">
        <v>51</v>
      </c>
      <c r="G269" s="4" t="s">
        <v>25</v>
      </c>
      <c r="H269" s="4" t="s">
        <v>25</v>
      </c>
      <c r="I269" s="5">
        <v>44501</v>
      </c>
      <c r="J269" s="6">
        <v>0</v>
      </c>
      <c r="K269" s="6">
        <v>0</v>
      </c>
      <c r="L269" s="6">
        <v>7.8129999999999997</v>
      </c>
      <c r="M269" s="6">
        <v>3.1252</v>
      </c>
      <c r="N269" s="6">
        <v>7.8129999999999997</v>
      </c>
      <c r="O269" s="6">
        <v>3.1252</v>
      </c>
      <c r="P269" s="6">
        <v>0</v>
      </c>
      <c r="Q269" s="4" t="s">
        <v>26</v>
      </c>
      <c r="R269" s="4">
        <v>0</v>
      </c>
      <c r="S269" s="4">
        <v>0</v>
      </c>
      <c r="T269" s="4">
        <v>30</v>
      </c>
      <c r="U269" s="4">
        <v>55</v>
      </c>
      <c r="V269" s="6">
        <f>IF(ISERROR(VLOOKUP($S$269,'TAR FIN'!$A$1:$O$85,15,0)),0,VLOOKUP($S$269,'TAR FIN'!$A$1:$O$85,15,0))</f>
        <v>0</v>
      </c>
      <c r="W269" s="6">
        <f>IF(ISERROR(VLOOKUP($T$269,'TAR FIN'!$A$1:$O$85,15,0)),0,VLOOKUP($T$269,'TAR FIN'!$A$1:$O$85,15,0))</f>
        <v>331.77</v>
      </c>
      <c r="X269" s="6">
        <f>IF(ISERROR(VLOOKUP($U$269,'TAR FIN'!$A$1:$O$85,15,0)),0,VLOOKUP($U$269,'TAR FIN'!$A$1:$O$85,15,0))</f>
        <v>124.36</v>
      </c>
      <c r="Y269" s="6"/>
      <c r="Z269" s="6">
        <f ca="1">('TUSD BE'!$AM$33+'TUSD BF'!$AM$33+'TUSD CVA'!$AM$33)*(1-CUSTOS!$M$38)</f>
        <v>390.73403238820225</v>
      </c>
      <c r="AA269" s="6">
        <f>('TE BE'!$AB$23+'TE BF'!$AB$23+'TE CVA'!$AB$23)*(1-CUSTOS!$M$38)</f>
        <v>127.65788581931002</v>
      </c>
      <c r="AB269" s="6">
        <f t="shared" si="14"/>
        <v>0</v>
      </c>
      <c r="AC269" s="6">
        <f>(L269-M269)*(W269+X269)+($W$141+$X$141-$W$269-$X$269)*(L269)</f>
        <v>2624.2148139999995</v>
      </c>
      <c r="AD269" s="6">
        <f t="shared" si="15"/>
        <v>0</v>
      </c>
      <c r="AE269" s="6">
        <f ca="1">(L269-M269)*(Z269+AA269)+($Z$141+$AA$141-$Z$269-$AA$269)*(L269)</f>
        <v>2688.6407867447911</v>
      </c>
      <c r="AF269" s="4" t="s">
        <v>592</v>
      </c>
    </row>
    <row r="270" spans="1:32" ht="11.25" customHeight="1" x14ac:dyDescent="0.25">
      <c r="A270" s="4" t="s">
        <v>28</v>
      </c>
      <c r="B270" s="4" t="s">
        <v>40</v>
      </c>
      <c r="C270" s="4" t="s">
        <v>23</v>
      </c>
      <c r="D270" s="4" t="s">
        <v>41</v>
      </c>
      <c r="E270" s="4" t="s">
        <v>52</v>
      </c>
      <c r="F270" s="4" t="s">
        <v>51</v>
      </c>
      <c r="G270" s="4" t="s">
        <v>25</v>
      </c>
      <c r="H270" s="4" t="s">
        <v>25</v>
      </c>
      <c r="I270" s="5">
        <v>44501</v>
      </c>
      <c r="J270" s="6">
        <v>0</v>
      </c>
      <c r="K270" s="6">
        <v>0</v>
      </c>
      <c r="L270" s="6">
        <v>4.7329999999999997</v>
      </c>
      <c r="M270" s="6">
        <v>1.8932</v>
      </c>
      <c r="N270" s="6">
        <v>4.7329999999999997</v>
      </c>
      <c r="O270" s="6">
        <v>1.8932</v>
      </c>
      <c r="P270" s="6">
        <v>0</v>
      </c>
      <c r="Q270" s="4" t="s">
        <v>26</v>
      </c>
      <c r="R270" s="4">
        <v>0</v>
      </c>
      <c r="S270" s="4">
        <v>0</v>
      </c>
      <c r="T270" s="4">
        <v>30</v>
      </c>
      <c r="U270" s="4">
        <v>55</v>
      </c>
      <c r="V270" s="6">
        <f>IF(ISERROR(VLOOKUP($S$270,'TAR FIN'!$A$1:$O$85,15,0)),0,VLOOKUP($S$270,'TAR FIN'!$A$1:$O$85,15,0))</f>
        <v>0</v>
      </c>
      <c r="W270" s="6">
        <f>IF(ISERROR(VLOOKUP($T$270,'TAR FIN'!$A$1:$O$85,15,0)),0,VLOOKUP($T$270,'TAR FIN'!$A$1:$O$85,15,0))</f>
        <v>331.77</v>
      </c>
      <c r="X270" s="6">
        <f>IF(ISERROR(VLOOKUP($U$270,'TAR FIN'!$A$1:$O$85,15,0)),0,VLOOKUP($U$270,'TAR FIN'!$A$1:$O$85,15,0))</f>
        <v>124.36</v>
      </c>
      <c r="Y270" s="6"/>
      <c r="Z270" s="6">
        <f ca="1">('TUSD BE'!$AM$33+'TUSD BF'!$AM$33+'TUSD CVA'!$AM$33)*(1-CUSTOS!$M$38)</f>
        <v>390.73403238820225</v>
      </c>
      <c r="AA270" s="6">
        <f>('TE BE'!$AB$23+'TE BF'!$AB$23+'TE CVA'!$AB$23)*(1-CUSTOS!$M$38)</f>
        <v>127.65788581931002</v>
      </c>
      <c r="AB270" s="6">
        <f t="shared" si="14"/>
        <v>0</v>
      </c>
      <c r="AC270" s="6">
        <f>(L270-M270)*(W270+X270)+($W$141+$X$141-$W$270-$X$270)*(L270)</f>
        <v>1589.7105739999995</v>
      </c>
      <c r="AD270" s="6">
        <f t="shared" si="15"/>
        <v>0</v>
      </c>
      <c r="AE270" s="6">
        <f ca="1">(L270-M270)*(Z270+AA270)+($Z$141+$AA$141-$Z$270-$AA$270)*(L270)</f>
        <v>1628.7388767007672</v>
      </c>
      <c r="AF270" s="4" t="s">
        <v>592</v>
      </c>
    </row>
    <row r="271" spans="1:32" ht="11.25" customHeight="1" x14ac:dyDescent="0.25">
      <c r="A271" s="4" t="s">
        <v>21</v>
      </c>
      <c r="B271" s="4" t="s">
        <v>40</v>
      </c>
      <c r="C271" s="4" t="s">
        <v>23</v>
      </c>
      <c r="D271" s="4" t="s">
        <v>41</v>
      </c>
      <c r="E271" s="4" t="s">
        <v>52</v>
      </c>
      <c r="F271" s="4" t="s">
        <v>51</v>
      </c>
      <c r="G271" s="4" t="s">
        <v>25</v>
      </c>
      <c r="H271" s="4" t="s">
        <v>25</v>
      </c>
      <c r="I271" s="5">
        <v>44531</v>
      </c>
      <c r="J271" s="6">
        <v>0</v>
      </c>
      <c r="K271" s="6">
        <v>0</v>
      </c>
      <c r="L271" s="6">
        <v>7.7880000000000003</v>
      </c>
      <c r="M271" s="6">
        <v>3.1152000000000002</v>
      </c>
      <c r="N271" s="6">
        <v>7.7880000000000003</v>
      </c>
      <c r="O271" s="6">
        <v>3.1152000000000002</v>
      </c>
      <c r="P271" s="6">
        <v>0</v>
      </c>
      <c r="Q271" s="4" t="s">
        <v>26</v>
      </c>
      <c r="R271" s="4">
        <v>0</v>
      </c>
      <c r="S271" s="4">
        <v>0</v>
      </c>
      <c r="T271" s="4">
        <v>30</v>
      </c>
      <c r="U271" s="4">
        <v>55</v>
      </c>
      <c r="V271" s="6">
        <f>IF(ISERROR(VLOOKUP($S$271,'TAR FIN'!$A$1:$O$85,15,0)),0,VLOOKUP($S$271,'TAR FIN'!$A$1:$O$85,15,0))</f>
        <v>0</v>
      </c>
      <c r="W271" s="6">
        <f>IF(ISERROR(VLOOKUP($T$271,'TAR FIN'!$A$1:$O$85,15,0)),0,VLOOKUP($T$271,'TAR FIN'!$A$1:$O$85,15,0))</f>
        <v>331.77</v>
      </c>
      <c r="X271" s="6">
        <f>IF(ISERROR(VLOOKUP($U$271,'TAR FIN'!$A$1:$O$85,15,0)),0,VLOOKUP($U$271,'TAR FIN'!$A$1:$O$85,15,0))</f>
        <v>124.36</v>
      </c>
      <c r="Y271" s="6"/>
      <c r="Z271" s="6">
        <f ca="1">('TUSD BE'!$AM$33+'TUSD BF'!$AM$33+'TUSD CVA'!$AM$33)*(1-CUSTOS!$M$38)</f>
        <v>390.73403238820225</v>
      </c>
      <c r="AA271" s="6">
        <f>('TE BE'!$AB$23+'TE BF'!$AB$23+'TE CVA'!$AB$23)*(1-CUSTOS!$M$38)</f>
        <v>127.65788581931002</v>
      </c>
      <c r="AB271" s="6">
        <f t="shared" si="14"/>
        <v>0</v>
      </c>
      <c r="AC271" s="6">
        <f>(L271-M271)*(W271+X271)+($W$141+$X$141-$W$271-$X$271)*(L271)</f>
        <v>2615.8178639999996</v>
      </c>
      <c r="AD271" s="6">
        <f t="shared" si="15"/>
        <v>0</v>
      </c>
      <c r="AE271" s="6">
        <f ca="1">(L271-M271)*(Z271+AA271)+($Z$141+$AA$141-$Z$271-$AA$271)*(L271)</f>
        <v>2680.037686825603</v>
      </c>
      <c r="AF271" s="4" t="s">
        <v>592</v>
      </c>
    </row>
    <row r="272" spans="1:32" ht="11.25" customHeight="1" x14ac:dyDescent="0.25">
      <c r="A272" s="4" t="s">
        <v>28</v>
      </c>
      <c r="B272" s="4" t="s">
        <v>40</v>
      </c>
      <c r="C272" s="4" t="s">
        <v>23</v>
      </c>
      <c r="D272" s="4" t="s">
        <v>41</v>
      </c>
      <c r="E272" s="4" t="s">
        <v>52</v>
      </c>
      <c r="F272" s="4" t="s">
        <v>51</v>
      </c>
      <c r="G272" s="4" t="s">
        <v>25</v>
      </c>
      <c r="H272" s="4" t="s">
        <v>25</v>
      </c>
      <c r="I272" s="5">
        <v>44531</v>
      </c>
      <c r="J272" s="6">
        <v>0</v>
      </c>
      <c r="K272" s="6">
        <v>0</v>
      </c>
      <c r="L272" s="6">
        <v>4.2050000000000001</v>
      </c>
      <c r="M272" s="6">
        <v>1.6819999999999999</v>
      </c>
      <c r="N272" s="6">
        <v>4.2050000000000001</v>
      </c>
      <c r="O272" s="6">
        <v>1.6819999999999999</v>
      </c>
      <c r="P272" s="6">
        <v>0</v>
      </c>
      <c r="Q272" s="4" t="s">
        <v>26</v>
      </c>
      <c r="R272" s="4">
        <v>0</v>
      </c>
      <c r="S272" s="4">
        <v>0</v>
      </c>
      <c r="T272" s="4">
        <v>30</v>
      </c>
      <c r="U272" s="4">
        <v>55</v>
      </c>
      <c r="V272" s="6">
        <f>IF(ISERROR(VLOOKUP($S$272,'TAR FIN'!$A$1:$O$85,15,0)),0,VLOOKUP($S$272,'TAR FIN'!$A$1:$O$85,15,0))</f>
        <v>0</v>
      </c>
      <c r="W272" s="6">
        <f>IF(ISERROR(VLOOKUP($T$272,'TAR FIN'!$A$1:$O$85,15,0)),0,VLOOKUP($T$272,'TAR FIN'!$A$1:$O$85,15,0))</f>
        <v>331.77</v>
      </c>
      <c r="X272" s="6">
        <f>IF(ISERROR(VLOOKUP($U$272,'TAR FIN'!$A$1:$O$85,15,0)),0,VLOOKUP($U$272,'TAR FIN'!$A$1:$O$85,15,0))</f>
        <v>124.36</v>
      </c>
      <c r="Y272" s="6"/>
      <c r="Z272" s="6">
        <f ca="1">('TUSD BE'!$AM$33+'TUSD BF'!$AM$33+'TUSD CVA'!$AM$33)*(1-CUSTOS!$M$38)</f>
        <v>390.73403238820225</v>
      </c>
      <c r="AA272" s="6">
        <f>('TE BE'!$AB$23+'TE BF'!$AB$23+'TE CVA'!$AB$23)*(1-CUSTOS!$M$38)</f>
        <v>127.65788581931002</v>
      </c>
      <c r="AB272" s="6">
        <f t="shared" si="14"/>
        <v>0</v>
      </c>
      <c r="AC272" s="6">
        <f>(L272-M272)*(W272+X272)+($W$141+$X$141-$W$272-$X$272)*(L272)</f>
        <v>1412.3669899999998</v>
      </c>
      <c r="AD272" s="6">
        <f t="shared" si="15"/>
        <v>0</v>
      </c>
      <c r="AE272" s="6">
        <f ca="1">(L272-M272)*(Z272+AA272)+($Z$141+$AA$141-$Z$272-$AA$272)*(L272)</f>
        <v>1447.0414064075064</v>
      </c>
      <c r="AF272" s="4" t="s">
        <v>592</v>
      </c>
    </row>
    <row r="273" spans="1:32" ht="11.25" customHeight="1" x14ac:dyDescent="0.25">
      <c r="A273" s="4" t="s">
        <v>21</v>
      </c>
      <c r="B273" s="4" t="s">
        <v>40</v>
      </c>
      <c r="C273" s="4" t="s">
        <v>23</v>
      </c>
      <c r="D273" s="4" t="s">
        <v>41</v>
      </c>
      <c r="E273" s="4" t="s">
        <v>52</v>
      </c>
      <c r="F273" s="4" t="s">
        <v>51</v>
      </c>
      <c r="G273" s="4" t="s">
        <v>25</v>
      </c>
      <c r="H273" s="4" t="s">
        <v>25</v>
      </c>
      <c r="I273" s="5">
        <v>44562</v>
      </c>
      <c r="J273" s="6">
        <v>0</v>
      </c>
      <c r="K273" s="6">
        <v>0</v>
      </c>
      <c r="L273" s="6">
        <v>11.555</v>
      </c>
      <c r="M273" s="6">
        <v>4.6219999999999999</v>
      </c>
      <c r="N273" s="6">
        <v>11.555</v>
      </c>
      <c r="O273" s="6">
        <v>4.6219999999999999</v>
      </c>
      <c r="P273" s="6">
        <v>0</v>
      </c>
      <c r="Q273" s="4" t="s">
        <v>26</v>
      </c>
      <c r="R273" s="4">
        <v>0</v>
      </c>
      <c r="S273" s="4">
        <v>0</v>
      </c>
      <c r="T273" s="4">
        <v>30</v>
      </c>
      <c r="U273" s="4">
        <v>55</v>
      </c>
      <c r="V273" s="6">
        <f>IF(ISERROR(VLOOKUP($S$273,'TAR FIN'!$A$1:$O$85,15,0)),0,VLOOKUP($S$273,'TAR FIN'!$A$1:$O$85,15,0))</f>
        <v>0</v>
      </c>
      <c r="W273" s="6">
        <f>IF(ISERROR(VLOOKUP($T$273,'TAR FIN'!$A$1:$O$85,15,0)),0,VLOOKUP($T$273,'TAR FIN'!$A$1:$O$85,15,0))</f>
        <v>331.77</v>
      </c>
      <c r="X273" s="6">
        <f>IF(ISERROR(VLOOKUP($U$273,'TAR FIN'!$A$1:$O$85,15,0)),0,VLOOKUP($U$273,'TAR FIN'!$A$1:$O$85,15,0))</f>
        <v>124.36</v>
      </c>
      <c r="Y273" s="6"/>
      <c r="Z273" s="6">
        <f ca="1">('TUSD BE'!$AM$33+'TUSD BF'!$AM$33+'TUSD CVA'!$AM$33)*(1-CUSTOS!$M$38)</f>
        <v>390.73403238820225</v>
      </c>
      <c r="AA273" s="6">
        <f>('TE BE'!$AB$23+'TE BF'!$AB$23+'TE CVA'!$AB$23)*(1-CUSTOS!$M$38)</f>
        <v>127.65788581931002</v>
      </c>
      <c r="AB273" s="6">
        <f t="shared" si="14"/>
        <v>0</v>
      </c>
      <c r="AC273" s="6">
        <f>(L273-M273)*(W273+X273)+($W$141+$X$141-$W$273-$X$273)*(L273)</f>
        <v>3881.0702899999997</v>
      </c>
      <c r="AD273" s="6">
        <f t="shared" si="15"/>
        <v>0</v>
      </c>
      <c r="AE273" s="6">
        <f ca="1">(L273-M273)*(Z273+AA273)+($Z$141+$AA$141-$Z$273-$AA$273)*(L273)</f>
        <v>3976.3527826489267</v>
      </c>
      <c r="AF273" s="4" t="s">
        <v>592</v>
      </c>
    </row>
    <row r="274" spans="1:32" ht="11.25" customHeight="1" x14ac:dyDescent="0.25">
      <c r="A274" s="4" t="s">
        <v>28</v>
      </c>
      <c r="B274" s="4" t="s">
        <v>40</v>
      </c>
      <c r="C274" s="4" t="s">
        <v>23</v>
      </c>
      <c r="D274" s="4" t="s">
        <v>41</v>
      </c>
      <c r="E274" s="4" t="s">
        <v>52</v>
      </c>
      <c r="F274" s="4" t="s">
        <v>51</v>
      </c>
      <c r="G274" s="4" t="s">
        <v>25</v>
      </c>
      <c r="H274" s="4" t="s">
        <v>25</v>
      </c>
      <c r="I274" s="5">
        <v>44562</v>
      </c>
      <c r="J274" s="6">
        <v>0</v>
      </c>
      <c r="K274" s="6">
        <v>0</v>
      </c>
      <c r="L274" s="6">
        <v>5.0960000000000001</v>
      </c>
      <c r="M274" s="6">
        <v>2.0384000000000002</v>
      </c>
      <c r="N274" s="6">
        <v>5.0960000000000001</v>
      </c>
      <c r="O274" s="6">
        <v>2.0384000000000002</v>
      </c>
      <c r="P274" s="6">
        <v>0</v>
      </c>
      <c r="Q274" s="4" t="s">
        <v>26</v>
      </c>
      <c r="R274" s="4">
        <v>0</v>
      </c>
      <c r="S274" s="4">
        <v>0</v>
      </c>
      <c r="T274" s="4">
        <v>30</v>
      </c>
      <c r="U274" s="4">
        <v>55</v>
      </c>
      <c r="V274" s="6">
        <f>IF(ISERROR(VLOOKUP($S$274,'TAR FIN'!$A$1:$O$85,15,0)),0,VLOOKUP($S$274,'TAR FIN'!$A$1:$O$85,15,0))</f>
        <v>0</v>
      </c>
      <c r="W274" s="6">
        <f>IF(ISERROR(VLOOKUP($T$274,'TAR FIN'!$A$1:$O$85,15,0)),0,VLOOKUP($T$274,'TAR FIN'!$A$1:$O$85,15,0))</f>
        <v>331.77</v>
      </c>
      <c r="X274" s="6">
        <f>IF(ISERROR(VLOOKUP($U$274,'TAR FIN'!$A$1:$O$85,15,0)),0,VLOOKUP($U$274,'TAR FIN'!$A$1:$O$85,15,0))</f>
        <v>124.36</v>
      </c>
      <c r="Y274" s="6"/>
      <c r="Z274" s="6">
        <f ca="1">('TUSD BE'!$AM$33+'TUSD BF'!$AM$33+'TUSD CVA'!$AM$33)*(1-CUSTOS!$M$38)</f>
        <v>390.73403238820225</v>
      </c>
      <c r="AA274" s="6">
        <f>('TE BE'!$AB$23+'TE BF'!$AB$23+'TE CVA'!$AB$23)*(1-CUSTOS!$M$38)</f>
        <v>127.65788581931002</v>
      </c>
      <c r="AB274" s="6">
        <f t="shared" si="14"/>
        <v>0</v>
      </c>
      <c r="AC274" s="6">
        <f>(L274-M274)*(W274+X274)+($W$141+$X$141-$W$274-$X$274)*(L274)</f>
        <v>1711.6342879999997</v>
      </c>
      <c r="AD274" s="6">
        <f t="shared" si="15"/>
        <v>0</v>
      </c>
      <c r="AE274" s="6">
        <f ca="1">(L274-M274)*(Z274+AA274)+($Z$141+$AA$141-$Z$274-$AA$274)*(L274)</f>
        <v>1753.6558875273847</v>
      </c>
      <c r="AF274" s="4" t="s">
        <v>592</v>
      </c>
    </row>
    <row r="275" spans="1:32" ht="11.25" customHeight="1" x14ac:dyDescent="0.25">
      <c r="A275" s="4" t="s">
        <v>21</v>
      </c>
      <c r="B275" s="4" t="s">
        <v>40</v>
      </c>
      <c r="C275" s="4" t="s">
        <v>23</v>
      </c>
      <c r="D275" s="4" t="s">
        <v>41</v>
      </c>
      <c r="E275" s="4" t="s">
        <v>52</v>
      </c>
      <c r="F275" s="4" t="s">
        <v>51</v>
      </c>
      <c r="G275" s="4" t="s">
        <v>25</v>
      </c>
      <c r="H275" s="4" t="s">
        <v>25</v>
      </c>
      <c r="I275" s="5">
        <v>44593</v>
      </c>
      <c r="J275" s="6">
        <v>0</v>
      </c>
      <c r="K275" s="6">
        <v>0</v>
      </c>
      <c r="L275" s="6">
        <v>14.553000000000001</v>
      </c>
      <c r="M275" s="6">
        <v>5.8212000000000002</v>
      </c>
      <c r="N275" s="6">
        <v>14.553000000000001</v>
      </c>
      <c r="O275" s="6">
        <v>5.8212000000000002</v>
      </c>
      <c r="P275" s="6">
        <v>0</v>
      </c>
      <c r="Q275" s="4" t="s">
        <v>26</v>
      </c>
      <c r="R275" s="4">
        <v>0</v>
      </c>
      <c r="S275" s="4">
        <v>0</v>
      </c>
      <c r="T275" s="4">
        <v>30</v>
      </c>
      <c r="U275" s="4">
        <v>55</v>
      </c>
      <c r="V275" s="6">
        <f>IF(ISERROR(VLOOKUP($S$275,'TAR FIN'!$A$1:$O$85,15,0)),0,VLOOKUP($S$275,'TAR FIN'!$A$1:$O$85,15,0))</f>
        <v>0</v>
      </c>
      <c r="W275" s="6">
        <f>IF(ISERROR(VLOOKUP($T$275,'TAR FIN'!$A$1:$O$85,15,0)),0,VLOOKUP($T$275,'TAR FIN'!$A$1:$O$85,15,0))</f>
        <v>331.77</v>
      </c>
      <c r="X275" s="6">
        <f>IF(ISERROR(VLOOKUP($U$275,'TAR FIN'!$A$1:$O$85,15,0)),0,VLOOKUP($U$275,'TAR FIN'!$A$1:$O$85,15,0))</f>
        <v>124.36</v>
      </c>
      <c r="Y275" s="6"/>
      <c r="Z275" s="6">
        <f ca="1">('TUSD BE'!$AM$33+'TUSD BF'!$AM$33+'TUSD CVA'!$AM$33)*(1-CUSTOS!$M$38)</f>
        <v>390.73403238820225</v>
      </c>
      <c r="AA275" s="6">
        <f>('TE BE'!$AB$23+'TE BF'!$AB$23+'TE CVA'!$AB$23)*(1-CUSTOS!$M$38)</f>
        <v>127.65788581931002</v>
      </c>
      <c r="AB275" s="6">
        <f t="shared" si="14"/>
        <v>0</v>
      </c>
      <c r="AC275" s="6">
        <f>(L275-M275)*(W275+X275)+($W$141+$X$141-$W$275-$X$275)*(L275)</f>
        <v>4888.032533999999</v>
      </c>
      <c r="AD275" s="6">
        <f t="shared" si="15"/>
        <v>0</v>
      </c>
      <c r="AE275" s="6">
        <f ca="1">(L275-M275)*(Z275+AA275)+($Z$141+$AA$141-$Z$275-$AA$275)*(L275)</f>
        <v>5008.0365249580118</v>
      </c>
      <c r="AF275" s="4" t="s">
        <v>592</v>
      </c>
    </row>
    <row r="276" spans="1:32" ht="11.25" customHeight="1" x14ac:dyDescent="0.25">
      <c r="A276" s="4" t="s">
        <v>28</v>
      </c>
      <c r="B276" s="4" t="s">
        <v>40</v>
      </c>
      <c r="C276" s="4" t="s">
        <v>23</v>
      </c>
      <c r="D276" s="4" t="s">
        <v>41</v>
      </c>
      <c r="E276" s="4" t="s">
        <v>52</v>
      </c>
      <c r="F276" s="4" t="s">
        <v>51</v>
      </c>
      <c r="G276" s="4" t="s">
        <v>25</v>
      </c>
      <c r="H276" s="4" t="s">
        <v>25</v>
      </c>
      <c r="I276" s="5">
        <v>44593</v>
      </c>
      <c r="J276" s="6">
        <v>0</v>
      </c>
      <c r="K276" s="6">
        <v>0</v>
      </c>
      <c r="L276" s="6">
        <v>3.141</v>
      </c>
      <c r="M276" s="6">
        <v>1.2564</v>
      </c>
      <c r="N276" s="6">
        <v>3.141</v>
      </c>
      <c r="O276" s="6">
        <v>1.2564</v>
      </c>
      <c r="P276" s="6">
        <v>0</v>
      </c>
      <c r="Q276" s="4" t="s">
        <v>26</v>
      </c>
      <c r="R276" s="4">
        <v>0</v>
      </c>
      <c r="S276" s="4">
        <v>0</v>
      </c>
      <c r="T276" s="4">
        <v>30</v>
      </c>
      <c r="U276" s="4">
        <v>55</v>
      </c>
      <c r="V276" s="6">
        <f>IF(ISERROR(VLOOKUP($S$276,'TAR FIN'!$A$1:$O$85,15,0)),0,VLOOKUP($S$276,'TAR FIN'!$A$1:$O$85,15,0))</f>
        <v>0</v>
      </c>
      <c r="W276" s="6">
        <f>IF(ISERROR(VLOOKUP($T$276,'TAR FIN'!$A$1:$O$85,15,0)),0,VLOOKUP($T$276,'TAR FIN'!$A$1:$O$85,15,0))</f>
        <v>331.77</v>
      </c>
      <c r="X276" s="6">
        <f>IF(ISERROR(VLOOKUP($U$276,'TAR FIN'!$A$1:$O$85,15,0)),0,VLOOKUP($U$276,'TAR FIN'!$A$1:$O$85,15,0))</f>
        <v>124.36</v>
      </c>
      <c r="Y276" s="6"/>
      <c r="Z276" s="6">
        <f ca="1">('TUSD BE'!$AM$33+'TUSD BF'!$AM$33+'TUSD CVA'!$AM$33)*(1-CUSTOS!$M$38)</f>
        <v>390.73403238820225</v>
      </c>
      <c r="AA276" s="6">
        <f>('TE BE'!$AB$23+'TE BF'!$AB$23+'TE CVA'!$AB$23)*(1-CUSTOS!$M$38)</f>
        <v>127.65788581931002</v>
      </c>
      <c r="AB276" s="6">
        <f t="shared" si="14"/>
        <v>0</v>
      </c>
      <c r="AC276" s="6">
        <f>(L276-M276)*(W276+X276)+($W$141+$X$141-$W$276-$X$276)*(L276)</f>
        <v>1054.9927979999998</v>
      </c>
      <c r="AD276" s="6">
        <f t="shared" si="15"/>
        <v>0</v>
      </c>
      <c r="AE276" s="6">
        <f ca="1">(L276-M276)*(Z276+AA276)+($Z$141+$AA$141-$Z$276-$AA$276)*(L276)</f>
        <v>1080.8934738468438</v>
      </c>
      <c r="AF276" s="4" t="s">
        <v>592</v>
      </c>
    </row>
    <row r="277" spans="1:32" ht="11.25" customHeight="1" x14ac:dyDescent="0.25">
      <c r="A277" s="4" t="s">
        <v>21</v>
      </c>
      <c r="B277" s="4" t="s">
        <v>40</v>
      </c>
      <c r="C277" s="4" t="s">
        <v>23</v>
      </c>
      <c r="D277" s="4" t="s">
        <v>41</v>
      </c>
      <c r="E277" s="4" t="s">
        <v>52</v>
      </c>
      <c r="F277" s="4" t="s">
        <v>51</v>
      </c>
      <c r="G277" s="4" t="s">
        <v>25</v>
      </c>
      <c r="H277" s="4" t="s">
        <v>25</v>
      </c>
      <c r="I277" s="5">
        <v>44621</v>
      </c>
      <c r="J277" s="6">
        <v>0</v>
      </c>
      <c r="K277" s="6">
        <v>0</v>
      </c>
      <c r="L277" s="6">
        <v>9.7349999999999994</v>
      </c>
      <c r="M277" s="6">
        <v>3.8940000000000001</v>
      </c>
      <c r="N277" s="6">
        <v>9.7349999999999994</v>
      </c>
      <c r="O277" s="6">
        <v>3.8940000000000001</v>
      </c>
      <c r="P277" s="6">
        <v>0</v>
      </c>
      <c r="Q277" s="4" t="s">
        <v>26</v>
      </c>
      <c r="R277" s="4">
        <v>0</v>
      </c>
      <c r="S277" s="4">
        <v>0</v>
      </c>
      <c r="T277" s="4">
        <v>30</v>
      </c>
      <c r="U277" s="4">
        <v>55</v>
      </c>
      <c r="V277" s="6">
        <f>IF(ISERROR(VLOOKUP($S$277,'TAR FIN'!$A$1:$O$85,15,0)),0,VLOOKUP($S$277,'TAR FIN'!$A$1:$O$85,15,0))</f>
        <v>0</v>
      </c>
      <c r="W277" s="6">
        <f>IF(ISERROR(VLOOKUP($T$277,'TAR FIN'!$A$1:$O$85,15,0)),0,VLOOKUP($T$277,'TAR FIN'!$A$1:$O$85,15,0))</f>
        <v>331.77</v>
      </c>
      <c r="X277" s="6">
        <f>IF(ISERROR(VLOOKUP($U$277,'TAR FIN'!$A$1:$O$85,15,0)),0,VLOOKUP($U$277,'TAR FIN'!$A$1:$O$85,15,0))</f>
        <v>124.36</v>
      </c>
      <c r="Y277" s="6"/>
      <c r="Z277" s="6">
        <f ca="1">('TUSD BE'!$AM$33+'TUSD BF'!$AM$33+'TUSD CVA'!$AM$33)*(1-CUSTOS!$M$38)</f>
        <v>390.73403238820225</v>
      </c>
      <c r="AA277" s="6">
        <f>('TE BE'!$AB$23+'TE BF'!$AB$23+'TE CVA'!$AB$23)*(1-CUSTOS!$M$38)</f>
        <v>127.65788581931002</v>
      </c>
      <c r="AB277" s="6">
        <f t="shared" si="14"/>
        <v>0</v>
      </c>
      <c r="AC277" s="6">
        <f>(L277-M277)*(W277+X277)+($W$141+$X$141-$W$277-$X$277)*(L277)</f>
        <v>3269.7723299999989</v>
      </c>
      <c r="AD277" s="6">
        <f t="shared" si="15"/>
        <v>0</v>
      </c>
      <c r="AE277" s="6">
        <f ca="1">(L277-M277)*(Z277+AA277)+($Z$141+$AA$141-$Z$277-$AA$277)*(L277)</f>
        <v>3350.0471085320028</v>
      </c>
      <c r="AF277" s="4" t="s">
        <v>592</v>
      </c>
    </row>
    <row r="278" spans="1:32" ht="11.25" customHeight="1" x14ac:dyDescent="0.25">
      <c r="A278" s="4" t="s">
        <v>28</v>
      </c>
      <c r="B278" s="4" t="s">
        <v>40</v>
      </c>
      <c r="C278" s="4" t="s">
        <v>23</v>
      </c>
      <c r="D278" s="4" t="s">
        <v>41</v>
      </c>
      <c r="E278" s="4" t="s">
        <v>52</v>
      </c>
      <c r="F278" s="4" t="s">
        <v>51</v>
      </c>
      <c r="G278" s="4" t="s">
        <v>25</v>
      </c>
      <c r="H278" s="4" t="s">
        <v>25</v>
      </c>
      <c r="I278" s="5">
        <v>44621</v>
      </c>
      <c r="J278" s="6">
        <v>0</v>
      </c>
      <c r="K278" s="6">
        <v>0</v>
      </c>
      <c r="L278" s="6">
        <v>5.3739999999999997</v>
      </c>
      <c r="M278" s="6">
        <v>2.1496</v>
      </c>
      <c r="N278" s="6">
        <v>5.3739999999999997</v>
      </c>
      <c r="O278" s="6">
        <v>2.1496</v>
      </c>
      <c r="P278" s="6">
        <v>0</v>
      </c>
      <c r="Q278" s="4" t="s">
        <v>26</v>
      </c>
      <c r="R278" s="4">
        <v>0</v>
      </c>
      <c r="S278" s="4">
        <v>0</v>
      </c>
      <c r="T278" s="4">
        <v>30</v>
      </c>
      <c r="U278" s="4">
        <v>55</v>
      </c>
      <c r="V278" s="6">
        <f>IF(ISERROR(VLOOKUP($S$278,'TAR FIN'!$A$1:$O$85,15,0)),0,VLOOKUP($S$278,'TAR FIN'!$A$1:$O$85,15,0))</f>
        <v>0</v>
      </c>
      <c r="W278" s="6">
        <f>IF(ISERROR(VLOOKUP($T$278,'TAR FIN'!$A$1:$O$85,15,0)),0,VLOOKUP($T$278,'TAR FIN'!$A$1:$O$85,15,0))</f>
        <v>331.77</v>
      </c>
      <c r="X278" s="6">
        <f>IF(ISERROR(VLOOKUP($U$278,'TAR FIN'!$A$1:$O$85,15,0)),0,VLOOKUP($U$278,'TAR FIN'!$A$1:$O$85,15,0))</f>
        <v>124.36</v>
      </c>
      <c r="Y278" s="6"/>
      <c r="Z278" s="6">
        <f ca="1">('TUSD BE'!$AM$33+'TUSD BF'!$AM$33+'TUSD CVA'!$AM$33)*(1-CUSTOS!$M$38)</f>
        <v>390.73403238820225</v>
      </c>
      <c r="AA278" s="6">
        <f>('TE BE'!$AB$23+'TE BF'!$AB$23+'TE CVA'!$AB$23)*(1-CUSTOS!$M$38)</f>
        <v>127.65788581931002</v>
      </c>
      <c r="AB278" s="6">
        <f t="shared" si="14"/>
        <v>0</v>
      </c>
      <c r="AC278" s="6">
        <f>(L278-M278)*(W278+X278)+($W$141+$X$141-$W$278-$X$278)*(L278)</f>
        <v>1805.0083719999996</v>
      </c>
      <c r="AD278" s="6">
        <f t="shared" si="15"/>
        <v>0</v>
      </c>
      <c r="AE278" s="6">
        <f ca="1">(L278-M278)*(Z278+AA278)+($Z$141+$AA$141-$Z$278-$AA$278)*(L278)</f>
        <v>1849.3223586287606</v>
      </c>
      <c r="AF278" s="4" t="s">
        <v>592</v>
      </c>
    </row>
    <row r="279" spans="1:32" ht="11.25" customHeight="1" x14ac:dyDescent="0.25">
      <c r="A279" s="4" t="s">
        <v>21</v>
      </c>
      <c r="B279" s="4" t="s">
        <v>40</v>
      </c>
      <c r="C279" s="4" t="s">
        <v>23</v>
      </c>
      <c r="D279" s="4" t="s">
        <v>41</v>
      </c>
      <c r="E279" s="4" t="s">
        <v>52</v>
      </c>
      <c r="F279" s="4" t="s">
        <v>51</v>
      </c>
      <c r="G279" s="4" t="s">
        <v>25</v>
      </c>
      <c r="H279" s="4" t="s">
        <v>25</v>
      </c>
      <c r="I279" s="5">
        <v>44652</v>
      </c>
      <c r="J279" s="6">
        <v>0</v>
      </c>
      <c r="K279" s="6">
        <v>0</v>
      </c>
      <c r="L279" s="6">
        <v>8.1129999999999995</v>
      </c>
      <c r="M279" s="6">
        <v>3.2452000000000001</v>
      </c>
      <c r="N279" s="6">
        <v>8.1129999999999995</v>
      </c>
      <c r="O279" s="6">
        <v>3.2452000000000001</v>
      </c>
      <c r="P279" s="6">
        <v>0</v>
      </c>
      <c r="Q279" s="4" t="s">
        <v>26</v>
      </c>
      <c r="R279" s="4">
        <v>0</v>
      </c>
      <c r="S279" s="4">
        <v>0</v>
      </c>
      <c r="T279" s="4">
        <v>30</v>
      </c>
      <c r="U279" s="4">
        <v>55</v>
      </c>
      <c r="V279" s="6">
        <f>IF(ISERROR(VLOOKUP($S$279,'TAR FIN'!$A$1:$O$85,15,0)),0,VLOOKUP($S$279,'TAR FIN'!$A$1:$O$85,15,0))</f>
        <v>0</v>
      </c>
      <c r="W279" s="6">
        <f>IF(ISERROR(VLOOKUP($T$279,'TAR FIN'!$A$1:$O$85,15,0)),0,VLOOKUP($T$279,'TAR FIN'!$A$1:$O$85,15,0))</f>
        <v>331.77</v>
      </c>
      <c r="X279" s="6">
        <f>IF(ISERROR(VLOOKUP($U$279,'TAR FIN'!$A$1:$O$85,15,0)),0,VLOOKUP($U$279,'TAR FIN'!$A$1:$O$85,15,0))</f>
        <v>124.36</v>
      </c>
      <c r="Y279" s="6"/>
      <c r="Z279" s="6">
        <f ca="1">('TUSD BE'!$AM$33+'TUSD BF'!$AM$33+'TUSD CVA'!$AM$33)*(1-CUSTOS!$M$38)</f>
        <v>390.73403238820225</v>
      </c>
      <c r="AA279" s="6">
        <f>('TE BE'!$AB$23+'TE BF'!$AB$23+'TE CVA'!$AB$23)*(1-CUSTOS!$M$38)</f>
        <v>127.65788581931002</v>
      </c>
      <c r="AB279" s="6">
        <f t="shared" si="14"/>
        <v>0</v>
      </c>
      <c r="AC279" s="6">
        <f>(L279-M279)*(W279+X279)+($W$141+$X$141-$W$279-$X$279)*(L279)</f>
        <v>2724.9782139999993</v>
      </c>
      <c r="AD279" s="6">
        <f t="shared" si="15"/>
        <v>0</v>
      </c>
      <c r="AE279" s="6">
        <f ca="1">(L279-M279)*(Z279+AA279)+($Z$141+$AA$141-$Z$279-$AA$279)*(L279)</f>
        <v>2791.8779857750528</v>
      </c>
      <c r="AF279" s="4" t="s">
        <v>592</v>
      </c>
    </row>
    <row r="280" spans="1:32" ht="11.25" customHeight="1" x14ac:dyDescent="0.25">
      <c r="A280" s="4" t="s">
        <v>28</v>
      </c>
      <c r="B280" s="4" t="s">
        <v>40</v>
      </c>
      <c r="C280" s="4" t="s">
        <v>23</v>
      </c>
      <c r="D280" s="4" t="s">
        <v>41</v>
      </c>
      <c r="E280" s="4" t="s">
        <v>52</v>
      </c>
      <c r="F280" s="4" t="s">
        <v>51</v>
      </c>
      <c r="G280" s="4" t="s">
        <v>25</v>
      </c>
      <c r="H280" s="4" t="s">
        <v>25</v>
      </c>
      <c r="I280" s="5">
        <v>44652</v>
      </c>
      <c r="J280" s="6">
        <v>0</v>
      </c>
      <c r="K280" s="6">
        <v>0</v>
      </c>
      <c r="L280" s="6">
        <v>4.2119999999999997</v>
      </c>
      <c r="M280" s="6">
        <v>1.6848000000000001</v>
      </c>
      <c r="N280" s="6">
        <v>4.2119999999999997</v>
      </c>
      <c r="O280" s="6">
        <v>1.6848000000000001</v>
      </c>
      <c r="P280" s="6">
        <v>0</v>
      </c>
      <c r="Q280" s="4" t="s">
        <v>26</v>
      </c>
      <c r="R280" s="4">
        <v>0</v>
      </c>
      <c r="S280" s="4">
        <v>0</v>
      </c>
      <c r="T280" s="4">
        <v>30</v>
      </c>
      <c r="U280" s="4">
        <v>55</v>
      </c>
      <c r="V280" s="6">
        <f>IF(ISERROR(VLOOKUP($S$280,'TAR FIN'!$A$1:$O$85,15,0)),0,VLOOKUP($S$280,'TAR FIN'!$A$1:$O$85,15,0))</f>
        <v>0</v>
      </c>
      <c r="W280" s="6">
        <f>IF(ISERROR(VLOOKUP($T$280,'TAR FIN'!$A$1:$O$85,15,0)),0,VLOOKUP($T$280,'TAR FIN'!$A$1:$O$85,15,0))</f>
        <v>331.77</v>
      </c>
      <c r="X280" s="6">
        <f>IF(ISERROR(VLOOKUP($U$280,'TAR FIN'!$A$1:$O$85,15,0)),0,VLOOKUP($U$280,'TAR FIN'!$A$1:$O$85,15,0))</f>
        <v>124.36</v>
      </c>
      <c r="Y280" s="6"/>
      <c r="Z280" s="6">
        <f ca="1">('TUSD BE'!$AM$33+'TUSD BF'!$AM$33+'TUSD CVA'!$AM$33)*(1-CUSTOS!$M$38)</f>
        <v>390.73403238820225</v>
      </c>
      <c r="AA280" s="6">
        <f>('TE BE'!$AB$23+'TE BF'!$AB$23+'TE CVA'!$AB$23)*(1-CUSTOS!$M$38)</f>
        <v>127.65788581931002</v>
      </c>
      <c r="AB280" s="6">
        <f t="shared" si="14"/>
        <v>0</v>
      </c>
      <c r="AC280" s="6">
        <f>(L280-M280)*(W280+X280)+($W$141+$X$141-$W$280-$X$280)*(L280)</f>
        <v>1414.7181359999995</v>
      </c>
      <c r="AD280" s="6">
        <f t="shared" si="15"/>
        <v>0</v>
      </c>
      <c r="AE280" s="6">
        <f ca="1">(L280-M280)*(Z280+AA280)+($Z$141+$AA$141-$Z$280-$AA$280)*(L280)</f>
        <v>1449.4502743848791</v>
      </c>
      <c r="AF280" s="4" t="s">
        <v>592</v>
      </c>
    </row>
    <row r="281" spans="1:32" ht="11.25" customHeight="1" x14ac:dyDescent="0.25">
      <c r="A281" s="4" t="s">
        <v>21</v>
      </c>
      <c r="B281" s="4" t="s">
        <v>40</v>
      </c>
      <c r="C281" s="4" t="s">
        <v>23</v>
      </c>
      <c r="D281" s="4" t="s">
        <v>41</v>
      </c>
      <c r="E281" s="4" t="s">
        <v>52</v>
      </c>
      <c r="F281" s="4" t="s">
        <v>51</v>
      </c>
      <c r="G281" s="4" t="s">
        <v>25</v>
      </c>
      <c r="H281" s="4" t="s">
        <v>25</v>
      </c>
      <c r="I281" s="5">
        <v>44682</v>
      </c>
      <c r="J281" s="6">
        <v>0</v>
      </c>
      <c r="K281" s="6">
        <v>0</v>
      </c>
      <c r="L281" s="6">
        <v>5.1079999999999997</v>
      </c>
      <c r="M281" s="6">
        <v>2.0432000000000001</v>
      </c>
      <c r="N281" s="6">
        <v>5.1079999999999997</v>
      </c>
      <c r="O281" s="6">
        <v>2.0432000000000001</v>
      </c>
      <c r="P281" s="6">
        <v>0</v>
      </c>
      <c r="Q281" s="4" t="s">
        <v>26</v>
      </c>
      <c r="R281" s="4">
        <v>0</v>
      </c>
      <c r="S281" s="4">
        <v>0</v>
      </c>
      <c r="T281" s="4">
        <v>30</v>
      </c>
      <c r="U281" s="4">
        <v>55</v>
      </c>
      <c r="V281" s="6">
        <f>IF(ISERROR(VLOOKUP($S$281,'TAR FIN'!$A$1:$O$85,15,0)),0,VLOOKUP($S$281,'TAR FIN'!$A$1:$O$85,15,0))</f>
        <v>0</v>
      </c>
      <c r="W281" s="6">
        <f>IF(ISERROR(VLOOKUP($T$281,'TAR FIN'!$A$1:$O$85,15,0)),0,VLOOKUP($T$281,'TAR FIN'!$A$1:$O$85,15,0))</f>
        <v>331.77</v>
      </c>
      <c r="X281" s="6">
        <f>IF(ISERROR(VLOOKUP($U$281,'TAR FIN'!$A$1:$O$85,15,0)),0,VLOOKUP($U$281,'TAR FIN'!$A$1:$O$85,15,0))</f>
        <v>124.36</v>
      </c>
      <c r="Y281" s="6"/>
      <c r="Z281" s="6">
        <f ca="1">('TUSD BE'!$AM$33+'TUSD BF'!$AM$33+'TUSD CVA'!$AM$33)*(1-CUSTOS!$M$38)</f>
        <v>390.73403238820225</v>
      </c>
      <c r="AA281" s="6">
        <f>('TE BE'!$AB$23+'TE BF'!$AB$23+'TE CVA'!$AB$23)*(1-CUSTOS!$M$38)</f>
        <v>127.65788581931002</v>
      </c>
      <c r="AB281" s="6">
        <f t="shared" si="14"/>
        <v>0</v>
      </c>
      <c r="AC281" s="6">
        <f>(L281-M281)*(W281+X281)+($W$141+$X$141-$W$281-$X$281)*(L281)</f>
        <v>1715.6648239999995</v>
      </c>
      <c r="AD281" s="6">
        <f t="shared" si="15"/>
        <v>0</v>
      </c>
      <c r="AE281" s="6">
        <f ca="1">(L281-M281)*(Z281+AA281)+($Z$141+$AA$141-$Z$281-$AA$281)*(L281)</f>
        <v>1757.785375488595</v>
      </c>
      <c r="AF281" s="4" t="s">
        <v>592</v>
      </c>
    </row>
    <row r="282" spans="1:32" ht="11.25" customHeight="1" x14ac:dyDescent="0.25">
      <c r="A282" s="4" t="s">
        <v>28</v>
      </c>
      <c r="B282" s="4" t="s">
        <v>40</v>
      </c>
      <c r="C282" s="4" t="s">
        <v>23</v>
      </c>
      <c r="D282" s="4" t="s">
        <v>41</v>
      </c>
      <c r="E282" s="4" t="s">
        <v>52</v>
      </c>
      <c r="F282" s="4" t="s">
        <v>51</v>
      </c>
      <c r="G282" s="4" t="s">
        <v>25</v>
      </c>
      <c r="H282" s="4" t="s">
        <v>25</v>
      </c>
      <c r="I282" s="5">
        <v>44682</v>
      </c>
      <c r="J282" s="6">
        <v>0</v>
      </c>
      <c r="K282" s="6">
        <v>0</v>
      </c>
      <c r="L282" s="6">
        <v>1.173</v>
      </c>
      <c r="M282" s="6">
        <v>0.46920000000000001</v>
      </c>
      <c r="N282" s="6">
        <v>1.173</v>
      </c>
      <c r="O282" s="6">
        <v>0.46920000000000001</v>
      </c>
      <c r="P282" s="6">
        <v>0</v>
      </c>
      <c r="Q282" s="4" t="s">
        <v>26</v>
      </c>
      <c r="R282" s="4">
        <v>0</v>
      </c>
      <c r="S282" s="4">
        <v>0</v>
      </c>
      <c r="T282" s="4">
        <v>30</v>
      </c>
      <c r="U282" s="4">
        <v>55</v>
      </c>
      <c r="V282" s="6">
        <f>IF(ISERROR(VLOOKUP($S$282,'TAR FIN'!$A$1:$O$85,15,0)),0,VLOOKUP($S$282,'TAR FIN'!$A$1:$O$85,15,0))</f>
        <v>0</v>
      </c>
      <c r="W282" s="6">
        <f>IF(ISERROR(VLOOKUP($T$282,'TAR FIN'!$A$1:$O$85,15,0)),0,VLOOKUP($T$282,'TAR FIN'!$A$1:$O$85,15,0))</f>
        <v>331.77</v>
      </c>
      <c r="X282" s="6">
        <f>IF(ISERROR(VLOOKUP($U$282,'TAR FIN'!$A$1:$O$85,15,0)),0,VLOOKUP($U$282,'TAR FIN'!$A$1:$O$85,15,0))</f>
        <v>124.36</v>
      </c>
      <c r="Y282" s="6"/>
      <c r="Z282" s="6">
        <f ca="1">('TUSD BE'!$AM$33+'TUSD BF'!$AM$33+'TUSD CVA'!$AM$33)*(1-CUSTOS!$M$38)</f>
        <v>390.73403238820225</v>
      </c>
      <c r="AA282" s="6">
        <f>('TE BE'!$AB$23+'TE BF'!$AB$23+'TE CVA'!$AB$23)*(1-CUSTOS!$M$38)</f>
        <v>127.65788581931002</v>
      </c>
      <c r="AB282" s="6">
        <f t="shared" si="14"/>
        <v>0</v>
      </c>
      <c r="AC282" s="6">
        <f>(L282-M282)*(W282+X282)+($W$141+$X$141-$W$282-$X$282)*(L282)</f>
        <v>393.98489399999994</v>
      </c>
      <c r="AD282" s="6">
        <f t="shared" si="15"/>
        <v>0</v>
      </c>
      <c r="AE282" s="6">
        <f ca="1">(L282-M282)*(Z282+AA282)+($Z$141+$AA$141-$Z$282-$AA$282)*(L282)</f>
        <v>403.65744820832464</v>
      </c>
      <c r="AF282" s="4" t="s">
        <v>592</v>
      </c>
    </row>
    <row r="283" spans="1:32" ht="11.25" customHeight="1" x14ac:dyDescent="0.25">
      <c r="A283" s="4" t="s">
        <v>21</v>
      </c>
      <c r="B283" s="4" t="s">
        <v>40</v>
      </c>
      <c r="C283" s="4" t="s">
        <v>23</v>
      </c>
      <c r="D283" s="4" t="s">
        <v>41</v>
      </c>
      <c r="E283" s="4" t="s">
        <v>52</v>
      </c>
      <c r="F283" s="4" t="s">
        <v>51</v>
      </c>
      <c r="G283" s="4" t="s">
        <v>25</v>
      </c>
      <c r="H283" s="4" t="s">
        <v>25</v>
      </c>
      <c r="I283" s="5">
        <v>44713</v>
      </c>
      <c r="J283" s="6">
        <v>0</v>
      </c>
      <c r="K283" s="6">
        <v>0</v>
      </c>
      <c r="L283" s="6">
        <v>5.6449999999999996</v>
      </c>
      <c r="M283" s="6">
        <v>2.258</v>
      </c>
      <c r="N283" s="6">
        <v>5.6449999999999996</v>
      </c>
      <c r="O283" s="6">
        <v>2.258</v>
      </c>
      <c r="P283" s="6">
        <v>0</v>
      </c>
      <c r="Q283" s="4" t="s">
        <v>26</v>
      </c>
      <c r="R283" s="4">
        <v>0</v>
      </c>
      <c r="S283" s="4">
        <v>0</v>
      </c>
      <c r="T283" s="4">
        <v>30</v>
      </c>
      <c r="U283" s="4">
        <v>55</v>
      </c>
      <c r="V283" s="6">
        <f>IF(ISERROR(VLOOKUP($S$283,'TAR FIN'!$A$1:$O$85,15,0)),0,VLOOKUP($S$283,'TAR FIN'!$A$1:$O$85,15,0))</f>
        <v>0</v>
      </c>
      <c r="W283" s="6">
        <f>IF(ISERROR(VLOOKUP($T$283,'TAR FIN'!$A$1:$O$85,15,0)),0,VLOOKUP($T$283,'TAR FIN'!$A$1:$O$85,15,0))</f>
        <v>331.77</v>
      </c>
      <c r="X283" s="6">
        <f>IF(ISERROR(VLOOKUP($U$283,'TAR FIN'!$A$1:$O$85,15,0)),0,VLOOKUP($U$283,'TAR FIN'!$A$1:$O$85,15,0))</f>
        <v>124.36</v>
      </c>
      <c r="Y283" s="6"/>
      <c r="Z283" s="6">
        <f ca="1">('TUSD BE'!$AM$33+'TUSD BF'!$AM$33+'TUSD CVA'!$AM$33)*(1-CUSTOS!$M$38)</f>
        <v>390.73403238820225</v>
      </c>
      <c r="AA283" s="6">
        <f>('TE BE'!$AB$23+'TE BF'!$AB$23+'TE CVA'!$AB$23)*(1-CUSTOS!$M$38)</f>
        <v>127.65788581931002</v>
      </c>
      <c r="AB283" s="6">
        <f t="shared" si="14"/>
        <v>0</v>
      </c>
      <c r="AC283" s="6">
        <f>(L283-M283)*(W283+X283)+($W$141+$X$141-$W$283-$X$283)*(L283)</f>
        <v>1896.0313099999994</v>
      </c>
      <c r="AD283" s="6">
        <f t="shared" si="15"/>
        <v>0</v>
      </c>
      <c r="AE283" s="6">
        <f ca="1">(L283-M283)*(Z283+AA283)+($Z$141+$AA$141-$Z$283-$AA$283)*(L283)</f>
        <v>1942.5799617527641</v>
      </c>
      <c r="AF283" s="4" t="s">
        <v>592</v>
      </c>
    </row>
    <row r="284" spans="1:32" ht="11.25" customHeight="1" x14ac:dyDescent="0.25">
      <c r="A284" s="4" t="s">
        <v>21</v>
      </c>
      <c r="B284" s="4" t="s">
        <v>40</v>
      </c>
      <c r="C284" s="4" t="s">
        <v>23</v>
      </c>
      <c r="D284" s="4" t="s">
        <v>41</v>
      </c>
      <c r="E284" s="4" t="s">
        <v>52</v>
      </c>
      <c r="F284" s="4" t="s">
        <v>51</v>
      </c>
      <c r="G284" s="4" t="s">
        <v>25</v>
      </c>
      <c r="H284" s="4" t="s">
        <v>25</v>
      </c>
      <c r="I284" s="5">
        <v>44743</v>
      </c>
      <c r="J284" s="6">
        <v>0</v>
      </c>
      <c r="K284" s="6">
        <v>0</v>
      </c>
      <c r="L284" s="6">
        <v>4.4489999999999998</v>
      </c>
      <c r="M284" s="6">
        <v>1.7796000000000001</v>
      </c>
      <c r="N284" s="6">
        <v>4.4489999999999998</v>
      </c>
      <c r="O284" s="6">
        <v>1.7796000000000001</v>
      </c>
      <c r="P284" s="6">
        <v>0</v>
      </c>
      <c r="Q284" s="4" t="s">
        <v>26</v>
      </c>
      <c r="R284" s="4">
        <v>0</v>
      </c>
      <c r="S284" s="4">
        <v>0</v>
      </c>
      <c r="T284" s="4">
        <v>30</v>
      </c>
      <c r="U284" s="4">
        <v>55</v>
      </c>
      <c r="V284" s="6">
        <f>IF(ISERROR(VLOOKUP($S$284,'TAR FIN'!$A$1:$O$85,15,0)),0,VLOOKUP($S$284,'TAR FIN'!$A$1:$O$85,15,0))</f>
        <v>0</v>
      </c>
      <c r="W284" s="6">
        <f>IF(ISERROR(VLOOKUP($T$284,'TAR FIN'!$A$1:$O$85,15,0)),0,VLOOKUP($T$284,'TAR FIN'!$A$1:$O$85,15,0))</f>
        <v>331.77</v>
      </c>
      <c r="X284" s="6">
        <f>IF(ISERROR(VLOOKUP($U$284,'TAR FIN'!$A$1:$O$85,15,0)),0,VLOOKUP($U$284,'TAR FIN'!$A$1:$O$85,15,0))</f>
        <v>124.36</v>
      </c>
      <c r="Y284" s="6"/>
      <c r="Z284" s="6">
        <f ca="1">('TUSD BE'!$AM$33+'TUSD BF'!$AM$33+'TUSD CVA'!$AM$33)*(1-CUSTOS!$M$38)</f>
        <v>390.73403238820225</v>
      </c>
      <c r="AA284" s="6">
        <f>('TE BE'!$AB$23+'TE BF'!$AB$23+'TE CVA'!$AB$23)*(1-CUSTOS!$M$38)</f>
        <v>127.65788581931002</v>
      </c>
      <c r="AB284" s="6">
        <f t="shared" si="14"/>
        <v>0</v>
      </c>
      <c r="AC284" s="6">
        <f>(L284-M284)*(W284+X284)+($W$141+$X$141-$W$284-$X$284)*(L284)</f>
        <v>1494.3212219999996</v>
      </c>
      <c r="AD284" s="6">
        <f t="shared" si="15"/>
        <v>0</v>
      </c>
      <c r="AE284" s="6">
        <f ca="1">(L284-M284)*(Z284+AA284)+($Z$141+$AA$141-$Z$284-$AA$284)*(L284)</f>
        <v>1531.007661618786</v>
      </c>
      <c r="AF284" s="4" t="s">
        <v>592</v>
      </c>
    </row>
    <row r="285" spans="1:32" ht="11.25" customHeight="1" x14ac:dyDescent="0.25">
      <c r="A285" s="4" t="s">
        <v>21</v>
      </c>
      <c r="B285" s="4" t="s">
        <v>40</v>
      </c>
      <c r="C285" s="4" t="s">
        <v>23</v>
      </c>
      <c r="D285" s="4" t="s">
        <v>41</v>
      </c>
      <c r="E285" s="4" t="s">
        <v>52</v>
      </c>
      <c r="F285" s="4" t="s">
        <v>51</v>
      </c>
      <c r="G285" s="4" t="s">
        <v>25</v>
      </c>
      <c r="H285" s="4" t="s">
        <v>25</v>
      </c>
      <c r="I285" s="5">
        <v>44774</v>
      </c>
      <c r="J285" s="6">
        <v>0</v>
      </c>
      <c r="K285" s="6">
        <v>0</v>
      </c>
      <c r="L285" s="6">
        <v>5.0010000000000003</v>
      </c>
      <c r="M285" s="6">
        <v>2.0004</v>
      </c>
      <c r="N285" s="6">
        <v>5.0010000000000003</v>
      </c>
      <c r="O285" s="6">
        <v>2.0004</v>
      </c>
      <c r="P285" s="6">
        <v>0</v>
      </c>
      <c r="Q285" s="4" t="s">
        <v>26</v>
      </c>
      <c r="R285" s="4">
        <v>0</v>
      </c>
      <c r="S285" s="4">
        <v>0</v>
      </c>
      <c r="T285" s="4">
        <v>30</v>
      </c>
      <c r="U285" s="4">
        <v>55</v>
      </c>
      <c r="V285" s="6">
        <f>IF(ISERROR(VLOOKUP($S$285,'TAR FIN'!$A$1:$O$85,15,0)),0,VLOOKUP($S$285,'TAR FIN'!$A$1:$O$85,15,0))</f>
        <v>0</v>
      </c>
      <c r="W285" s="6">
        <f>IF(ISERROR(VLOOKUP($T$285,'TAR FIN'!$A$1:$O$85,15,0)),0,VLOOKUP($T$285,'TAR FIN'!$A$1:$O$85,15,0))</f>
        <v>331.77</v>
      </c>
      <c r="X285" s="6">
        <f>IF(ISERROR(VLOOKUP($U$285,'TAR FIN'!$A$1:$O$85,15,0)),0,VLOOKUP($U$285,'TAR FIN'!$A$1:$O$85,15,0))</f>
        <v>124.36</v>
      </c>
      <c r="Y285" s="6"/>
      <c r="Z285" s="6">
        <f ca="1">('TUSD BE'!$AM$33+'TUSD BF'!$AM$33+'TUSD CVA'!$AM$33)*(1-CUSTOS!$M$38)</f>
        <v>390.73403238820225</v>
      </c>
      <c r="AA285" s="6">
        <f>('TE BE'!$AB$23+'TE BF'!$AB$23+'TE CVA'!$AB$23)*(1-CUSTOS!$M$38)</f>
        <v>127.65788581931002</v>
      </c>
      <c r="AB285" s="6">
        <f t="shared" si="14"/>
        <v>0</v>
      </c>
      <c r="AC285" s="6">
        <f>(L285-M285)*(W285+X285)+($W$141+$X$141-$W$285-$X$285)*(L285)</f>
        <v>1679.7258779999997</v>
      </c>
      <c r="AD285" s="6">
        <f t="shared" si="15"/>
        <v>0</v>
      </c>
      <c r="AE285" s="6">
        <f ca="1">(L285-M285)*(Z285+AA285)+($Z$141+$AA$141-$Z$285-$AA$285)*(L285)</f>
        <v>1720.9641078344687</v>
      </c>
      <c r="AF285" s="4" t="s">
        <v>592</v>
      </c>
    </row>
    <row r="286" spans="1:32" ht="11.25" customHeight="1" x14ac:dyDescent="0.25">
      <c r="A286" s="4" t="s">
        <v>21</v>
      </c>
      <c r="B286" s="4" t="s">
        <v>40</v>
      </c>
      <c r="C286" s="4" t="s">
        <v>23</v>
      </c>
      <c r="D286" s="4" t="s">
        <v>41</v>
      </c>
      <c r="E286" s="4" t="s">
        <v>25</v>
      </c>
      <c r="F286" s="4" t="s">
        <v>25</v>
      </c>
      <c r="G286" s="4" t="s">
        <v>25</v>
      </c>
      <c r="H286" s="4" t="s">
        <v>25</v>
      </c>
      <c r="I286" s="5">
        <v>44440</v>
      </c>
      <c r="J286" s="6">
        <v>0</v>
      </c>
      <c r="K286" s="6">
        <v>0</v>
      </c>
      <c r="L286" s="6">
        <v>3318.7579999999998</v>
      </c>
      <c r="M286" s="6">
        <v>3318.7579999999998</v>
      </c>
      <c r="N286" s="6">
        <v>3318.7579999999998</v>
      </c>
      <c r="O286" s="6">
        <v>3318.7579999999998</v>
      </c>
      <c r="P286" s="6">
        <v>6547</v>
      </c>
      <c r="Q286" s="4" t="s">
        <v>26</v>
      </c>
      <c r="R286" s="4">
        <v>0</v>
      </c>
      <c r="S286" s="4">
        <v>0</v>
      </c>
      <c r="T286" s="4">
        <v>30</v>
      </c>
      <c r="U286" s="4">
        <v>55</v>
      </c>
      <c r="V286" s="6">
        <f>IF(ISERROR(VLOOKUP($S$286,'TAR FIN'!$A$1:$O$85,15,0)),0,VLOOKUP($S$286,'TAR FIN'!$A$1:$O$85,15,0))</f>
        <v>0</v>
      </c>
      <c r="W286" s="6">
        <f>IF(ISERROR(VLOOKUP($T$286,'TAR FIN'!$A$1:$O$85,15,0)),0,VLOOKUP($T$286,'TAR FIN'!$A$1:$O$85,15,0))</f>
        <v>331.77</v>
      </c>
      <c r="X286" s="6">
        <f>IF(ISERROR(VLOOKUP($U$286,'TAR FIN'!$A$1:$O$85,15,0)),0,VLOOKUP($U$286,'TAR FIN'!$A$1:$O$85,15,0))</f>
        <v>124.36</v>
      </c>
      <c r="Y286" s="6"/>
      <c r="Z286" s="6">
        <f ca="1">('TUSD BE'!$AM$33+'TUSD BF'!$AM$33+'TUSD CVA'!$AM$33)*(1-CUSTOS!$M$38)</f>
        <v>390.73403238820225</v>
      </c>
      <c r="AA286" s="6">
        <f>('TE BE'!$AB$23+'TE BF'!$AB$23+'TE CVA'!$AB$23)*(1-CUSTOS!$M$38)</f>
        <v>127.65788581931002</v>
      </c>
      <c r="AB286" s="6">
        <f t="shared" si="14"/>
        <v>0</v>
      </c>
      <c r="AC286" s="6">
        <f>(L286-M286)*(W286+X286)+($W$141+$X$141-$W$286-$X$286)*(L286)</f>
        <v>206426.7475999998</v>
      </c>
      <c r="AD286" s="6">
        <f t="shared" si="15"/>
        <v>0</v>
      </c>
      <c r="AE286" s="6">
        <f ca="1">(L286-M286)*(Z286+AA286)+($Z$141+$AA$141-$Z$286-$AA$286)*(L286)</f>
        <v>109813.87185233184</v>
      </c>
      <c r="AF286" s="4" t="s">
        <v>590</v>
      </c>
    </row>
    <row r="287" spans="1:32" ht="11.25" customHeight="1" x14ac:dyDescent="0.25">
      <c r="A287" s="4" t="s">
        <v>27</v>
      </c>
      <c r="B287" s="4" t="s">
        <v>40</v>
      </c>
      <c r="C287" s="4" t="s">
        <v>23</v>
      </c>
      <c r="D287" s="4" t="s">
        <v>41</v>
      </c>
      <c r="E287" s="4" t="s">
        <v>25</v>
      </c>
      <c r="F287" s="4" t="s">
        <v>25</v>
      </c>
      <c r="G287" s="4" t="s">
        <v>25</v>
      </c>
      <c r="H287" s="4" t="s">
        <v>25</v>
      </c>
      <c r="I287" s="5">
        <v>44440</v>
      </c>
      <c r="J287" s="6">
        <v>0</v>
      </c>
      <c r="K287" s="6">
        <v>0</v>
      </c>
      <c r="L287" s="6">
        <v>-2.5430000000000001</v>
      </c>
      <c r="M287" s="6">
        <v>-2.5430000000000001</v>
      </c>
      <c r="N287" s="6">
        <v>-2.5430000000000001</v>
      </c>
      <c r="O287" s="6">
        <v>-2.5430000000000001</v>
      </c>
      <c r="P287" s="6">
        <v>0</v>
      </c>
      <c r="Q287" s="4" t="s">
        <v>26</v>
      </c>
      <c r="R287" s="4">
        <v>0</v>
      </c>
      <c r="S287" s="4">
        <v>0</v>
      </c>
      <c r="T287" s="4">
        <v>30</v>
      </c>
      <c r="U287" s="4">
        <v>55</v>
      </c>
      <c r="V287" s="6">
        <f>IF(ISERROR(VLOOKUP($S$287,'TAR FIN'!$A$1:$O$85,15,0)),0,VLOOKUP($S$287,'TAR FIN'!$A$1:$O$85,15,0))</f>
        <v>0</v>
      </c>
      <c r="W287" s="6">
        <f>IF(ISERROR(VLOOKUP($T$287,'TAR FIN'!$A$1:$O$85,15,0)),0,VLOOKUP($T$287,'TAR FIN'!$A$1:$O$85,15,0))</f>
        <v>331.77</v>
      </c>
      <c r="X287" s="6">
        <f>IF(ISERROR(VLOOKUP($U$287,'TAR FIN'!$A$1:$O$85,15,0)),0,VLOOKUP($U$287,'TAR FIN'!$A$1:$O$85,15,0))</f>
        <v>124.36</v>
      </c>
      <c r="Y287" s="6"/>
      <c r="Z287" s="6">
        <f ca="1">('TUSD BE'!$AM$33+'TUSD BF'!$AM$33+'TUSD CVA'!$AM$33)*(1-CUSTOS!$M$38)</f>
        <v>390.73403238820225</v>
      </c>
      <c r="AA287" s="6">
        <f>('TE BE'!$AB$23+'TE BF'!$AB$23+'TE CVA'!$AB$23)*(1-CUSTOS!$M$38)</f>
        <v>127.65788581931002</v>
      </c>
      <c r="AB287" s="6">
        <f t="shared" si="14"/>
        <v>0</v>
      </c>
      <c r="AC287" s="6">
        <f>(L287-M287)*(W287+X287)+($W$141+$X$141-$W$287-$X$287)*(L287)</f>
        <v>-158.17459999999988</v>
      </c>
      <c r="AD287" s="6">
        <f t="shared" si="15"/>
        <v>0</v>
      </c>
      <c r="AE287" s="6">
        <f ca="1">(L287-M287)*(Z287+AA287)+($Z$141+$AA$141-$Z$287-$AA$287)*(L287)</f>
        <v>-84.14493497883241</v>
      </c>
      <c r="AF287" s="4" t="s">
        <v>590</v>
      </c>
    </row>
    <row r="288" spans="1:32" ht="11.25" customHeight="1" x14ac:dyDescent="0.25">
      <c r="A288" s="4" t="s">
        <v>28</v>
      </c>
      <c r="B288" s="4" t="s">
        <v>40</v>
      </c>
      <c r="C288" s="4" t="s">
        <v>23</v>
      </c>
      <c r="D288" s="4" t="s">
        <v>41</v>
      </c>
      <c r="E288" s="4" t="s">
        <v>25</v>
      </c>
      <c r="F288" s="4" t="s">
        <v>25</v>
      </c>
      <c r="G288" s="4" t="s">
        <v>25</v>
      </c>
      <c r="H288" s="4" t="s">
        <v>25</v>
      </c>
      <c r="I288" s="5">
        <v>44440</v>
      </c>
      <c r="J288" s="6">
        <v>0</v>
      </c>
      <c r="K288" s="6">
        <v>0</v>
      </c>
      <c r="L288" s="6">
        <v>225.55</v>
      </c>
      <c r="M288" s="6">
        <v>225.55</v>
      </c>
      <c r="N288" s="6">
        <v>225.55</v>
      </c>
      <c r="O288" s="6">
        <v>225.55</v>
      </c>
      <c r="P288" s="6">
        <v>405</v>
      </c>
      <c r="Q288" s="4" t="s">
        <v>26</v>
      </c>
      <c r="R288" s="4">
        <v>0</v>
      </c>
      <c r="S288" s="4">
        <v>0</v>
      </c>
      <c r="T288" s="4">
        <v>30</v>
      </c>
      <c r="U288" s="4">
        <v>55</v>
      </c>
      <c r="V288" s="6">
        <f>IF(ISERROR(VLOOKUP($S$288,'TAR FIN'!$A$1:$O$85,15,0)),0,VLOOKUP($S$288,'TAR FIN'!$A$1:$O$85,15,0))</f>
        <v>0</v>
      </c>
      <c r="W288" s="6">
        <f>IF(ISERROR(VLOOKUP($T$288,'TAR FIN'!$A$1:$O$85,15,0)),0,VLOOKUP($T$288,'TAR FIN'!$A$1:$O$85,15,0))</f>
        <v>331.77</v>
      </c>
      <c r="X288" s="6">
        <f>IF(ISERROR(VLOOKUP($U$288,'TAR FIN'!$A$1:$O$85,15,0)),0,VLOOKUP($U$288,'TAR FIN'!$A$1:$O$85,15,0))</f>
        <v>124.36</v>
      </c>
      <c r="Y288" s="6"/>
      <c r="Z288" s="6">
        <f ca="1">('TUSD BE'!$AM$33+'TUSD BF'!$AM$33+'TUSD CVA'!$AM$33)*(1-CUSTOS!$M$38)</f>
        <v>390.73403238820225</v>
      </c>
      <c r="AA288" s="6">
        <f>('TE BE'!$AB$23+'TE BF'!$AB$23+'TE CVA'!$AB$23)*(1-CUSTOS!$M$38)</f>
        <v>127.65788581931002</v>
      </c>
      <c r="AB288" s="6">
        <f t="shared" si="14"/>
        <v>0</v>
      </c>
      <c r="AC288" s="6">
        <f>(L288-M288)*(W288+X288)+($W$141+$X$141-$W$288-$X$288)*(L288)</f>
        <v>14029.209999999988</v>
      </c>
      <c r="AD288" s="6">
        <f t="shared" si="15"/>
        <v>0</v>
      </c>
      <c r="AE288" s="6">
        <f ca="1">(L288-M288)*(Z288+AA288)+($Z$141+$AA$141-$Z$288-$AA$288)*(L288)</f>
        <v>7463.1891798960487</v>
      </c>
      <c r="AF288" s="4" t="s">
        <v>590</v>
      </c>
    </row>
    <row r="289" spans="1:32" ht="11.25" customHeight="1" x14ac:dyDescent="0.25">
      <c r="A289" s="4" t="s">
        <v>21</v>
      </c>
      <c r="B289" s="4" t="s">
        <v>40</v>
      </c>
      <c r="C289" s="4" t="s">
        <v>23</v>
      </c>
      <c r="D289" s="4" t="s">
        <v>41</v>
      </c>
      <c r="E289" s="4" t="s">
        <v>25</v>
      </c>
      <c r="F289" s="4" t="s">
        <v>25</v>
      </c>
      <c r="G289" s="4" t="s">
        <v>25</v>
      </c>
      <c r="H289" s="4" t="s">
        <v>25</v>
      </c>
      <c r="I289" s="5">
        <v>44470</v>
      </c>
      <c r="J289" s="6">
        <v>0</v>
      </c>
      <c r="K289" s="6">
        <v>0</v>
      </c>
      <c r="L289" s="6">
        <v>3208.328</v>
      </c>
      <c r="M289" s="6">
        <v>3208.328</v>
      </c>
      <c r="N289" s="6">
        <v>3208.328</v>
      </c>
      <c r="O289" s="6">
        <v>3208.328</v>
      </c>
      <c r="P289" s="6">
        <v>6542</v>
      </c>
      <c r="Q289" s="4" t="s">
        <v>26</v>
      </c>
      <c r="R289" s="4">
        <v>0</v>
      </c>
      <c r="S289" s="4">
        <v>0</v>
      </c>
      <c r="T289" s="4">
        <v>30</v>
      </c>
      <c r="U289" s="4">
        <v>55</v>
      </c>
      <c r="V289" s="6">
        <f>IF(ISERROR(VLOOKUP($S$289,'TAR FIN'!$A$1:$O$85,15,0)),0,VLOOKUP($S$289,'TAR FIN'!$A$1:$O$85,15,0))</f>
        <v>0</v>
      </c>
      <c r="W289" s="6">
        <f>IF(ISERROR(VLOOKUP($T$289,'TAR FIN'!$A$1:$O$85,15,0)),0,VLOOKUP($T$289,'TAR FIN'!$A$1:$O$85,15,0))</f>
        <v>331.77</v>
      </c>
      <c r="X289" s="6">
        <f>IF(ISERROR(VLOOKUP($U$289,'TAR FIN'!$A$1:$O$85,15,0)),0,VLOOKUP($U$289,'TAR FIN'!$A$1:$O$85,15,0))</f>
        <v>124.36</v>
      </c>
      <c r="Y289" s="6"/>
      <c r="Z289" s="6">
        <f ca="1">('TUSD BE'!$AM$33+'TUSD BF'!$AM$33+'TUSD CVA'!$AM$33)*(1-CUSTOS!$M$38)</f>
        <v>390.73403238820225</v>
      </c>
      <c r="AA289" s="6">
        <f>('TE BE'!$AB$23+'TE BF'!$AB$23+'TE CVA'!$AB$23)*(1-CUSTOS!$M$38)</f>
        <v>127.65788581931002</v>
      </c>
      <c r="AB289" s="6">
        <f t="shared" si="14"/>
        <v>0</v>
      </c>
      <c r="AC289" s="6">
        <f>(L289-M289)*(W289+X289)+($W$141+$X$141-$W$289-$X$289)*(L289)</f>
        <v>199558.00159999981</v>
      </c>
      <c r="AD289" s="6">
        <f t="shared" si="15"/>
        <v>0</v>
      </c>
      <c r="AE289" s="6">
        <f ca="1">(L289-M289)*(Z289+AA289)+($Z$141+$AA$141-$Z$289-$AA$289)*(L289)</f>
        <v>106159.87060588574</v>
      </c>
      <c r="AF289" s="4" t="s">
        <v>590</v>
      </c>
    </row>
    <row r="290" spans="1:32" ht="11.25" customHeight="1" x14ac:dyDescent="0.25">
      <c r="A290" s="4" t="s">
        <v>27</v>
      </c>
      <c r="B290" s="4" t="s">
        <v>40</v>
      </c>
      <c r="C290" s="4" t="s">
        <v>23</v>
      </c>
      <c r="D290" s="4" t="s">
        <v>41</v>
      </c>
      <c r="E290" s="4" t="s">
        <v>25</v>
      </c>
      <c r="F290" s="4" t="s">
        <v>25</v>
      </c>
      <c r="G290" s="4" t="s">
        <v>25</v>
      </c>
      <c r="H290" s="4" t="s">
        <v>25</v>
      </c>
      <c r="I290" s="5">
        <v>44470</v>
      </c>
      <c r="J290" s="6">
        <v>0</v>
      </c>
      <c r="K290" s="6">
        <v>0</v>
      </c>
      <c r="L290" s="6">
        <v>-0.76600000000000001</v>
      </c>
      <c r="M290" s="6">
        <v>-0.76600000000000001</v>
      </c>
      <c r="N290" s="6">
        <v>-0.76600000000000001</v>
      </c>
      <c r="O290" s="6">
        <v>-0.76600000000000001</v>
      </c>
      <c r="P290" s="6">
        <v>0</v>
      </c>
      <c r="Q290" s="4" t="s">
        <v>26</v>
      </c>
      <c r="R290" s="4">
        <v>0</v>
      </c>
      <c r="S290" s="4">
        <v>0</v>
      </c>
      <c r="T290" s="4">
        <v>30</v>
      </c>
      <c r="U290" s="4">
        <v>55</v>
      </c>
      <c r="V290" s="6">
        <f>IF(ISERROR(VLOOKUP($S$290,'TAR FIN'!$A$1:$O$85,15,0)),0,VLOOKUP($S$290,'TAR FIN'!$A$1:$O$85,15,0))</f>
        <v>0</v>
      </c>
      <c r="W290" s="6">
        <f>IF(ISERROR(VLOOKUP($T$290,'TAR FIN'!$A$1:$O$85,15,0)),0,VLOOKUP($T$290,'TAR FIN'!$A$1:$O$85,15,0))</f>
        <v>331.77</v>
      </c>
      <c r="X290" s="6">
        <f>IF(ISERROR(VLOOKUP($U$290,'TAR FIN'!$A$1:$O$85,15,0)),0,VLOOKUP($U$290,'TAR FIN'!$A$1:$O$85,15,0))</f>
        <v>124.36</v>
      </c>
      <c r="Y290" s="6"/>
      <c r="Z290" s="6">
        <f ca="1">('TUSD BE'!$AM$33+'TUSD BF'!$AM$33+'TUSD CVA'!$AM$33)*(1-CUSTOS!$M$38)</f>
        <v>390.73403238820225</v>
      </c>
      <c r="AA290" s="6">
        <f>('TE BE'!$AB$23+'TE BF'!$AB$23+'TE CVA'!$AB$23)*(1-CUSTOS!$M$38)</f>
        <v>127.65788581931002</v>
      </c>
      <c r="AB290" s="6">
        <f t="shared" si="14"/>
        <v>0</v>
      </c>
      <c r="AC290" s="6">
        <f>(L290-M290)*(W290+X290)+($W$141+$X$141-$W$290-$X$290)*(L290)</f>
        <v>-47.64519999999996</v>
      </c>
      <c r="AD290" s="6">
        <f t="shared" si="15"/>
        <v>0</v>
      </c>
      <c r="AE290" s="6">
        <f ca="1">(L290-M290)*(Z290+AA290)+($Z$141+$AA$141-$Z$290-$AA$290)*(L290)</f>
        <v>-25.346055915763124</v>
      </c>
      <c r="AF290" s="4" t="s">
        <v>590</v>
      </c>
    </row>
    <row r="291" spans="1:32" ht="11.25" customHeight="1" x14ac:dyDescent="0.25">
      <c r="A291" s="4" t="s">
        <v>28</v>
      </c>
      <c r="B291" s="4" t="s">
        <v>40</v>
      </c>
      <c r="C291" s="4" t="s">
        <v>23</v>
      </c>
      <c r="D291" s="4" t="s">
        <v>41</v>
      </c>
      <c r="E291" s="4" t="s">
        <v>25</v>
      </c>
      <c r="F291" s="4" t="s">
        <v>25</v>
      </c>
      <c r="G291" s="4" t="s">
        <v>25</v>
      </c>
      <c r="H291" s="4" t="s">
        <v>25</v>
      </c>
      <c r="I291" s="5">
        <v>44470</v>
      </c>
      <c r="J291" s="6">
        <v>0</v>
      </c>
      <c r="K291" s="6">
        <v>0</v>
      </c>
      <c r="L291" s="6">
        <v>225.51300000000001</v>
      </c>
      <c r="M291" s="6">
        <v>225.51300000000001</v>
      </c>
      <c r="N291" s="6">
        <v>225.51300000000001</v>
      </c>
      <c r="O291" s="6">
        <v>225.51300000000001</v>
      </c>
      <c r="P291" s="6">
        <v>413</v>
      </c>
      <c r="Q291" s="4" t="s">
        <v>26</v>
      </c>
      <c r="R291" s="4">
        <v>0</v>
      </c>
      <c r="S291" s="4">
        <v>0</v>
      </c>
      <c r="T291" s="4">
        <v>30</v>
      </c>
      <c r="U291" s="4">
        <v>55</v>
      </c>
      <c r="V291" s="6">
        <f>IF(ISERROR(VLOOKUP($S$291,'TAR FIN'!$A$1:$O$85,15,0)),0,VLOOKUP($S$291,'TAR FIN'!$A$1:$O$85,15,0))</f>
        <v>0</v>
      </c>
      <c r="W291" s="6">
        <f>IF(ISERROR(VLOOKUP($T$291,'TAR FIN'!$A$1:$O$85,15,0)),0,VLOOKUP($T$291,'TAR FIN'!$A$1:$O$85,15,0))</f>
        <v>331.77</v>
      </c>
      <c r="X291" s="6">
        <f>IF(ISERROR(VLOOKUP($U$291,'TAR FIN'!$A$1:$O$85,15,0)),0,VLOOKUP($U$291,'TAR FIN'!$A$1:$O$85,15,0))</f>
        <v>124.36</v>
      </c>
      <c r="Y291" s="6"/>
      <c r="Z291" s="6">
        <f ca="1">('TUSD BE'!$AM$33+'TUSD BF'!$AM$33+'TUSD CVA'!$AM$33)*(1-CUSTOS!$M$38)</f>
        <v>390.73403238820225</v>
      </c>
      <c r="AA291" s="6">
        <f>('TE BE'!$AB$23+'TE BF'!$AB$23+'TE CVA'!$AB$23)*(1-CUSTOS!$M$38)</f>
        <v>127.65788581931002</v>
      </c>
      <c r="AB291" s="6">
        <f t="shared" si="14"/>
        <v>0</v>
      </c>
      <c r="AC291" s="6">
        <f>(L291-M291)*(W291+X291)+($W$141+$X$141-$W$291-$X$291)*(L291)</f>
        <v>14026.908599999988</v>
      </c>
      <c r="AD291" s="6">
        <f t="shared" si="15"/>
        <v>0</v>
      </c>
      <c r="AE291" s="6">
        <f ca="1">(L291-M291)*(Z291+AA291)+($Z$141+$AA$141-$Z$291-$AA$291)*(L291)</f>
        <v>7461.9648925998563</v>
      </c>
      <c r="AF291" s="4" t="s">
        <v>590</v>
      </c>
    </row>
    <row r="292" spans="1:32" ht="11.25" customHeight="1" x14ac:dyDescent="0.25">
      <c r="A292" s="4" t="s">
        <v>21</v>
      </c>
      <c r="B292" s="4" t="s">
        <v>40</v>
      </c>
      <c r="C292" s="4" t="s">
        <v>23</v>
      </c>
      <c r="D292" s="4" t="s">
        <v>41</v>
      </c>
      <c r="E292" s="4" t="s">
        <v>25</v>
      </c>
      <c r="F292" s="4" t="s">
        <v>25</v>
      </c>
      <c r="G292" s="4" t="s">
        <v>25</v>
      </c>
      <c r="H292" s="4" t="s">
        <v>25</v>
      </c>
      <c r="I292" s="5">
        <v>44501</v>
      </c>
      <c r="J292" s="6">
        <v>0</v>
      </c>
      <c r="K292" s="6">
        <v>0</v>
      </c>
      <c r="L292" s="6">
        <v>3277.9079999999999</v>
      </c>
      <c r="M292" s="6">
        <v>3277.9079999999999</v>
      </c>
      <c r="N292" s="6">
        <v>3277.9079999999999</v>
      </c>
      <c r="O292" s="6">
        <v>3277.9079999999999</v>
      </c>
      <c r="P292" s="6">
        <v>6488</v>
      </c>
      <c r="Q292" s="4" t="s">
        <v>26</v>
      </c>
      <c r="R292" s="4">
        <v>0</v>
      </c>
      <c r="S292" s="4">
        <v>0</v>
      </c>
      <c r="T292" s="4">
        <v>30</v>
      </c>
      <c r="U292" s="4">
        <v>55</v>
      </c>
      <c r="V292" s="6">
        <f>IF(ISERROR(VLOOKUP($S$292,'TAR FIN'!$A$1:$O$85,15,0)),0,VLOOKUP($S$292,'TAR FIN'!$A$1:$O$85,15,0))</f>
        <v>0</v>
      </c>
      <c r="W292" s="6">
        <f>IF(ISERROR(VLOOKUP($T$292,'TAR FIN'!$A$1:$O$85,15,0)),0,VLOOKUP($T$292,'TAR FIN'!$A$1:$O$85,15,0))</f>
        <v>331.77</v>
      </c>
      <c r="X292" s="6">
        <f>IF(ISERROR(VLOOKUP($U$292,'TAR FIN'!$A$1:$O$85,15,0)),0,VLOOKUP($U$292,'TAR FIN'!$A$1:$O$85,15,0))</f>
        <v>124.36</v>
      </c>
      <c r="Y292" s="6"/>
      <c r="Z292" s="6">
        <f ca="1">('TUSD BE'!$AM$33+'TUSD BF'!$AM$33+'TUSD CVA'!$AM$33)*(1-CUSTOS!$M$38)</f>
        <v>390.73403238820225</v>
      </c>
      <c r="AA292" s="6">
        <f>('TE BE'!$AB$23+'TE BF'!$AB$23+'TE CVA'!$AB$23)*(1-CUSTOS!$M$38)</f>
        <v>127.65788581931002</v>
      </c>
      <c r="AB292" s="6">
        <f t="shared" si="14"/>
        <v>0</v>
      </c>
      <c r="AC292" s="6">
        <f>(L292-M292)*(W292+X292)+($W$141+$X$141-$W$292-$X$292)*(L292)</f>
        <v>203885.8775999998</v>
      </c>
      <c r="AD292" s="6">
        <f t="shared" si="15"/>
        <v>0</v>
      </c>
      <c r="AE292" s="6">
        <f ca="1">(L292-M292)*(Z292+AA292)+($Z$141+$AA$141-$Z$292-$AA$292)*(L292)</f>
        <v>108462.19249964396</v>
      </c>
      <c r="AF292" s="4" t="s">
        <v>590</v>
      </c>
    </row>
    <row r="293" spans="1:32" ht="11.25" customHeight="1" x14ac:dyDescent="0.25">
      <c r="A293" s="4" t="s">
        <v>27</v>
      </c>
      <c r="B293" s="4" t="s">
        <v>40</v>
      </c>
      <c r="C293" s="4" t="s">
        <v>23</v>
      </c>
      <c r="D293" s="4" t="s">
        <v>41</v>
      </c>
      <c r="E293" s="4" t="s">
        <v>25</v>
      </c>
      <c r="F293" s="4" t="s">
        <v>25</v>
      </c>
      <c r="G293" s="4" t="s">
        <v>25</v>
      </c>
      <c r="H293" s="4" t="s">
        <v>25</v>
      </c>
      <c r="I293" s="5">
        <v>44501</v>
      </c>
      <c r="J293" s="6">
        <v>0</v>
      </c>
      <c r="K293" s="6">
        <v>0</v>
      </c>
      <c r="L293" s="6">
        <v>9.4220000000000006</v>
      </c>
      <c r="M293" s="6">
        <v>9.4220000000000006</v>
      </c>
      <c r="N293" s="6">
        <v>9.4220000000000006</v>
      </c>
      <c r="O293" s="6">
        <v>9.4220000000000006</v>
      </c>
      <c r="P293" s="6">
        <v>0</v>
      </c>
      <c r="Q293" s="4" t="s">
        <v>26</v>
      </c>
      <c r="R293" s="4">
        <v>0</v>
      </c>
      <c r="S293" s="4">
        <v>0</v>
      </c>
      <c r="T293" s="4">
        <v>30</v>
      </c>
      <c r="U293" s="4">
        <v>55</v>
      </c>
      <c r="V293" s="6">
        <f>IF(ISERROR(VLOOKUP($S$293,'TAR FIN'!$A$1:$O$85,15,0)),0,VLOOKUP($S$293,'TAR FIN'!$A$1:$O$85,15,0))</f>
        <v>0</v>
      </c>
      <c r="W293" s="6">
        <f>IF(ISERROR(VLOOKUP($T$293,'TAR FIN'!$A$1:$O$85,15,0)),0,VLOOKUP($T$293,'TAR FIN'!$A$1:$O$85,15,0))</f>
        <v>331.77</v>
      </c>
      <c r="X293" s="6">
        <f>IF(ISERROR(VLOOKUP($U$293,'TAR FIN'!$A$1:$O$85,15,0)),0,VLOOKUP($U$293,'TAR FIN'!$A$1:$O$85,15,0))</f>
        <v>124.36</v>
      </c>
      <c r="Y293" s="6"/>
      <c r="Z293" s="6">
        <f ca="1">('TUSD BE'!$AM$33+'TUSD BF'!$AM$33+'TUSD CVA'!$AM$33)*(1-CUSTOS!$M$38)</f>
        <v>390.73403238820225</v>
      </c>
      <c r="AA293" s="6">
        <f>('TE BE'!$AB$23+'TE BF'!$AB$23+'TE CVA'!$AB$23)*(1-CUSTOS!$M$38)</f>
        <v>127.65788581931002</v>
      </c>
      <c r="AB293" s="6">
        <f t="shared" si="14"/>
        <v>0</v>
      </c>
      <c r="AC293" s="6">
        <f>(L293-M293)*(W293+X293)+($W$141+$X$141-$W$293-$X$293)*(L293)</f>
        <v>586.04839999999956</v>
      </c>
      <c r="AD293" s="6">
        <f t="shared" si="15"/>
        <v>0</v>
      </c>
      <c r="AE293" s="6">
        <f ca="1">(L293-M293)*(Z293+AA293)+($Z$141+$AA$141-$Z$293-$AA$293)*(L293)</f>
        <v>311.76310553305507</v>
      </c>
      <c r="AF293" s="4" t="s">
        <v>590</v>
      </c>
    </row>
    <row r="294" spans="1:32" ht="11.25" customHeight="1" x14ac:dyDescent="0.25">
      <c r="A294" s="4" t="s">
        <v>28</v>
      </c>
      <c r="B294" s="4" t="s">
        <v>40</v>
      </c>
      <c r="C294" s="4" t="s">
        <v>23</v>
      </c>
      <c r="D294" s="4" t="s">
        <v>41</v>
      </c>
      <c r="E294" s="4" t="s">
        <v>25</v>
      </c>
      <c r="F294" s="4" t="s">
        <v>25</v>
      </c>
      <c r="G294" s="4" t="s">
        <v>25</v>
      </c>
      <c r="H294" s="4" t="s">
        <v>25</v>
      </c>
      <c r="I294" s="5">
        <v>44501</v>
      </c>
      <c r="J294" s="6">
        <v>0</v>
      </c>
      <c r="K294" s="6">
        <v>0</v>
      </c>
      <c r="L294" s="6">
        <v>182.71199999999999</v>
      </c>
      <c r="M294" s="6">
        <v>182.71199999999999</v>
      </c>
      <c r="N294" s="6">
        <v>182.71199999999999</v>
      </c>
      <c r="O294" s="6">
        <v>182.71199999999999</v>
      </c>
      <c r="P294" s="6">
        <v>464</v>
      </c>
      <c r="Q294" s="4" t="s">
        <v>26</v>
      </c>
      <c r="R294" s="4">
        <v>0</v>
      </c>
      <c r="S294" s="4">
        <v>0</v>
      </c>
      <c r="T294" s="4">
        <v>30</v>
      </c>
      <c r="U294" s="4">
        <v>55</v>
      </c>
      <c r="V294" s="6">
        <f>IF(ISERROR(VLOOKUP($S$294,'TAR FIN'!$A$1:$O$85,15,0)),0,VLOOKUP($S$294,'TAR FIN'!$A$1:$O$85,15,0))</f>
        <v>0</v>
      </c>
      <c r="W294" s="6">
        <f>IF(ISERROR(VLOOKUP($T$294,'TAR FIN'!$A$1:$O$85,15,0)),0,VLOOKUP($T$294,'TAR FIN'!$A$1:$O$85,15,0))</f>
        <v>331.77</v>
      </c>
      <c r="X294" s="6">
        <f>IF(ISERROR(VLOOKUP($U$294,'TAR FIN'!$A$1:$O$85,15,0)),0,VLOOKUP($U$294,'TAR FIN'!$A$1:$O$85,15,0))</f>
        <v>124.36</v>
      </c>
      <c r="Y294" s="6"/>
      <c r="Z294" s="6">
        <f ca="1">('TUSD BE'!$AM$33+'TUSD BF'!$AM$33+'TUSD CVA'!$AM$33)*(1-CUSTOS!$M$38)</f>
        <v>390.73403238820225</v>
      </c>
      <c r="AA294" s="6">
        <f>('TE BE'!$AB$23+'TE BF'!$AB$23+'TE CVA'!$AB$23)*(1-CUSTOS!$M$38)</f>
        <v>127.65788581931002</v>
      </c>
      <c r="AB294" s="6">
        <f t="shared" si="14"/>
        <v>0</v>
      </c>
      <c r="AC294" s="6">
        <f>(L294-M294)*(W294+X294)+($W$141+$X$141-$W$294-$X$294)*(L294)</f>
        <v>11364.68639999999</v>
      </c>
      <c r="AD294" s="6">
        <f t="shared" si="15"/>
        <v>0</v>
      </c>
      <c r="AE294" s="6">
        <f ca="1">(L294-M294)*(Z294+AA294)+($Z$141+$AA$141-$Z$294-$AA$294)*(L294)</f>
        <v>6045.7292016722085</v>
      </c>
      <c r="AF294" s="4" t="s">
        <v>590</v>
      </c>
    </row>
    <row r="295" spans="1:32" ht="11.25" customHeight="1" x14ac:dyDescent="0.25">
      <c r="A295" s="4" t="s">
        <v>21</v>
      </c>
      <c r="B295" s="4" t="s">
        <v>40</v>
      </c>
      <c r="C295" s="4" t="s">
        <v>23</v>
      </c>
      <c r="D295" s="4" t="s">
        <v>41</v>
      </c>
      <c r="E295" s="4" t="s">
        <v>25</v>
      </c>
      <c r="F295" s="4" t="s">
        <v>25</v>
      </c>
      <c r="G295" s="4" t="s">
        <v>25</v>
      </c>
      <c r="H295" s="4" t="s">
        <v>25</v>
      </c>
      <c r="I295" s="5">
        <v>44531</v>
      </c>
      <c r="J295" s="6">
        <v>0</v>
      </c>
      <c r="K295" s="6">
        <v>0</v>
      </c>
      <c r="L295" s="6">
        <v>3180.2330000000002</v>
      </c>
      <c r="M295" s="6">
        <v>3180.2330000000002</v>
      </c>
      <c r="N295" s="6">
        <v>3180.2330000000002</v>
      </c>
      <c r="O295" s="6">
        <v>3180.2330000000002</v>
      </c>
      <c r="P295" s="6">
        <v>5569</v>
      </c>
      <c r="Q295" s="4" t="s">
        <v>26</v>
      </c>
      <c r="R295" s="4">
        <v>0</v>
      </c>
      <c r="S295" s="4">
        <v>0</v>
      </c>
      <c r="T295" s="4">
        <v>30</v>
      </c>
      <c r="U295" s="4">
        <v>55</v>
      </c>
      <c r="V295" s="6">
        <f>IF(ISERROR(VLOOKUP($S$295,'TAR FIN'!$A$1:$O$85,15,0)),0,VLOOKUP($S$295,'TAR FIN'!$A$1:$O$85,15,0))</f>
        <v>0</v>
      </c>
      <c r="W295" s="6">
        <f>IF(ISERROR(VLOOKUP($T$295,'TAR FIN'!$A$1:$O$85,15,0)),0,VLOOKUP($T$295,'TAR FIN'!$A$1:$O$85,15,0))</f>
        <v>331.77</v>
      </c>
      <c r="X295" s="6">
        <f>IF(ISERROR(VLOOKUP($U$295,'TAR FIN'!$A$1:$O$85,15,0)),0,VLOOKUP($U$295,'TAR FIN'!$A$1:$O$85,15,0))</f>
        <v>124.36</v>
      </c>
      <c r="Y295" s="6"/>
      <c r="Z295" s="6">
        <f ca="1">('TUSD BE'!$AM$33+'TUSD BF'!$AM$33+'TUSD CVA'!$AM$33)*(1-CUSTOS!$M$38)</f>
        <v>390.73403238820225</v>
      </c>
      <c r="AA295" s="6">
        <f>('TE BE'!$AB$23+'TE BF'!$AB$23+'TE CVA'!$AB$23)*(1-CUSTOS!$M$38)</f>
        <v>127.65788581931002</v>
      </c>
      <c r="AB295" s="6">
        <f t="shared" si="14"/>
        <v>0</v>
      </c>
      <c r="AC295" s="6">
        <f>(L295-M295)*(W295+X295)+($W$141+$X$141-$W$295-$X$295)*(L295)</f>
        <v>197810.49259999985</v>
      </c>
      <c r="AD295" s="6">
        <f t="shared" si="15"/>
        <v>0</v>
      </c>
      <c r="AE295" s="6">
        <f ca="1">(L295-M295)*(Z295+AA295)+($Z$141+$AA$141-$Z$295-$AA$295)*(L295)</f>
        <v>105230.23948192573</v>
      </c>
      <c r="AF295" s="4" t="s">
        <v>590</v>
      </c>
    </row>
    <row r="296" spans="1:32" ht="11.25" customHeight="1" x14ac:dyDescent="0.25">
      <c r="A296" s="4" t="s">
        <v>27</v>
      </c>
      <c r="B296" s="4" t="s">
        <v>40</v>
      </c>
      <c r="C296" s="4" t="s">
        <v>23</v>
      </c>
      <c r="D296" s="4" t="s">
        <v>41</v>
      </c>
      <c r="E296" s="4" t="s">
        <v>25</v>
      </c>
      <c r="F296" s="4" t="s">
        <v>25</v>
      </c>
      <c r="G296" s="4" t="s">
        <v>25</v>
      </c>
      <c r="H296" s="4" t="s">
        <v>25</v>
      </c>
      <c r="I296" s="5">
        <v>44531</v>
      </c>
      <c r="J296" s="6">
        <v>0</v>
      </c>
      <c r="K296" s="6">
        <v>0</v>
      </c>
      <c r="L296" s="6">
        <v>-0.621</v>
      </c>
      <c r="M296" s="6">
        <v>-0.621</v>
      </c>
      <c r="N296" s="6">
        <v>-0.621</v>
      </c>
      <c r="O296" s="6">
        <v>-0.621</v>
      </c>
      <c r="P296" s="6">
        <v>0</v>
      </c>
      <c r="Q296" s="4" t="s">
        <v>26</v>
      </c>
      <c r="R296" s="4">
        <v>0</v>
      </c>
      <c r="S296" s="4">
        <v>0</v>
      </c>
      <c r="T296" s="4">
        <v>30</v>
      </c>
      <c r="U296" s="4">
        <v>55</v>
      </c>
      <c r="V296" s="6">
        <f>IF(ISERROR(VLOOKUP($S$296,'TAR FIN'!$A$1:$O$85,15,0)),0,VLOOKUP($S$296,'TAR FIN'!$A$1:$O$85,15,0))</f>
        <v>0</v>
      </c>
      <c r="W296" s="6">
        <f>IF(ISERROR(VLOOKUP($T$296,'TAR FIN'!$A$1:$O$85,15,0)),0,VLOOKUP($T$296,'TAR FIN'!$A$1:$O$85,15,0))</f>
        <v>331.77</v>
      </c>
      <c r="X296" s="6">
        <f>IF(ISERROR(VLOOKUP($U$296,'TAR FIN'!$A$1:$O$85,15,0)),0,VLOOKUP($U$296,'TAR FIN'!$A$1:$O$85,15,0))</f>
        <v>124.36</v>
      </c>
      <c r="Y296" s="6"/>
      <c r="Z296" s="6">
        <f ca="1">('TUSD BE'!$AM$33+'TUSD BF'!$AM$33+'TUSD CVA'!$AM$33)*(1-CUSTOS!$M$38)</f>
        <v>390.73403238820225</v>
      </c>
      <c r="AA296" s="6">
        <f>('TE BE'!$AB$23+'TE BF'!$AB$23+'TE CVA'!$AB$23)*(1-CUSTOS!$M$38)</f>
        <v>127.65788581931002</v>
      </c>
      <c r="AB296" s="6">
        <f t="shared" si="14"/>
        <v>0</v>
      </c>
      <c r="AC296" s="6">
        <f>(L296-M296)*(W296+X296)+($W$141+$X$141-$W$296-$X$296)*(L296)</f>
        <v>-38.626199999999969</v>
      </c>
      <c r="AD296" s="6">
        <f t="shared" si="15"/>
        <v>0</v>
      </c>
      <c r="AE296" s="6">
        <f ca="1">(L296-M296)*(Z296+AA296)+($Z$141+$AA$141-$Z$296-$AA$296)*(L296)</f>
        <v>-20.548173268523367</v>
      </c>
      <c r="AF296" s="4" t="s">
        <v>590</v>
      </c>
    </row>
    <row r="297" spans="1:32" ht="11.25" customHeight="1" x14ac:dyDescent="0.25">
      <c r="A297" s="4" t="s">
        <v>28</v>
      </c>
      <c r="B297" s="4" t="s">
        <v>40</v>
      </c>
      <c r="C297" s="4" t="s">
        <v>23</v>
      </c>
      <c r="D297" s="4" t="s">
        <v>41</v>
      </c>
      <c r="E297" s="4" t="s">
        <v>25</v>
      </c>
      <c r="F297" s="4" t="s">
        <v>25</v>
      </c>
      <c r="G297" s="4" t="s">
        <v>25</v>
      </c>
      <c r="H297" s="4" t="s">
        <v>25</v>
      </c>
      <c r="I297" s="5">
        <v>44531</v>
      </c>
      <c r="J297" s="6">
        <v>0</v>
      </c>
      <c r="K297" s="6">
        <v>0</v>
      </c>
      <c r="L297" s="6">
        <v>181.08600000000001</v>
      </c>
      <c r="M297" s="6">
        <v>181.08600000000001</v>
      </c>
      <c r="N297" s="6">
        <v>181.08600000000001</v>
      </c>
      <c r="O297" s="6">
        <v>181.08600000000001</v>
      </c>
      <c r="P297" s="6">
        <v>492</v>
      </c>
      <c r="Q297" s="4" t="s">
        <v>26</v>
      </c>
      <c r="R297" s="4">
        <v>0</v>
      </c>
      <c r="S297" s="4">
        <v>0</v>
      </c>
      <c r="T297" s="4">
        <v>30</v>
      </c>
      <c r="U297" s="4">
        <v>55</v>
      </c>
      <c r="V297" s="6">
        <f>IF(ISERROR(VLOOKUP($S$297,'TAR FIN'!$A$1:$O$85,15,0)),0,VLOOKUP($S$297,'TAR FIN'!$A$1:$O$85,15,0))</f>
        <v>0</v>
      </c>
      <c r="W297" s="6">
        <f>IF(ISERROR(VLOOKUP($T$297,'TAR FIN'!$A$1:$O$85,15,0)),0,VLOOKUP($T$297,'TAR FIN'!$A$1:$O$85,15,0))</f>
        <v>331.77</v>
      </c>
      <c r="X297" s="6">
        <f>IF(ISERROR(VLOOKUP($U$297,'TAR FIN'!$A$1:$O$85,15,0)),0,VLOOKUP($U$297,'TAR FIN'!$A$1:$O$85,15,0))</f>
        <v>124.36</v>
      </c>
      <c r="Y297" s="6"/>
      <c r="Z297" s="6">
        <f ca="1">('TUSD BE'!$AM$33+'TUSD BF'!$AM$33+'TUSD CVA'!$AM$33)*(1-CUSTOS!$M$38)</f>
        <v>390.73403238820225</v>
      </c>
      <c r="AA297" s="6">
        <f>('TE BE'!$AB$23+'TE BF'!$AB$23+'TE CVA'!$AB$23)*(1-CUSTOS!$M$38)</f>
        <v>127.65788581931002</v>
      </c>
      <c r="AB297" s="6">
        <f t="shared" si="14"/>
        <v>0</v>
      </c>
      <c r="AC297" s="6">
        <f>(L297-M297)*(W297+X297)+($W$141+$X$141-$W$297-$X$297)*(L297)</f>
        <v>11263.54919999999</v>
      </c>
      <c r="AD297" s="6">
        <f t="shared" si="15"/>
        <v>0</v>
      </c>
      <c r="AE297" s="6">
        <f ca="1">(L297-M297)*(Z297+AA297)+($Z$141+$AA$141-$Z$297-$AA$297)*(L297)</f>
        <v>5991.9267383314382</v>
      </c>
      <c r="AF297" s="4" t="s">
        <v>590</v>
      </c>
    </row>
    <row r="298" spans="1:32" ht="11.25" customHeight="1" x14ac:dyDescent="0.25">
      <c r="A298" s="4" t="s">
        <v>28</v>
      </c>
      <c r="B298" s="4" t="s">
        <v>40</v>
      </c>
      <c r="C298" s="4" t="s">
        <v>23</v>
      </c>
      <c r="D298" s="4" t="s">
        <v>41</v>
      </c>
      <c r="E298" s="4" t="s">
        <v>25</v>
      </c>
      <c r="F298" s="4" t="s">
        <v>25</v>
      </c>
      <c r="G298" s="4" t="s">
        <v>25</v>
      </c>
      <c r="H298" s="4" t="s">
        <v>25</v>
      </c>
      <c r="I298" s="5">
        <v>44531</v>
      </c>
      <c r="J298" s="6">
        <v>0</v>
      </c>
      <c r="K298" s="6">
        <v>0</v>
      </c>
      <c r="L298" s="6">
        <v>-9.7929999999999993</v>
      </c>
      <c r="M298" s="6">
        <v>-9.7929999999999993</v>
      </c>
      <c r="N298" s="6">
        <v>-9.7929999999999993</v>
      </c>
      <c r="O298" s="6">
        <v>-9.7929999999999993</v>
      </c>
      <c r="P298" s="6">
        <v>6</v>
      </c>
      <c r="Q298" s="4" t="s">
        <v>26</v>
      </c>
      <c r="R298" s="4">
        <v>0</v>
      </c>
      <c r="S298" s="4">
        <v>0</v>
      </c>
      <c r="T298" s="4">
        <v>30</v>
      </c>
      <c r="U298" s="4">
        <v>55</v>
      </c>
      <c r="V298" s="6">
        <f>IF(ISERROR(VLOOKUP($S$298,'TAR FIN'!$A$1:$O$85,15,0)),0,VLOOKUP($S$298,'TAR FIN'!$A$1:$O$85,15,0))</f>
        <v>0</v>
      </c>
      <c r="W298" s="6">
        <f>IF(ISERROR(VLOOKUP($T$298,'TAR FIN'!$A$1:$O$85,15,0)),0,VLOOKUP($T$298,'TAR FIN'!$A$1:$O$85,15,0))</f>
        <v>331.77</v>
      </c>
      <c r="X298" s="6">
        <f>IF(ISERROR(VLOOKUP($U$298,'TAR FIN'!$A$1:$O$85,15,0)),0,VLOOKUP($U$298,'TAR FIN'!$A$1:$O$85,15,0))</f>
        <v>124.36</v>
      </c>
      <c r="Y298" s="6"/>
      <c r="Z298" s="6">
        <f ca="1">('TUSD BE'!$AM$33+'TUSD BF'!$AM$33+'TUSD CVA'!$AM$33)*(1-CUSTOS!$M$38)</f>
        <v>390.73403238820225</v>
      </c>
      <c r="AA298" s="6">
        <f>('TE BE'!$AB$23+'TE BF'!$AB$23+'TE CVA'!$AB$23)*(1-CUSTOS!$M$38)</f>
        <v>127.65788581931002</v>
      </c>
      <c r="AB298" s="6">
        <f t="shared" si="14"/>
        <v>0</v>
      </c>
      <c r="AC298" s="6">
        <f>(L298-M298)*(W298+X298)+($W$141+$X$141-$W$298-$X$298)*(L298)</f>
        <v>-609.12459999999942</v>
      </c>
      <c r="AD298" s="6">
        <f t="shared" si="15"/>
        <v>0</v>
      </c>
      <c r="AE298" s="6">
        <f ca="1">(L298-M298)*(Z298+AA298)+($Z$141+$AA$141-$Z$298-$AA$298)*(L298)</f>
        <v>-324.03906734082017</v>
      </c>
      <c r="AF298" s="4" t="s">
        <v>590</v>
      </c>
    </row>
    <row r="299" spans="1:32" ht="11.25" customHeight="1" x14ac:dyDescent="0.25">
      <c r="A299" s="4" t="s">
        <v>21</v>
      </c>
      <c r="B299" s="4" t="s">
        <v>40</v>
      </c>
      <c r="C299" s="4" t="s">
        <v>23</v>
      </c>
      <c r="D299" s="4" t="s">
        <v>41</v>
      </c>
      <c r="E299" s="4" t="s">
        <v>25</v>
      </c>
      <c r="F299" s="4" t="s">
        <v>25</v>
      </c>
      <c r="G299" s="4" t="s">
        <v>25</v>
      </c>
      <c r="H299" s="4" t="s">
        <v>25</v>
      </c>
      <c r="I299" s="5">
        <v>44562</v>
      </c>
      <c r="J299" s="6">
        <v>0</v>
      </c>
      <c r="K299" s="6">
        <v>0</v>
      </c>
      <c r="L299" s="6">
        <v>3726.4209999999998</v>
      </c>
      <c r="M299" s="6">
        <v>3726.4209999999998</v>
      </c>
      <c r="N299" s="6">
        <v>3726.4209999999998</v>
      </c>
      <c r="O299" s="6">
        <v>3726.4209999999998</v>
      </c>
      <c r="P299" s="6">
        <v>5588</v>
      </c>
      <c r="Q299" s="4" t="s">
        <v>26</v>
      </c>
      <c r="R299" s="4">
        <v>0</v>
      </c>
      <c r="S299" s="4">
        <v>0</v>
      </c>
      <c r="T299" s="4">
        <v>30</v>
      </c>
      <c r="U299" s="4">
        <v>55</v>
      </c>
      <c r="V299" s="6">
        <f>IF(ISERROR(VLOOKUP($S$299,'TAR FIN'!$A$1:$O$85,15,0)),0,VLOOKUP($S$299,'TAR FIN'!$A$1:$O$85,15,0))</f>
        <v>0</v>
      </c>
      <c r="W299" s="6">
        <f>IF(ISERROR(VLOOKUP($T$299,'TAR FIN'!$A$1:$O$85,15,0)),0,VLOOKUP($T$299,'TAR FIN'!$A$1:$O$85,15,0))</f>
        <v>331.77</v>
      </c>
      <c r="X299" s="6">
        <f>IF(ISERROR(VLOOKUP($U$299,'TAR FIN'!$A$1:$O$85,15,0)),0,VLOOKUP($U$299,'TAR FIN'!$A$1:$O$85,15,0))</f>
        <v>124.36</v>
      </c>
      <c r="Y299" s="6"/>
      <c r="Z299" s="6">
        <f ca="1">('TUSD BE'!$AM$33+'TUSD BF'!$AM$33+'TUSD CVA'!$AM$33)*(1-CUSTOS!$M$38)</f>
        <v>390.73403238820225</v>
      </c>
      <c r="AA299" s="6">
        <f>('TE BE'!$AB$23+'TE BF'!$AB$23+'TE CVA'!$AB$23)*(1-CUSTOS!$M$38)</f>
        <v>127.65788581931002</v>
      </c>
      <c r="AB299" s="6">
        <f t="shared" si="14"/>
        <v>0</v>
      </c>
      <c r="AC299" s="6">
        <f>(L299-M299)*(W299+X299)+($W$141+$X$141-$W$299-$X$299)*(L299)</f>
        <v>231783.38619999978</v>
      </c>
      <c r="AD299" s="6">
        <f t="shared" si="15"/>
        <v>0</v>
      </c>
      <c r="AE299" s="6">
        <f ca="1">(L299-M299)*(Z299+AA299)+($Z$141+$AA$141-$Z$299-$AA$299)*(L299)</f>
        <v>123302.97001524012</v>
      </c>
      <c r="AF299" s="4" t="s">
        <v>590</v>
      </c>
    </row>
    <row r="300" spans="1:32" ht="11.25" customHeight="1" x14ac:dyDescent="0.25">
      <c r="A300" s="4" t="s">
        <v>27</v>
      </c>
      <c r="B300" s="4" t="s">
        <v>40</v>
      </c>
      <c r="C300" s="4" t="s">
        <v>23</v>
      </c>
      <c r="D300" s="4" t="s">
        <v>41</v>
      </c>
      <c r="E300" s="4" t="s">
        <v>25</v>
      </c>
      <c r="F300" s="4" t="s">
        <v>25</v>
      </c>
      <c r="G300" s="4" t="s">
        <v>25</v>
      </c>
      <c r="H300" s="4" t="s">
        <v>25</v>
      </c>
      <c r="I300" s="5">
        <v>44562</v>
      </c>
      <c r="J300" s="6">
        <v>0</v>
      </c>
      <c r="K300" s="6">
        <v>0</v>
      </c>
      <c r="L300" s="6">
        <v>-1.607</v>
      </c>
      <c r="M300" s="6">
        <v>-1.607</v>
      </c>
      <c r="N300" s="6">
        <v>-1.607</v>
      </c>
      <c r="O300" s="6">
        <v>-1.607</v>
      </c>
      <c r="P300" s="6">
        <v>0</v>
      </c>
      <c r="Q300" s="4" t="s">
        <v>26</v>
      </c>
      <c r="R300" s="4">
        <v>0</v>
      </c>
      <c r="S300" s="4">
        <v>0</v>
      </c>
      <c r="T300" s="4">
        <v>30</v>
      </c>
      <c r="U300" s="4">
        <v>55</v>
      </c>
      <c r="V300" s="6">
        <f>IF(ISERROR(VLOOKUP($S$300,'TAR FIN'!$A$1:$O$85,15,0)),0,VLOOKUP($S$300,'TAR FIN'!$A$1:$O$85,15,0))</f>
        <v>0</v>
      </c>
      <c r="W300" s="6">
        <f>IF(ISERROR(VLOOKUP($T$300,'TAR FIN'!$A$1:$O$85,15,0)),0,VLOOKUP($T$300,'TAR FIN'!$A$1:$O$85,15,0))</f>
        <v>331.77</v>
      </c>
      <c r="X300" s="6">
        <f>IF(ISERROR(VLOOKUP($U$300,'TAR FIN'!$A$1:$O$85,15,0)),0,VLOOKUP($U$300,'TAR FIN'!$A$1:$O$85,15,0))</f>
        <v>124.36</v>
      </c>
      <c r="Y300" s="6"/>
      <c r="Z300" s="6">
        <f ca="1">('TUSD BE'!$AM$33+'TUSD BF'!$AM$33+'TUSD CVA'!$AM$33)*(1-CUSTOS!$M$38)</f>
        <v>390.73403238820225</v>
      </c>
      <c r="AA300" s="6">
        <f>('TE BE'!$AB$23+'TE BF'!$AB$23+'TE CVA'!$AB$23)*(1-CUSTOS!$M$38)</f>
        <v>127.65788581931002</v>
      </c>
      <c r="AB300" s="6">
        <f t="shared" si="14"/>
        <v>0</v>
      </c>
      <c r="AC300" s="6">
        <f>(L300-M300)*(W300+X300)+($W$141+$X$141-$W$300-$X$300)*(L300)</f>
        <v>-99.955399999999912</v>
      </c>
      <c r="AD300" s="6">
        <f t="shared" si="15"/>
        <v>0</v>
      </c>
      <c r="AE300" s="6">
        <f ca="1">(L300-M300)*(Z300+AA300)+($Z$141+$AA$141-$Z$300-$AA$300)*(L300)</f>
        <v>-53.173775269753712</v>
      </c>
      <c r="AF300" s="4" t="s">
        <v>590</v>
      </c>
    </row>
    <row r="301" spans="1:32" ht="11.25" customHeight="1" x14ac:dyDescent="0.25">
      <c r="A301" s="4" t="s">
        <v>28</v>
      </c>
      <c r="B301" s="4" t="s">
        <v>40</v>
      </c>
      <c r="C301" s="4" t="s">
        <v>23</v>
      </c>
      <c r="D301" s="4" t="s">
        <v>41</v>
      </c>
      <c r="E301" s="4" t="s">
        <v>25</v>
      </c>
      <c r="F301" s="4" t="s">
        <v>25</v>
      </c>
      <c r="G301" s="4" t="s">
        <v>25</v>
      </c>
      <c r="H301" s="4" t="s">
        <v>25</v>
      </c>
      <c r="I301" s="5">
        <v>44562</v>
      </c>
      <c r="J301" s="6">
        <v>0</v>
      </c>
      <c r="K301" s="6">
        <v>0</v>
      </c>
      <c r="L301" s="6">
        <v>362.125</v>
      </c>
      <c r="M301" s="6">
        <v>362.125</v>
      </c>
      <c r="N301" s="6">
        <v>362.125</v>
      </c>
      <c r="O301" s="6">
        <v>362.125</v>
      </c>
      <c r="P301" s="6">
        <v>525</v>
      </c>
      <c r="Q301" s="4" t="s">
        <v>26</v>
      </c>
      <c r="R301" s="4">
        <v>0</v>
      </c>
      <c r="S301" s="4">
        <v>0</v>
      </c>
      <c r="T301" s="4">
        <v>30</v>
      </c>
      <c r="U301" s="4">
        <v>55</v>
      </c>
      <c r="V301" s="6">
        <f>IF(ISERROR(VLOOKUP($S$301,'TAR FIN'!$A$1:$O$85,15,0)),0,VLOOKUP($S$301,'TAR FIN'!$A$1:$O$85,15,0))</f>
        <v>0</v>
      </c>
      <c r="W301" s="6">
        <f>IF(ISERROR(VLOOKUP($T$301,'TAR FIN'!$A$1:$O$85,15,0)),0,VLOOKUP($T$301,'TAR FIN'!$A$1:$O$85,15,0))</f>
        <v>331.77</v>
      </c>
      <c r="X301" s="6">
        <f>IF(ISERROR(VLOOKUP($U$301,'TAR FIN'!$A$1:$O$85,15,0)),0,VLOOKUP($U$301,'TAR FIN'!$A$1:$O$85,15,0))</f>
        <v>124.36</v>
      </c>
      <c r="Y301" s="6"/>
      <c r="Z301" s="6">
        <f ca="1">('TUSD BE'!$AM$33+'TUSD BF'!$AM$33+'TUSD CVA'!$AM$33)*(1-CUSTOS!$M$38)</f>
        <v>390.73403238820225</v>
      </c>
      <c r="AA301" s="6">
        <f>('TE BE'!$AB$23+'TE BF'!$AB$23+'TE CVA'!$AB$23)*(1-CUSTOS!$M$38)</f>
        <v>127.65788581931002</v>
      </c>
      <c r="AB301" s="6">
        <f t="shared" si="14"/>
        <v>0</v>
      </c>
      <c r="AC301" s="6">
        <f>(L301-M301)*(W301+X301)+($W$141+$X$141-$W$301-$X$301)*(L301)</f>
        <v>22524.174999999981</v>
      </c>
      <c r="AD301" s="6">
        <f t="shared" si="15"/>
        <v>0</v>
      </c>
      <c r="AE301" s="6">
        <f ca="1">(L301-M301)*(Z301+AA301)+($Z$141+$AA$141-$Z$301-$AA$301)*(L301)</f>
        <v>11982.298300908253</v>
      </c>
      <c r="AF301" s="4" t="s">
        <v>590</v>
      </c>
    </row>
    <row r="302" spans="1:32" ht="11.25" customHeight="1" x14ac:dyDescent="0.25">
      <c r="A302" s="4" t="s">
        <v>21</v>
      </c>
      <c r="B302" s="4" t="s">
        <v>40</v>
      </c>
      <c r="C302" s="4" t="s">
        <v>23</v>
      </c>
      <c r="D302" s="4" t="s">
        <v>41</v>
      </c>
      <c r="E302" s="4" t="s">
        <v>25</v>
      </c>
      <c r="F302" s="4" t="s">
        <v>25</v>
      </c>
      <c r="G302" s="4" t="s">
        <v>25</v>
      </c>
      <c r="H302" s="4" t="s">
        <v>25</v>
      </c>
      <c r="I302" s="5">
        <v>44593</v>
      </c>
      <c r="J302" s="6">
        <v>0</v>
      </c>
      <c r="K302" s="6">
        <v>0</v>
      </c>
      <c r="L302" s="6">
        <v>3680.212</v>
      </c>
      <c r="M302" s="6">
        <v>3680.212</v>
      </c>
      <c r="N302" s="6">
        <v>3680.212</v>
      </c>
      <c r="O302" s="6">
        <v>3680.212</v>
      </c>
      <c r="P302" s="6">
        <v>5613</v>
      </c>
      <c r="Q302" s="4" t="s">
        <v>26</v>
      </c>
      <c r="R302" s="4">
        <v>0</v>
      </c>
      <c r="S302" s="4">
        <v>0</v>
      </c>
      <c r="T302" s="4">
        <v>30</v>
      </c>
      <c r="U302" s="4">
        <v>55</v>
      </c>
      <c r="V302" s="6">
        <f>IF(ISERROR(VLOOKUP($S$302,'TAR FIN'!$A$1:$O$85,15,0)),0,VLOOKUP($S$302,'TAR FIN'!$A$1:$O$85,15,0))</f>
        <v>0</v>
      </c>
      <c r="W302" s="6">
        <f>IF(ISERROR(VLOOKUP($T$302,'TAR FIN'!$A$1:$O$85,15,0)),0,VLOOKUP($T$302,'TAR FIN'!$A$1:$O$85,15,0))</f>
        <v>331.77</v>
      </c>
      <c r="X302" s="6">
        <f>IF(ISERROR(VLOOKUP($U$302,'TAR FIN'!$A$1:$O$85,15,0)),0,VLOOKUP($U$302,'TAR FIN'!$A$1:$O$85,15,0))</f>
        <v>124.36</v>
      </c>
      <c r="Y302" s="6"/>
      <c r="Z302" s="6">
        <f ca="1">('TUSD BE'!$AM$33+'TUSD BF'!$AM$33+'TUSD CVA'!$AM$33)*(1-CUSTOS!$M$38)</f>
        <v>390.73403238820225</v>
      </c>
      <c r="AA302" s="6">
        <f>('TE BE'!$AB$23+'TE BF'!$AB$23+'TE CVA'!$AB$23)*(1-CUSTOS!$M$38)</f>
        <v>127.65788581931002</v>
      </c>
      <c r="AB302" s="6">
        <f t="shared" si="14"/>
        <v>0</v>
      </c>
      <c r="AC302" s="6">
        <f>(L302-M302)*(W302+X302)+($W$141+$X$141-$W$302-$X$302)*(L302)</f>
        <v>228909.1863999998</v>
      </c>
      <c r="AD302" s="6">
        <f t="shared" si="15"/>
        <v>0</v>
      </c>
      <c r="AE302" s="6">
        <f ca="1">(L302-M302)*(Z302+AA302)+($Z$141+$AA$141-$Z$302-$AA$302)*(L302)</f>
        <v>121773.96753767943</v>
      </c>
      <c r="AF302" s="4" t="s">
        <v>590</v>
      </c>
    </row>
    <row r="303" spans="1:32" ht="11.25" customHeight="1" x14ac:dyDescent="0.25">
      <c r="A303" s="4" t="s">
        <v>27</v>
      </c>
      <c r="B303" s="4" t="s">
        <v>40</v>
      </c>
      <c r="C303" s="4" t="s">
        <v>23</v>
      </c>
      <c r="D303" s="4" t="s">
        <v>41</v>
      </c>
      <c r="E303" s="4" t="s">
        <v>25</v>
      </c>
      <c r="F303" s="4" t="s">
        <v>25</v>
      </c>
      <c r="G303" s="4" t="s">
        <v>25</v>
      </c>
      <c r="H303" s="4" t="s">
        <v>25</v>
      </c>
      <c r="I303" s="5">
        <v>44593</v>
      </c>
      <c r="J303" s="6">
        <v>0</v>
      </c>
      <c r="K303" s="6">
        <v>0</v>
      </c>
      <c r="L303" s="6">
        <v>0.75800000000000001</v>
      </c>
      <c r="M303" s="6">
        <v>0.75800000000000001</v>
      </c>
      <c r="N303" s="6">
        <v>0.75800000000000001</v>
      </c>
      <c r="O303" s="6">
        <v>0.75800000000000001</v>
      </c>
      <c r="P303" s="6">
        <v>0</v>
      </c>
      <c r="Q303" s="4" t="s">
        <v>26</v>
      </c>
      <c r="R303" s="4">
        <v>0</v>
      </c>
      <c r="S303" s="4">
        <v>0</v>
      </c>
      <c r="T303" s="4">
        <v>30</v>
      </c>
      <c r="U303" s="4">
        <v>55</v>
      </c>
      <c r="V303" s="6">
        <f>IF(ISERROR(VLOOKUP($S$303,'TAR FIN'!$A$1:$O$85,15,0)),0,VLOOKUP($S$303,'TAR FIN'!$A$1:$O$85,15,0))</f>
        <v>0</v>
      </c>
      <c r="W303" s="6">
        <f>IF(ISERROR(VLOOKUP($T$303,'TAR FIN'!$A$1:$O$85,15,0)),0,VLOOKUP($T$303,'TAR FIN'!$A$1:$O$85,15,0))</f>
        <v>331.77</v>
      </c>
      <c r="X303" s="6">
        <f>IF(ISERROR(VLOOKUP($U$303,'TAR FIN'!$A$1:$O$85,15,0)),0,VLOOKUP($U$303,'TAR FIN'!$A$1:$O$85,15,0))</f>
        <v>124.36</v>
      </c>
      <c r="Y303" s="6"/>
      <c r="Z303" s="6">
        <f ca="1">('TUSD BE'!$AM$33+'TUSD BF'!$AM$33+'TUSD CVA'!$AM$33)*(1-CUSTOS!$M$38)</f>
        <v>390.73403238820225</v>
      </c>
      <c r="AA303" s="6">
        <f>('TE BE'!$AB$23+'TE BF'!$AB$23+'TE CVA'!$AB$23)*(1-CUSTOS!$M$38)</f>
        <v>127.65788581931002</v>
      </c>
      <c r="AB303" s="6">
        <f t="shared" si="14"/>
        <v>0</v>
      </c>
      <c r="AC303" s="6">
        <f>(L303-M303)*(W303+X303)+($W$141+$X$141-$W$303-$X$303)*(L303)</f>
        <v>47.147599999999962</v>
      </c>
      <c r="AD303" s="6">
        <f t="shared" si="15"/>
        <v>0</v>
      </c>
      <c r="AE303" s="6">
        <f ca="1">(L303-M303)*(Z303+AA303)+($Z$141+$AA$141-$Z$303-$AA$303)*(L303)</f>
        <v>25.081345149018862</v>
      </c>
      <c r="AF303" s="4" t="s">
        <v>590</v>
      </c>
    </row>
    <row r="304" spans="1:32" ht="11.25" customHeight="1" x14ac:dyDescent="0.25">
      <c r="A304" s="4" t="s">
        <v>28</v>
      </c>
      <c r="B304" s="4" t="s">
        <v>40</v>
      </c>
      <c r="C304" s="4" t="s">
        <v>23</v>
      </c>
      <c r="D304" s="4" t="s">
        <v>41</v>
      </c>
      <c r="E304" s="4" t="s">
        <v>25</v>
      </c>
      <c r="F304" s="4" t="s">
        <v>25</v>
      </c>
      <c r="G304" s="4" t="s">
        <v>25</v>
      </c>
      <c r="H304" s="4" t="s">
        <v>25</v>
      </c>
      <c r="I304" s="5">
        <v>44593</v>
      </c>
      <c r="J304" s="6">
        <v>0</v>
      </c>
      <c r="K304" s="6">
        <v>0</v>
      </c>
      <c r="L304" s="6">
        <v>311.85500000000002</v>
      </c>
      <c r="M304" s="6">
        <v>311.85500000000002</v>
      </c>
      <c r="N304" s="6">
        <v>311.85500000000002</v>
      </c>
      <c r="O304" s="6">
        <v>311.85500000000002</v>
      </c>
      <c r="P304" s="6">
        <v>542</v>
      </c>
      <c r="Q304" s="4" t="s">
        <v>26</v>
      </c>
      <c r="R304" s="4">
        <v>0</v>
      </c>
      <c r="S304" s="4">
        <v>0</v>
      </c>
      <c r="T304" s="4">
        <v>30</v>
      </c>
      <c r="U304" s="4">
        <v>55</v>
      </c>
      <c r="V304" s="6">
        <f>IF(ISERROR(VLOOKUP($S$304,'TAR FIN'!$A$1:$O$85,15,0)),0,VLOOKUP($S$304,'TAR FIN'!$A$1:$O$85,15,0))</f>
        <v>0</v>
      </c>
      <c r="W304" s="6">
        <f>IF(ISERROR(VLOOKUP($T$304,'TAR FIN'!$A$1:$O$85,15,0)),0,VLOOKUP($T$304,'TAR FIN'!$A$1:$O$85,15,0))</f>
        <v>331.77</v>
      </c>
      <c r="X304" s="6">
        <f>IF(ISERROR(VLOOKUP($U$304,'TAR FIN'!$A$1:$O$85,15,0)),0,VLOOKUP($U$304,'TAR FIN'!$A$1:$O$85,15,0))</f>
        <v>124.36</v>
      </c>
      <c r="Y304" s="6"/>
      <c r="Z304" s="6">
        <f ca="1">('TUSD BE'!$AM$33+'TUSD BF'!$AM$33+'TUSD CVA'!$AM$33)*(1-CUSTOS!$M$38)</f>
        <v>390.73403238820225</v>
      </c>
      <c r="AA304" s="6">
        <f>('TE BE'!$AB$23+'TE BF'!$AB$23+'TE CVA'!$AB$23)*(1-CUSTOS!$M$38)</f>
        <v>127.65788581931002</v>
      </c>
      <c r="AB304" s="6">
        <f t="shared" si="14"/>
        <v>0</v>
      </c>
      <c r="AC304" s="6">
        <f>(L304-M304)*(W304+X304)+($W$141+$X$141-$W$304-$X$304)*(L304)</f>
        <v>19397.380999999983</v>
      </c>
      <c r="AD304" s="6">
        <f t="shared" si="15"/>
        <v>0</v>
      </c>
      <c r="AE304" s="6">
        <f ca="1">(L304-M304)*(Z304+AA304)+($Z$141+$AA$141-$Z$304-$AA$304)*(L304)</f>
        <v>10318.922020378994</v>
      </c>
      <c r="AF304" s="4" t="s">
        <v>590</v>
      </c>
    </row>
    <row r="305" spans="1:32" ht="11.25" customHeight="1" x14ac:dyDescent="0.25">
      <c r="A305" s="4" t="s">
        <v>28</v>
      </c>
      <c r="B305" s="4" t="s">
        <v>40</v>
      </c>
      <c r="C305" s="4" t="s">
        <v>23</v>
      </c>
      <c r="D305" s="4" t="s">
        <v>41</v>
      </c>
      <c r="E305" s="4" t="s">
        <v>25</v>
      </c>
      <c r="F305" s="4" t="s">
        <v>25</v>
      </c>
      <c r="G305" s="4" t="s">
        <v>25</v>
      </c>
      <c r="H305" s="4" t="s">
        <v>25</v>
      </c>
      <c r="I305" s="5">
        <v>44593</v>
      </c>
      <c r="J305" s="6">
        <v>0</v>
      </c>
      <c r="K305" s="6">
        <v>0</v>
      </c>
      <c r="L305" s="6">
        <v>-7.0259999999999998</v>
      </c>
      <c r="M305" s="6">
        <v>-7.0259999999999998</v>
      </c>
      <c r="N305" s="6">
        <v>-7.0259999999999998</v>
      </c>
      <c r="O305" s="6">
        <v>-7.0259999999999998</v>
      </c>
      <c r="P305" s="6">
        <v>5</v>
      </c>
      <c r="Q305" s="4" t="s">
        <v>26</v>
      </c>
      <c r="R305" s="4">
        <v>0</v>
      </c>
      <c r="S305" s="4">
        <v>0</v>
      </c>
      <c r="T305" s="4">
        <v>30</v>
      </c>
      <c r="U305" s="4">
        <v>55</v>
      </c>
      <c r="V305" s="6">
        <f>IF(ISERROR(VLOOKUP($S$305,'TAR FIN'!$A$1:$O$85,15,0)),0,VLOOKUP($S$305,'TAR FIN'!$A$1:$O$85,15,0))</f>
        <v>0</v>
      </c>
      <c r="W305" s="6">
        <f>IF(ISERROR(VLOOKUP($T$305,'TAR FIN'!$A$1:$O$85,15,0)),0,VLOOKUP($T$305,'TAR FIN'!$A$1:$O$85,15,0))</f>
        <v>331.77</v>
      </c>
      <c r="X305" s="6">
        <f>IF(ISERROR(VLOOKUP($U$305,'TAR FIN'!$A$1:$O$85,15,0)),0,VLOOKUP($U$305,'TAR FIN'!$A$1:$O$85,15,0))</f>
        <v>124.36</v>
      </c>
      <c r="Y305" s="6"/>
      <c r="Z305" s="6">
        <f ca="1">('TUSD BE'!$AM$33+'TUSD BF'!$AM$33+'TUSD CVA'!$AM$33)*(1-CUSTOS!$M$38)</f>
        <v>390.73403238820225</v>
      </c>
      <c r="AA305" s="6">
        <f>('TE BE'!$AB$23+'TE BF'!$AB$23+'TE CVA'!$AB$23)*(1-CUSTOS!$M$38)</f>
        <v>127.65788581931002</v>
      </c>
      <c r="AB305" s="6">
        <f t="shared" si="14"/>
        <v>0</v>
      </c>
      <c r="AC305" s="6">
        <f>(L305-M305)*(W305+X305)+($W$141+$X$141-$W$305-$X$305)*(L305)</f>
        <v>-437.0171999999996</v>
      </c>
      <c r="AD305" s="6">
        <f t="shared" si="15"/>
        <v>0</v>
      </c>
      <c r="AE305" s="6">
        <f ca="1">(L305-M305)*(Z305+AA305)+($Z$141+$AA$141-$Z$305-$AA$305)*(L305)</f>
        <v>-232.48223089314845</v>
      </c>
      <c r="AF305" s="4" t="s">
        <v>590</v>
      </c>
    </row>
    <row r="306" spans="1:32" ht="11.25" customHeight="1" x14ac:dyDescent="0.25">
      <c r="A306" s="4" t="s">
        <v>21</v>
      </c>
      <c r="B306" s="4" t="s">
        <v>40</v>
      </c>
      <c r="C306" s="4" t="s">
        <v>23</v>
      </c>
      <c r="D306" s="4" t="s">
        <v>41</v>
      </c>
      <c r="E306" s="4" t="s">
        <v>25</v>
      </c>
      <c r="F306" s="4" t="s">
        <v>25</v>
      </c>
      <c r="G306" s="4" t="s">
        <v>25</v>
      </c>
      <c r="H306" s="4" t="s">
        <v>25</v>
      </c>
      <c r="I306" s="5">
        <v>44621</v>
      </c>
      <c r="J306" s="6">
        <v>0</v>
      </c>
      <c r="K306" s="6">
        <v>0</v>
      </c>
      <c r="L306" s="6">
        <v>3204.8240000000001</v>
      </c>
      <c r="M306" s="6">
        <v>3204.8240000000001</v>
      </c>
      <c r="N306" s="6">
        <v>3204.8240000000001</v>
      </c>
      <c r="O306" s="6">
        <v>3204.8240000000001</v>
      </c>
      <c r="P306" s="6">
        <v>5590</v>
      </c>
      <c r="Q306" s="4" t="s">
        <v>26</v>
      </c>
      <c r="R306" s="4">
        <v>0</v>
      </c>
      <c r="S306" s="4">
        <v>0</v>
      </c>
      <c r="T306" s="4">
        <v>30</v>
      </c>
      <c r="U306" s="4">
        <v>55</v>
      </c>
      <c r="V306" s="6">
        <f>IF(ISERROR(VLOOKUP($S$306,'TAR FIN'!$A$1:$O$85,15,0)),0,VLOOKUP($S$306,'TAR FIN'!$A$1:$O$85,15,0))</f>
        <v>0</v>
      </c>
      <c r="W306" s="6">
        <f>IF(ISERROR(VLOOKUP($T$306,'TAR FIN'!$A$1:$O$85,15,0)),0,VLOOKUP($T$306,'TAR FIN'!$A$1:$O$85,15,0))</f>
        <v>331.77</v>
      </c>
      <c r="X306" s="6">
        <f>IF(ISERROR(VLOOKUP($U$306,'TAR FIN'!$A$1:$O$85,15,0)),0,VLOOKUP($U$306,'TAR FIN'!$A$1:$O$85,15,0))</f>
        <v>124.36</v>
      </c>
      <c r="Y306" s="6"/>
      <c r="Z306" s="6">
        <f ca="1">('TUSD BE'!$AM$33+'TUSD BF'!$AM$33+'TUSD CVA'!$AM$33)*(1-CUSTOS!$M$38)</f>
        <v>390.73403238820225</v>
      </c>
      <c r="AA306" s="6">
        <f>('TE BE'!$AB$23+'TE BF'!$AB$23+'TE CVA'!$AB$23)*(1-CUSTOS!$M$38)</f>
        <v>127.65788581931002</v>
      </c>
      <c r="AB306" s="6">
        <f t="shared" si="14"/>
        <v>0</v>
      </c>
      <c r="AC306" s="6">
        <f>(L306-M306)*(W306+X306)+($W$141+$X$141-$W$306-$X$306)*(L306)</f>
        <v>199340.05279999983</v>
      </c>
      <c r="AD306" s="6">
        <f t="shared" si="15"/>
        <v>0</v>
      </c>
      <c r="AE306" s="6">
        <f ca="1">(L306-M306)*(Z306+AA306)+($Z$141+$AA$141-$Z$306-$AA$306)*(L306)</f>
        <v>106043.92729005175</v>
      </c>
      <c r="AF306" s="4" t="s">
        <v>590</v>
      </c>
    </row>
    <row r="307" spans="1:32" ht="11.25" customHeight="1" x14ac:dyDescent="0.25">
      <c r="A307" s="4" t="s">
        <v>27</v>
      </c>
      <c r="B307" s="4" t="s">
        <v>40</v>
      </c>
      <c r="C307" s="4" t="s">
        <v>23</v>
      </c>
      <c r="D307" s="4" t="s">
        <v>41</v>
      </c>
      <c r="E307" s="4" t="s">
        <v>25</v>
      </c>
      <c r="F307" s="4" t="s">
        <v>25</v>
      </c>
      <c r="G307" s="4" t="s">
        <v>25</v>
      </c>
      <c r="H307" s="4" t="s">
        <v>25</v>
      </c>
      <c r="I307" s="5">
        <v>44621</v>
      </c>
      <c r="J307" s="6">
        <v>0</v>
      </c>
      <c r="K307" s="6">
        <v>0</v>
      </c>
      <c r="L307" s="6">
        <v>-7.67</v>
      </c>
      <c r="M307" s="6">
        <v>-7.67</v>
      </c>
      <c r="N307" s="6">
        <v>-7.67</v>
      </c>
      <c r="O307" s="6">
        <v>-7.67</v>
      </c>
      <c r="P307" s="6">
        <v>0</v>
      </c>
      <c r="Q307" s="4" t="s">
        <v>26</v>
      </c>
      <c r="R307" s="4">
        <v>0</v>
      </c>
      <c r="S307" s="4">
        <v>0</v>
      </c>
      <c r="T307" s="4">
        <v>30</v>
      </c>
      <c r="U307" s="4">
        <v>55</v>
      </c>
      <c r="V307" s="6">
        <f>IF(ISERROR(VLOOKUP($S$307,'TAR FIN'!$A$1:$O$85,15,0)),0,VLOOKUP($S$307,'TAR FIN'!$A$1:$O$85,15,0))</f>
        <v>0</v>
      </c>
      <c r="W307" s="6">
        <f>IF(ISERROR(VLOOKUP($T$307,'TAR FIN'!$A$1:$O$85,15,0)),0,VLOOKUP($T$307,'TAR FIN'!$A$1:$O$85,15,0))</f>
        <v>331.77</v>
      </c>
      <c r="X307" s="6">
        <f>IF(ISERROR(VLOOKUP($U$307,'TAR FIN'!$A$1:$O$85,15,0)),0,VLOOKUP($U$307,'TAR FIN'!$A$1:$O$85,15,0))</f>
        <v>124.36</v>
      </c>
      <c r="Y307" s="6"/>
      <c r="Z307" s="6">
        <f ca="1">('TUSD BE'!$AM$33+'TUSD BF'!$AM$33+'TUSD CVA'!$AM$33)*(1-CUSTOS!$M$38)</f>
        <v>390.73403238820225</v>
      </c>
      <c r="AA307" s="6">
        <f>('TE BE'!$AB$23+'TE BF'!$AB$23+'TE CVA'!$AB$23)*(1-CUSTOS!$M$38)</f>
        <v>127.65788581931002</v>
      </c>
      <c r="AB307" s="6">
        <f t="shared" si="14"/>
        <v>0</v>
      </c>
      <c r="AC307" s="6">
        <f>(L307-M307)*(W307+X307)+($W$141+$X$141-$W$307-$X$307)*(L307)</f>
        <v>-477.07399999999956</v>
      </c>
      <c r="AD307" s="6">
        <f t="shared" si="15"/>
        <v>0</v>
      </c>
      <c r="AE307" s="6">
        <f ca="1">(L307-M307)*(Z307+AA307)+($Z$141+$AA$141-$Z$307-$AA$307)*(L307)</f>
        <v>-253.79144761606156</v>
      </c>
      <c r="AF307" s="4" t="s">
        <v>590</v>
      </c>
    </row>
    <row r="308" spans="1:32" ht="11.25" customHeight="1" x14ac:dyDescent="0.25">
      <c r="A308" s="4" t="s">
        <v>28</v>
      </c>
      <c r="B308" s="4" t="s">
        <v>40</v>
      </c>
      <c r="C308" s="4" t="s">
        <v>23</v>
      </c>
      <c r="D308" s="4" t="s">
        <v>41</v>
      </c>
      <c r="E308" s="4" t="s">
        <v>25</v>
      </c>
      <c r="F308" s="4" t="s">
        <v>25</v>
      </c>
      <c r="G308" s="4" t="s">
        <v>25</v>
      </c>
      <c r="H308" s="4" t="s">
        <v>25</v>
      </c>
      <c r="I308" s="5">
        <v>44621</v>
      </c>
      <c r="J308" s="6">
        <v>0</v>
      </c>
      <c r="K308" s="6">
        <v>0</v>
      </c>
      <c r="L308" s="6">
        <v>316.67200000000003</v>
      </c>
      <c r="M308" s="6">
        <v>316.67200000000003</v>
      </c>
      <c r="N308" s="6">
        <v>316.67200000000003</v>
      </c>
      <c r="O308" s="6">
        <v>316.67200000000003</v>
      </c>
      <c r="P308" s="6">
        <v>583</v>
      </c>
      <c r="Q308" s="4" t="s">
        <v>26</v>
      </c>
      <c r="R308" s="4">
        <v>0</v>
      </c>
      <c r="S308" s="4">
        <v>0</v>
      </c>
      <c r="T308" s="4">
        <v>30</v>
      </c>
      <c r="U308" s="4">
        <v>55</v>
      </c>
      <c r="V308" s="6">
        <f>IF(ISERROR(VLOOKUP($S$308,'TAR FIN'!$A$1:$O$85,15,0)),0,VLOOKUP($S$308,'TAR FIN'!$A$1:$O$85,15,0))</f>
        <v>0</v>
      </c>
      <c r="W308" s="6">
        <f>IF(ISERROR(VLOOKUP($T$308,'TAR FIN'!$A$1:$O$85,15,0)),0,VLOOKUP($T$308,'TAR FIN'!$A$1:$O$85,15,0))</f>
        <v>331.77</v>
      </c>
      <c r="X308" s="6">
        <f>IF(ISERROR(VLOOKUP($U$308,'TAR FIN'!$A$1:$O$85,15,0)),0,VLOOKUP($U$308,'TAR FIN'!$A$1:$O$85,15,0))</f>
        <v>124.36</v>
      </c>
      <c r="Y308" s="6"/>
      <c r="Z308" s="6">
        <f ca="1">('TUSD BE'!$AM$33+'TUSD BF'!$AM$33+'TUSD CVA'!$AM$33)*(1-CUSTOS!$M$38)</f>
        <v>390.73403238820225</v>
      </c>
      <c r="AA308" s="6">
        <f>('TE BE'!$AB$23+'TE BF'!$AB$23+'TE CVA'!$AB$23)*(1-CUSTOS!$M$38)</f>
        <v>127.65788581931002</v>
      </c>
      <c r="AB308" s="6">
        <f t="shared" si="14"/>
        <v>0</v>
      </c>
      <c r="AC308" s="6">
        <f>(L308-M308)*(W308+X308)+($W$141+$X$141-$W$308-$X$308)*(L308)</f>
        <v>19696.998399999986</v>
      </c>
      <c r="AD308" s="6">
        <f t="shared" si="15"/>
        <v>0</v>
      </c>
      <c r="AE308" s="6">
        <f ca="1">(L308-M308)*(Z308+AA308)+($Z$141+$AA$141-$Z$308-$AA$308)*(L308)</f>
        <v>10478.310990804885</v>
      </c>
      <c r="AF308" s="4" t="s">
        <v>590</v>
      </c>
    </row>
    <row r="309" spans="1:32" ht="11.25" customHeight="1" x14ac:dyDescent="0.25">
      <c r="A309" s="4" t="s">
        <v>21</v>
      </c>
      <c r="B309" s="4" t="s">
        <v>40</v>
      </c>
      <c r="C309" s="4" t="s">
        <v>23</v>
      </c>
      <c r="D309" s="4" t="s">
        <v>41</v>
      </c>
      <c r="E309" s="4" t="s">
        <v>25</v>
      </c>
      <c r="F309" s="4" t="s">
        <v>25</v>
      </c>
      <c r="G309" s="4" t="s">
        <v>25</v>
      </c>
      <c r="H309" s="4" t="s">
        <v>25</v>
      </c>
      <c r="I309" s="5">
        <v>44652</v>
      </c>
      <c r="J309" s="6">
        <v>0</v>
      </c>
      <c r="K309" s="6">
        <v>0</v>
      </c>
      <c r="L309" s="6">
        <v>2843.1210000000001</v>
      </c>
      <c r="M309" s="6">
        <v>2843.1210000000001</v>
      </c>
      <c r="N309" s="6">
        <v>2843.1210000000001</v>
      </c>
      <c r="O309" s="6">
        <v>2843.1210000000001</v>
      </c>
      <c r="P309" s="6">
        <v>5557</v>
      </c>
      <c r="Q309" s="4" t="s">
        <v>26</v>
      </c>
      <c r="R309" s="4">
        <v>0</v>
      </c>
      <c r="S309" s="4">
        <v>0</v>
      </c>
      <c r="T309" s="4">
        <v>30</v>
      </c>
      <c r="U309" s="4">
        <v>55</v>
      </c>
      <c r="V309" s="6">
        <f>IF(ISERROR(VLOOKUP($S$309,'TAR FIN'!$A$1:$O$85,15,0)),0,VLOOKUP($S$309,'TAR FIN'!$A$1:$O$85,15,0))</f>
        <v>0</v>
      </c>
      <c r="W309" s="6">
        <f>IF(ISERROR(VLOOKUP($T$309,'TAR FIN'!$A$1:$O$85,15,0)),0,VLOOKUP($T$309,'TAR FIN'!$A$1:$O$85,15,0))</f>
        <v>331.77</v>
      </c>
      <c r="X309" s="6">
        <f>IF(ISERROR(VLOOKUP($U$309,'TAR FIN'!$A$1:$O$85,15,0)),0,VLOOKUP($U$309,'TAR FIN'!$A$1:$O$85,15,0))</f>
        <v>124.36</v>
      </c>
      <c r="Y309" s="6"/>
      <c r="Z309" s="6">
        <f ca="1">('TUSD BE'!$AM$33+'TUSD BF'!$AM$33+'TUSD CVA'!$AM$33)*(1-CUSTOS!$M$38)</f>
        <v>390.73403238820225</v>
      </c>
      <c r="AA309" s="6">
        <f>('TE BE'!$AB$23+'TE BF'!$AB$23+'TE CVA'!$AB$23)*(1-CUSTOS!$M$38)</f>
        <v>127.65788581931002</v>
      </c>
      <c r="AB309" s="6">
        <f t="shared" si="14"/>
        <v>0</v>
      </c>
      <c r="AC309" s="6">
        <f>(L309-M309)*(W309+X309)+($W$141+$X$141-$W$309-$X$309)*(L309)</f>
        <v>176842.12619999985</v>
      </c>
      <c r="AD309" s="6">
        <f t="shared" si="15"/>
        <v>0</v>
      </c>
      <c r="AE309" s="6">
        <f ca="1">(L309-M309)*(Z309+AA309)+($Z$141+$AA$141-$Z$309-$AA$309)*(L309)</f>
        <v>94075.592482089254</v>
      </c>
      <c r="AF309" s="4" t="s">
        <v>590</v>
      </c>
    </row>
    <row r="310" spans="1:32" ht="11.25" customHeight="1" x14ac:dyDescent="0.25">
      <c r="A310" s="4" t="s">
        <v>27</v>
      </c>
      <c r="B310" s="4" t="s">
        <v>40</v>
      </c>
      <c r="C310" s="4" t="s">
        <v>23</v>
      </c>
      <c r="D310" s="4" t="s">
        <v>41</v>
      </c>
      <c r="E310" s="4" t="s">
        <v>25</v>
      </c>
      <c r="F310" s="4" t="s">
        <v>25</v>
      </c>
      <c r="G310" s="4" t="s">
        <v>25</v>
      </c>
      <c r="H310" s="4" t="s">
        <v>25</v>
      </c>
      <c r="I310" s="5">
        <v>44652</v>
      </c>
      <c r="J310" s="6">
        <v>0</v>
      </c>
      <c r="K310" s="6">
        <v>0</v>
      </c>
      <c r="L310" s="6">
        <v>-0.64100000000000001</v>
      </c>
      <c r="M310" s="6">
        <v>-0.64100000000000001</v>
      </c>
      <c r="N310" s="6">
        <v>-0.64100000000000001</v>
      </c>
      <c r="O310" s="6">
        <v>-0.64100000000000001</v>
      </c>
      <c r="P310" s="6">
        <v>0</v>
      </c>
      <c r="Q310" s="4" t="s">
        <v>26</v>
      </c>
      <c r="R310" s="4">
        <v>0</v>
      </c>
      <c r="S310" s="4">
        <v>0</v>
      </c>
      <c r="T310" s="4">
        <v>30</v>
      </c>
      <c r="U310" s="4">
        <v>55</v>
      </c>
      <c r="V310" s="6">
        <f>IF(ISERROR(VLOOKUP($S$310,'TAR FIN'!$A$1:$O$85,15,0)),0,VLOOKUP($S$310,'TAR FIN'!$A$1:$O$85,15,0))</f>
        <v>0</v>
      </c>
      <c r="W310" s="6">
        <f>IF(ISERROR(VLOOKUP($T$310,'TAR FIN'!$A$1:$O$85,15,0)),0,VLOOKUP($T$310,'TAR FIN'!$A$1:$O$85,15,0))</f>
        <v>331.77</v>
      </c>
      <c r="X310" s="6">
        <f>IF(ISERROR(VLOOKUP($U$310,'TAR FIN'!$A$1:$O$85,15,0)),0,VLOOKUP($U$310,'TAR FIN'!$A$1:$O$85,15,0))</f>
        <v>124.36</v>
      </c>
      <c r="Y310" s="6"/>
      <c r="Z310" s="6">
        <f ca="1">('TUSD BE'!$AM$33+'TUSD BF'!$AM$33+'TUSD CVA'!$AM$33)*(1-CUSTOS!$M$38)</f>
        <v>390.73403238820225</v>
      </c>
      <c r="AA310" s="6">
        <f>('TE BE'!$AB$23+'TE BF'!$AB$23+'TE CVA'!$AB$23)*(1-CUSTOS!$M$38)</f>
        <v>127.65788581931002</v>
      </c>
      <c r="AB310" s="6">
        <f t="shared" si="14"/>
        <v>0</v>
      </c>
      <c r="AC310" s="6">
        <f>(L310-M310)*(W310+X310)+($W$141+$X$141-$W$310-$X$310)*(L310)</f>
        <v>-39.870199999999969</v>
      </c>
      <c r="AD310" s="6">
        <f t="shared" si="15"/>
        <v>0</v>
      </c>
      <c r="AE310" s="6">
        <f ca="1">(L310-M310)*(Z310+AA310)+($Z$141+$AA$141-$Z$310-$AA$310)*(L310)</f>
        <v>-21.209950185384024</v>
      </c>
      <c r="AF310" s="4" t="s">
        <v>590</v>
      </c>
    </row>
    <row r="311" spans="1:32" ht="11.25" customHeight="1" x14ac:dyDescent="0.25">
      <c r="A311" s="4" t="s">
        <v>28</v>
      </c>
      <c r="B311" s="4" t="s">
        <v>40</v>
      </c>
      <c r="C311" s="4" t="s">
        <v>23</v>
      </c>
      <c r="D311" s="4" t="s">
        <v>41</v>
      </c>
      <c r="E311" s="4" t="s">
        <v>25</v>
      </c>
      <c r="F311" s="4" t="s">
        <v>25</v>
      </c>
      <c r="G311" s="4" t="s">
        <v>25</v>
      </c>
      <c r="H311" s="4" t="s">
        <v>25</v>
      </c>
      <c r="I311" s="5">
        <v>44652</v>
      </c>
      <c r="J311" s="6">
        <v>0</v>
      </c>
      <c r="K311" s="6">
        <v>0</v>
      </c>
      <c r="L311" s="6">
        <v>291.96100000000001</v>
      </c>
      <c r="M311" s="6">
        <v>291.96100000000001</v>
      </c>
      <c r="N311" s="6">
        <v>291.96100000000001</v>
      </c>
      <c r="O311" s="6">
        <v>291.96100000000001</v>
      </c>
      <c r="P311" s="6">
        <v>607</v>
      </c>
      <c r="Q311" s="4" t="s">
        <v>26</v>
      </c>
      <c r="R311" s="4">
        <v>0</v>
      </c>
      <c r="S311" s="4">
        <v>0</v>
      </c>
      <c r="T311" s="4">
        <v>30</v>
      </c>
      <c r="U311" s="4">
        <v>55</v>
      </c>
      <c r="V311" s="6">
        <f>IF(ISERROR(VLOOKUP($S$311,'TAR FIN'!$A$1:$O$85,15,0)),0,VLOOKUP($S$311,'TAR FIN'!$A$1:$O$85,15,0))</f>
        <v>0</v>
      </c>
      <c r="W311" s="6">
        <f>IF(ISERROR(VLOOKUP($T$311,'TAR FIN'!$A$1:$O$85,15,0)),0,VLOOKUP($T$311,'TAR FIN'!$A$1:$O$85,15,0))</f>
        <v>331.77</v>
      </c>
      <c r="X311" s="6">
        <f>IF(ISERROR(VLOOKUP($U$311,'TAR FIN'!$A$1:$O$85,15,0)),0,VLOOKUP($U$311,'TAR FIN'!$A$1:$O$85,15,0))</f>
        <v>124.36</v>
      </c>
      <c r="Y311" s="6"/>
      <c r="Z311" s="6">
        <f ca="1">('TUSD BE'!$AM$33+'TUSD BF'!$AM$33+'TUSD CVA'!$AM$33)*(1-CUSTOS!$M$38)</f>
        <v>390.73403238820225</v>
      </c>
      <c r="AA311" s="6">
        <f>('TE BE'!$AB$23+'TE BF'!$AB$23+'TE CVA'!$AB$23)*(1-CUSTOS!$M$38)</f>
        <v>127.65788581931002</v>
      </c>
      <c r="AB311" s="6">
        <f t="shared" si="14"/>
        <v>0</v>
      </c>
      <c r="AC311" s="6">
        <f>(L311-M311)*(W311+X311)+($W$141+$X$141-$W$311-$X$311)*(L311)</f>
        <v>18159.974199999986</v>
      </c>
      <c r="AD311" s="6">
        <f t="shared" si="15"/>
        <v>0</v>
      </c>
      <c r="AE311" s="6">
        <f ca="1">(L311-M311)*(Z311+AA311)+($Z$141+$AA$141-$Z$311-$AA$311)*(L311)</f>
        <v>9660.6525211776989</v>
      </c>
      <c r="AF311" s="4" t="s">
        <v>590</v>
      </c>
    </row>
    <row r="312" spans="1:32" ht="11.25" customHeight="1" x14ac:dyDescent="0.25">
      <c r="A312" s="4" t="s">
        <v>28</v>
      </c>
      <c r="B312" s="4" t="s">
        <v>40</v>
      </c>
      <c r="C312" s="4" t="s">
        <v>23</v>
      </c>
      <c r="D312" s="4" t="s">
        <v>41</v>
      </c>
      <c r="E312" s="4" t="s">
        <v>25</v>
      </c>
      <c r="F312" s="4" t="s">
        <v>25</v>
      </c>
      <c r="G312" s="4" t="s">
        <v>25</v>
      </c>
      <c r="H312" s="4" t="s">
        <v>25</v>
      </c>
      <c r="I312" s="5">
        <v>44652</v>
      </c>
      <c r="J312" s="6">
        <v>0</v>
      </c>
      <c r="K312" s="6">
        <v>0</v>
      </c>
      <c r="L312" s="6">
        <v>-4.2</v>
      </c>
      <c r="M312" s="6">
        <v>-4.2</v>
      </c>
      <c r="N312" s="6">
        <v>-4.2</v>
      </c>
      <c r="O312" s="6">
        <v>-4.2</v>
      </c>
      <c r="P312" s="6">
        <v>2</v>
      </c>
      <c r="Q312" s="4" t="s">
        <v>26</v>
      </c>
      <c r="R312" s="4">
        <v>0</v>
      </c>
      <c r="S312" s="4">
        <v>0</v>
      </c>
      <c r="T312" s="4">
        <v>30</v>
      </c>
      <c r="U312" s="4">
        <v>55</v>
      </c>
      <c r="V312" s="6">
        <f>IF(ISERROR(VLOOKUP($S$312,'TAR FIN'!$A$1:$O$85,15,0)),0,VLOOKUP($S$312,'TAR FIN'!$A$1:$O$85,15,0))</f>
        <v>0</v>
      </c>
      <c r="W312" s="6">
        <f>IF(ISERROR(VLOOKUP($T$312,'TAR FIN'!$A$1:$O$85,15,0)),0,VLOOKUP($T$312,'TAR FIN'!$A$1:$O$85,15,0))</f>
        <v>331.77</v>
      </c>
      <c r="X312" s="6">
        <f>IF(ISERROR(VLOOKUP($U$312,'TAR FIN'!$A$1:$O$85,15,0)),0,VLOOKUP($U$312,'TAR FIN'!$A$1:$O$85,15,0))</f>
        <v>124.36</v>
      </c>
      <c r="Y312" s="6"/>
      <c r="Z312" s="6">
        <f ca="1">('TUSD BE'!$AM$33+'TUSD BF'!$AM$33+'TUSD CVA'!$AM$33)*(1-CUSTOS!$M$38)</f>
        <v>390.73403238820225</v>
      </c>
      <c r="AA312" s="6">
        <f>('TE BE'!$AB$23+'TE BF'!$AB$23+'TE CVA'!$AB$23)*(1-CUSTOS!$M$38)</f>
        <v>127.65788581931002</v>
      </c>
      <c r="AB312" s="6">
        <f t="shared" si="14"/>
        <v>0</v>
      </c>
      <c r="AC312" s="6">
        <f>(L312-M312)*(W312+X312)+($W$141+$X$141-$W$312-$X$312)*(L312)</f>
        <v>-261.23999999999978</v>
      </c>
      <c r="AD312" s="6">
        <f t="shared" si="15"/>
        <v>0</v>
      </c>
      <c r="AE312" s="6">
        <f ca="1">(L312-M312)*(Z312+AA312)+($Z$141+$AA$141-$Z$312-$AA$312)*(L312)</f>
        <v>-138.97315254073777</v>
      </c>
      <c r="AF312" s="4" t="s">
        <v>590</v>
      </c>
    </row>
    <row r="313" spans="1:32" ht="11.25" customHeight="1" x14ac:dyDescent="0.25">
      <c r="A313" s="4" t="s">
        <v>21</v>
      </c>
      <c r="B313" s="4" t="s">
        <v>40</v>
      </c>
      <c r="C313" s="4" t="s">
        <v>23</v>
      </c>
      <c r="D313" s="4" t="s">
        <v>41</v>
      </c>
      <c r="E313" s="4" t="s">
        <v>25</v>
      </c>
      <c r="F313" s="4" t="s">
        <v>25</v>
      </c>
      <c r="G313" s="4" t="s">
        <v>25</v>
      </c>
      <c r="H313" s="4" t="s">
        <v>25</v>
      </c>
      <c r="I313" s="5">
        <v>44682</v>
      </c>
      <c r="J313" s="6">
        <v>0</v>
      </c>
      <c r="K313" s="6">
        <v>0</v>
      </c>
      <c r="L313" s="6">
        <v>2531.2399999999998</v>
      </c>
      <c r="M313" s="6">
        <v>2531.2399999999998</v>
      </c>
      <c r="N313" s="6">
        <v>2531.2399999999998</v>
      </c>
      <c r="O313" s="6">
        <v>2531.2399999999998</v>
      </c>
      <c r="P313" s="6">
        <v>5523</v>
      </c>
      <c r="Q313" s="4" t="s">
        <v>26</v>
      </c>
      <c r="R313" s="4">
        <v>0</v>
      </c>
      <c r="S313" s="4">
        <v>0</v>
      </c>
      <c r="T313" s="4">
        <v>30</v>
      </c>
      <c r="U313" s="4">
        <v>55</v>
      </c>
      <c r="V313" s="6">
        <f>IF(ISERROR(VLOOKUP($S$313,'TAR FIN'!$A$1:$O$85,15,0)),0,VLOOKUP($S$313,'TAR FIN'!$A$1:$O$85,15,0))</f>
        <v>0</v>
      </c>
      <c r="W313" s="6">
        <f>IF(ISERROR(VLOOKUP($T$313,'TAR FIN'!$A$1:$O$85,15,0)),0,VLOOKUP($T$313,'TAR FIN'!$A$1:$O$85,15,0))</f>
        <v>331.77</v>
      </c>
      <c r="X313" s="6">
        <f>IF(ISERROR(VLOOKUP($U$313,'TAR FIN'!$A$1:$O$85,15,0)),0,VLOOKUP($U$313,'TAR FIN'!$A$1:$O$85,15,0))</f>
        <v>124.36</v>
      </c>
      <c r="Y313" s="6"/>
      <c r="Z313" s="6">
        <f ca="1">('TUSD BE'!$AM$33+'TUSD BF'!$AM$33+'TUSD CVA'!$AM$33)*(1-CUSTOS!$M$38)</f>
        <v>390.73403238820225</v>
      </c>
      <c r="AA313" s="6">
        <f>('TE BE'!$AB$23+'TE BF'!$AB$23+'TE CVA'!$AB$23)*(1-CUSTOS!$M$38)</f>
        <v>127.65788581931002</v>
      </c>
      <c r="AB313" s="6">
        <f t="shared" si="14"/>
        <v>0</v>
      </c>
      <c r="AC313" s="6">
        <f>(L313-M313)*(W313+X313)+($W$141+$X$141-$W$313-$X$313)*(L313)</f>
        <v>157443.12799999985</v>
      </c>
      <c r="AD313" s="6">
        <f t="shared" si="15"/>
        <v>0</v>
      </c>
      <c r="AE313" s="6">
        <f ca="1">(L313-M313)*(Z313+AA313)+($Z$141+$AA$141-$Z$313-$AA$313)*(L313)</f>
        <v>83755.810151718339</v>
      </c>
      <c r="AF313" s="4" t="s">
        <v>590</v>
      </c>
    </row>
    <row r="314" spans="1:32" ht="11.25" customHeight="1" x14ac:dyDescent="0.25">
      <c r="A314" s="4" t="s">
        <v>27</v>
      </c>
      <c r="B314" s="4" t="s">
        <v>40</v>
      </c>
      <c r="C314" s="4" t="s">
        <v>23</v>
      </c>
      <c r="D314" s="4" t="s">
        <v>41</v>
      </c>
      <c r="E314" s="4" t="s">
        <v>25</v>
      </c>
      <c r="F314" s="4" t="s">
        <v>25</v>
      </c>
      <c r="G314" s="4" t="s">
        <v>25</v>
      </c>
      <c r="H314" s="4" t="s">
        <v>25</v>
      </c>
      <c r="I314" s="5">
        <v>44682</v>
      </c>
      <c r="J314" s="6">
        <v>0</v>
      </c>
      <c r="K314" s="6">
        <v>0</v>
      </c>
      <c r="L314" s="6">
        <v>-4.556</v>
      </c>
      <c r="M314" s="6">
        <v>-4.556</v>
      </c>
      <c r="N314" s="6">
        <v>-4.556</v>
      </c>
      <c r="O314" s="6">
        <v>-4.556</v>
      </c>
      <c r="P314" s="6">
        <v>0</v>
      </c>
      <c r="Q314" s="4" t="s">
        <v>26</v>
      </c>
      <c r="R314" s="4">
        <v>0</v>
      </c>
      <c r="S314" s="4">
        <v>0</v>
      </c>
      <c r="T314" s="4">
        <v>30</v>
      </c>
      <c r="U314" s="4">
        <v>55</v>
      </c>
      <c r="V314" s="6">
        <f>IF(ISERROR(VLOOKUP($S$314,'TAR FIN'!$A$1:$O$85,15,0)),0,VLOOKUP($S$314,'TAR FIN'!$A$1:$O$85,15,0))</f>
        <v>0</v>
      </c>
      <c r="W314" s="6">
        <f>IF(ISERROR(VLOOKUP($T$314,'TAR FIN'!$A$1:$O$85,15,0)),0,VLOOKUP($T$314,'TAR FIN'!$A$1:$O$85,15,0))</f>
        <v>331.77</v>
      </c>
      <c r="X314" s="6">
        <f>IF(ISERROR(VLOOKUP($U$314,'TAR FIN'!$A$1:$O$85,15,0)),0,VLOOKUP($U$314,'TAR FIN'!$A$1:$O$85,15,0))</f>
        <v>124.36</v>
      </c>
      <c r="Y314" s="6"/>
      <c r="Z314" s="6">
        <f ca="1">('TUSD BE'!$AM$33+'TUSD BF'!$AM$33+'TUSD CVA'!$AM$33)*(1-CUSTOS!$M$38)</f>
        <v>390.73403238820225</v>
      </c>
      <c r="AA314" s="6">
        <f>('TE BE'!$AB$23+'TE BF'!$AB$23+'TE CVA'!$AB$23)*(1-CUSTOS!$M$38)</f>
        <v>127.65788581931002</v>
      </c>
      <c r="AB314" s="6">
        <f t="shared" si="14"/>
        <v>0</v>
      </c>
      <c r="AC314" s="6">
        <f>(L314-M314)*(W314+X314)+($W$141+$X$141-$W$314-$X$314)*(L314)</f>
        <v>-283.38319999999976</v>
      </c>
      <c r="AD314" s="6">
        <f t="shared" si="15"/>
        <v>0</v>
      </c>
      <c r="AE314" s="6">
        <f ca="1">(L314-M314)*(Z314+AA314)+($Z$141+$AA$141-$Z$314-$AA$314)*(L314)</f>
        <v>-150.75278166085744</v>
      </c>
      <c r="AF314" s="4" t="s">
        <v>590</v>
      </c>
    </row>
    <row r="315" spans="1:32" ht="11.25" customHeight="1" x14ac:dyDescent="0.25">
      <c r="A315" s="4" t="s">
        <v>28</v>
      </c>
      <c r="B315" s="4" t="s">
        <v>40</v>
      </c>
      <c r="C315" s="4" t="s">
        <v>23</v>
      </c>
      <c r="D315" s="4" t="s">
        <v>41</v>
      </c>
      <c r="E315" s="4" t="s">
        <v>25</v>
      </c>
      <c r="F315" s="4" t="s">
        <v>25</v>
      </c>
      <c r="G315" s="4" t="s">
        <v>25</v>
      </c>
      <c r="H315" s="4" t="s">
        <v>25</v>
      </c>
      <c r="I315" s="5">
        <v>44682</v>
      </c>
      <c r="J315" s="6">
        <v>0</v>
      </c>
      <c r="K315" s="6">
        <v>0</v>
      </c>
      <c r="L315" s="6">
        <v>275.31900000000002</v>
      </c>
      <c r="M315" s="6">
        <v>275.31900000000002</v>
      </c>
      <c r="N315" s="6">
        <v>275.31900000000002</v>
      </c>
      <c r="O315" s="6">
        <v>275.31900000000002</v>
      </c>
      <c r="P315" s="6">
        <v>638</v>
      </c>
      <c r="Q315" s="4" t="s">
        <v>26</v>
      </c>
      <c r="R315" s="4">
        <v>0</v>
      </c>
      <c r="S315" s="4">
        <v>0</v>
      </c>
      <c r="T315" s="4">
        <v>30</v>
      </c>
      <c r="U315" s="4">
        <v>55</v>
      </c>
      <c r="V315" s="6">
        <f>IF(ISERROR(VLOOKUP($S$315,'TAR FIN'!$A$1:$O$85,15,0)),0,VLOOKUP($S$315,'TAR FIN'!$A$1:$O$85,15,0))</f>
        <v>0</v>
      </c>
      <c r="W315" s="6">
        <f>IF(ISERROR(VLOOKUP($T$315,'TAR FIN'!$A$1:$O$85,15,0)),0,VLOOKUP($T$315,'TAR FIN'!$A$1:$O$85,15,0))</f>
        <v>331.77</v>
      </c>
      <c r="X315" s="6">
        <f>IF(ISERROR(VLOOKUP($U$315,'TAR FIN'!$A$1:$O$85,15,0)),0,VLOOKUP($U$315,'TAR FIN'!$A$1:$O$85,15,0))</f>
        <v>124.36</v>
      </c>
      <c r="Y315" s="6"/>
      <c r="Z315" s="6">
        <f ca="1">('TUSD BE'!$AM$33+'TUSD BF'!$AM$33+'TUSD CVA'!$AM$33)*(1-CUSTOS!$M$38)</f>
        <v>390.73403238820225</v>
      </c>
      <c r="AA315" s="6">
        <f>('TE BE'!$AB$23+'TE BF'!$AB$23+'TE CVA'!$AB$23)*(1-CUSTOS!$M$38)</f>
        <v>127.65788581931002</v>
      </c>
      <c r="AB315" s="6">
        <f t="shared" si="14"/>
        <v>0</v>
      </c>
      <c r="AC315" s="6">
        <f>(L315-M315)*(W315+X315)+($W$141+$X$141-$W$315-$X$315)*(L315)</f>
        <v>17124.841799999987</v>
      </c>
      <c r="AD315" s="6">
        <f t="shared" si="15"/>
        <v>0</v>
      </c>
      <c r="AE315" s="6">
        <f ca="1">(L315-M315)*(Z315+AA315)+($Z$141+$AA$141-$Z$315-$AA$315)*(L315)</f>
        <v>9109.9879486579484</v>
      </c>
      <c r="AF315" s="4" t="s">
        <v>590</v>
      </c>
    </row>
    <row r="316" spans="1:32" ht="11.25" customHeight="1" x14ac:dyDescent="0.25">
      <c r="A316" s="4" t="s">
        <v>28</v>
      </c>
      <c r="B316" s="4" t="s">
        <v>40</v>
      </c>
      <c r="C316" s="4" t="s">
        <v>23</v>
      </c>
      <c r="D316" s="4" t="s">
        <v>41</v>
      </c>
      <c r="E316" s="4" t="s">
        <v>25</v>
      </c>
      <c r="F316" s="4" t="s">
        <v>25</v>
      </c>
      <c r="G316" s="4" t="s">
        <v>25</v>
      </c>
      <c r="H316" s="4" t="s">
        <v>25</v>
      </c>
      <c r="I316" s="5">
        <v>44682</v>
      </c>
      <c r="J316" s="6">
        <v>0</v>
      </c>
      <c r="K316" s="6">
        <v>0</v>
      </c>
      <c r="L316" s="6">
        <v>-0.96399999999999997</v>
      </c>
      <c r="M316" s="6">
        <v>-0.96399999999999997</v>
      </c>
      <c r="N316" s="6">
        <v>-0.96399999999999997</v>
      </c>
      <c r="O316" s="6">
        <v>-0.96399999999999997</v>
      </c>
      <c r="P316" s="6">
        <v>2</v>
      </c>
      <c r="Q316" s="4" t="s">
        <v>26</v>
      </c>
      <c r="R316" s="4">
        <v>0</v>
      </c>
      <c r="S316" s="4">
        <v>0</v>
      </c>
      <c r="T316" s="4">
        <v>30</v>
      </c>
      <c r="U316" s="4">
        <v>55</v>
      </c>
      <c r="V316" s="6">
        <f>IF(ISERROR(VLOOKUP($S$316,'TAR FIN'!$A$1:$O$85,15,0)),0,VLOOKUP($S$316,'TAR FIN'!$A$1:$O$85,15,0))</f>
        <v>0</v>
      </c>
      <c r="W316" s="6">
        <f>IF(ISERROR(VLOOKUP($T$316,'TAR FIN'!$A$1:$O$85,15,0)),0,VLOOKUP($T$316,'TAR FIN'!$A$1:$O$85,15,0))</f>
        <v>331.77</v>
      </c>
      <c r="X316" s="6">
        <f>IF(ISERROR(VLOOKUP($U$316,'TAR FIN'!$A$1:$O$85,15,0)),0,VLOOKUP($U$316,'TAR FIN'!$A$1:$O$85,15,0))</f>
        <v>124.36</v>
      </c>
      <c r="Y316" s="6"/>
      <c r="Z316" s="6">
        <f ca="1">('TUSD BE'!$AM$33+'TUSD BF'!$AM$33+'TUSD CVA'!$AM$33)*(1-CUSTOS!$M$38)</f>
        <v>390.73403238820225</v>
      </c>
      <c r="AA316" s="6">
        <f>('TE BE'!$AB$23+'TE BF'!$AB$23+'TE CVA'!$AB$23)*(1-CUSTOS!$M$38)</f>
        <v>127.65788581931002</v>
      </c>
      <c r="AB316" s="6">
        <f t="shared" si="14"/>
        <v>0</v>
      </c>
      <c r="AC316" s="6">
        <f>(L316-M316)*(W316+X316)+($W$141+$X$141-$W$316-$X$316)*(L316)</f>
        <v>-59.960799999999949</v>
      </c>
      <c r="AD316" s="6">
        <f t="shared" si="15"/>
        <v>0</v>
      </c>
      <c r="AE316" s="6">
        <f ca="1">(L316-M316)*(Z316+AA316)+($Z$141+$AA$141-$Z$316-$AA$316)*(L316)</f>
        <v>-31.89764739268362</v>
      </c>
      <c r="AF316" s="4" t="s">
        <v>590</v>
      </c>
    </row>
    <row r="317" spans="1:32" ht="11.25" customHeight="1" x14ac:dyDescent="0.25">
      <c r="A317" s="4" t="s">
        <v>21</v>
      </c>
      <c r="B317" s="4" t="s">
        <v>40</v>
      </c>
      <c r="C317" s="4" t="s">
        <v>23</v>
      </c>
      <c r="D317" s="4" t="s">
        <v>41</v>
      </c>
      <c r="E317" s="4" t="s">
        <v>25</v>
      </c>
      <c r="F317" s="4" t="s">
        <v>25</v>
      </c>
      <c r="G317" s="4" t="s">
        <v>25</v>
      </c>
      <c r="H317" s="4" t="s">
        <v>25</v>
      </c>
      <c r="I317" s="5">
        <v>44713</v>
      </c>
      <c r="J317" s="6">
        <v>0</v>
      </c>
      <c r="K317" s="6">
        <v>0</v>
      </c>
      <c r="L317" s="6">
        <v>2534.9430000000002</v>
      </c>
      <c r="M317" s="6">
        <v>2534.9430000000002</v>
      </c>
      <c r="N317" s="6">
        <v>2534.9430000000002</v>
      </c>
      <c r="O317" s="6">
        <v>2534.9430000000002</v>
      </c>
      <c r="P317" s="6">
        <v>5536</v>
      </c>
      <c r="Q317" s="4" t="s">
        <v>26</v>
      </c>
      <c r="R317" s="4">
        <v>0</v>
      </c>
      <c r="S317" s="4">
        <v>0</v>
      </c>
      <c r="T317" s="4">
        <v>30</v>
      </c>
      <c r="U317" s="4">
        <v>55</v>
      </c>
      <c r="V317" s="6">
        <f>IF(ISERROR(VLOOKUP($S$317,'TAR FIN'!$A$1:$O$85,15,0)),0,VLOOKUP($S$317,'TAR FIN'!$A$1:$O$85,15,0))</f>
        <v>0</v>
      </c>
      <c r="W317" s="6">
        <f>IF(ISERROR(VLOOKUP($T$317,'TAR FIN'!$A$1:$O$85,15,0)),0,VLOOKUP($T$317,'TAR FIN'!$A$1:$O$85,15,0))</f>
        <v>331.77</v>
      </c>
      <c r="X317" s="6">
        <f>IF(ISERROR(VLOOKUP($U$317,'TAR FIN'!$A$1:$O$85,15,0)),0,VLOOKUP($U$317,'TAR FIN'!$A$1:$O$85,15,0))</f>
        <v>124.36</v>
      </c>
      <c r="Y317" s="6"/>
      <c r="Z317" s="6">
        <f ca="1">('TUSD BE'!$AM$33+'TUSD BF'!$AM$33+'TUSD CVA'!$AM$33)*(1-CUSTOS!$M$38)</f>
        <v>390.73403238820225</v>
      </c>
      <c r="AA317" s="6">
        <f>('TE BE'!$AB$23+'TE BF'!$AB$23+'TE CVA'!$AB$23)*(1-CUSTOS!$M$38)</f>
        <v>127.65788581931002</v>
      </c>
      <c r="AB317" s="6">
        <f t="shared" si="14"/>
        <v>0</v>
      </c>
      <c r="AC317" s="6">
        <f>(L317-M317)*(W317+X317)+($W$141+$X$141-$W$317-$X$317)*(L317)</f>
        <v>157673.45459999988</v>
      </c>
      <c r="AD317" s="6">
        <f t="shared" si="15"/>
        <v>0</v>
      </c>
      <c r="AE317" s="6">
        <f ca="1">(L317-M317)*(Z317+AA317)+($Z$141+$AA$141-$Z$317-$AA$317)*(L317)</f>
        <v>83878.338147875096</v>
      </c>
      <c r="AF317" s="4" t="s">
        <v>590</v>
      </c>
    </row>
    <row r="318" spans="1:32" ht="11.25" customHeight="1" x14ac:dyDescent="0.25">
      <c r="A318" s="4" t="s">
        <v>27</v>
      </c>
      <c r="B318" s="4" t="s">
        <v>40</v>
      </c>
      <c r="C318" s="4" t="s">
        <v>23</v>
      </c>
      <c r="D318" s="4" t="s">
        <v>41</v>
      </c>
      <c r="E318" s="4" t="s">
        <v>25</v>
      </c>
      <c r="F318" s="4" t="s">
        <v>25</v>
      </c>
      <c r="G318" s="4" t="s">
        <v>25</v>
      </c>
      <c r="H318" s="4" t="s">
        <v>25</v>
      </c>
      <c r="I318" s="5">
        <v>44713</v>
      </c>
      <c r="J318" s="6">
        <v>0</v>
      </c>
      <c r="K318" s="6">
        <v>0</v>
      </c>
      <c r="L318" s="6">
        <v>-2.081</v>
      </c>
      <c r="M318" s="6">
        <v>-2.081</v>
      </c>
      <c r="N318" s="6">
        <v>-2.081</v>
      </c>
      <c r="O318" s="6">
        <v>-2.081</v>
      </c>
      <c r="P318" s="6">
        <v>0</v>
      </c>
      <c r="Q318" s="4" t="s">
        <v>26</v>
      </c>
      <c r="R318" s="4">
        <v>0</v>
      </c>
      <c r="S318" s="4">
        <v>0</v>
      </c>
      <c r="T318" s="4">
        <v>30</v>
      </c>
      <c r="U318" s="4">
        <v>55</v>
      </c>
      <c r="V318" s="6">
        <f>IF(ISERROR(VLOOKUP($S$318,'TAR FIN'!$A$1:$O$85,15,0)),0,VLOOKUP($S$318,'TAR FIN'!$A$1:$O$85,15,0))</f>
        <v>0</v>
      </c>
      <c r="W318" s="6">
        <f>IF(ISERROR(VLOOKUP($T$318,'TAR FIN'!$A$1:$O$85,15,0)),0,VLOOKUP($T$318,'TAR FIN'!$A$1:$O$85,15,0))</f>
        <v>331.77</v>
      </c>
      <c r="X318" s="6">
        <f>IF(ISERROR(VLOOKUP($U$318,'TAR FIN'!$A$1:$O$85,15,0)),0,VLOOKUP($U$318,'TAR FIN'!$A$1:$O$85,15,0))</f>
        <v>124.36</v>
      </c>
      <c r="Y318" s="6"/>
      <c r="Z318" s="6">
        <f ca="1">('TUSD BE'!$AM$33+'TUSD BF'!$AM$33+'TUSD CVA'!$AM$33)*(1-CUSTOS!$M$38)</f>
        <v>390.73403238820225</v>
      </c>
      <c r="AA318" s="6">
        <f>('TE BE'!$AB$23+'TE BF'!$AB$23+'TE CVA'!$AB$23)*(1-CUSTOS!$M$38)</f>
        <v>127.65788581931002</v>
      </c>
      <c r="AB318" s="6">
        <f t="shared" si="14"/>
        <v>0</v>
      </c>
      <c r="AC318" s="6">
        <f>(L318-M318)*(W318+X318)+($W$141+$X$141-$W$318-$X$318)*(L318)</f>
        <v>-129.43819999999988</v>
      </c>
      <c r="AD318" s="6">
        <f t="shared" si="15"/>
        <v>0</v>
      </c>
      <c r="AE318" s="6">
        <f ca="1">(L318-M318)*(Z318+AA318)+($Z$141+$AA$141-$Z$318-$AA$318)*(L318)</f>
        <v>-68.857888199351251</v>
      </c>
      <c r="AF318" s="4" t="s">
        <v>590</v>
      </c>
    </row>
    <row r="319" spans="1:32" ht="11.25" customHeight="1" x14ac:dyDescent="0.25">
      <c r="A319" s="4" t="s">
        <v>28</v>
      </c>
      <c r="B319" s="4" t="s">
        <v>40</v>
      </c>
      <c r="C319" s="4" t="s">
        <v>23</v>
      </c>
      <c r="D319" s="4" t="s">
        <v>41</v>
      </c>
      <c r="E319" s="4" t="s">
        <v>25</v>
      </c>
      <c r="F319" s="4" t="s">
        <v>25</v>
      </c>
      <c r="G319" s="4" t="s">
        <v>25</v>
      </c>
      <c r="H319" s="4" t="s">
        <v>25</v>
      </c>
      <c r="I319" s="5">
        <v>44713</v>
      </c>
      <c r="J319" s="6">
        <v>0</v>
      </c>
      <c r="K319" s="6">
        <v>0</v>
      </c>
      <c r="L319" s="6">
        <v>334.767</v>
      </c>
      <c r="M319" s="6">
        <v>334.767</v>
      </c>
      <c r="N319" s="6">
        <v>334.767</v>
      </c>
      <c r="O319" s="6">
        <v>334.767</v>
      </c>
      <c r="P319" s="6">
        <v>616</v>
      </c>
      <c r="Q319" s="4" t="s">
        <v>26</v>
      </c>
      <c r="R319" s="4">
        <v>0</v>
      </c>
      <c r="S319" s="4">
        <v>0</v>
      </c>
      <c r="T319" s="4">
        <v>30</v>
      </c>
      <c r="U319" s="4">
        <v>55</v>
      </c>
      <c r="V319" s="6">
        <f>IF(ISERROR(VLOOKUP($S$319,'TAR FIN'!$A$1:$O$85,15,0)),0,VLOOKUP($S$319,'TAR FIN'!$A$1:$O$85,15,0))</f>
        <v>0</v>
      </c>
      <c r="W319" s="6">
        <f>IF(ISERROR(VLOOKUP($T$319,'TAR FIN'!$A$1:$O$85,15,0)),0,VLOOKUP($T$319,'TAR FIN'!$A$1:$O$85,15,0))</f>
        <v>331.77</v>
      </c>
      <c r="X319" s="6">
        <f>IF(ISERROR(VLOOKUP($U$319,'TAR FIN'!$A$1:$O$85,15,0)),0,VLOOKUP($U$319,'TAR FIN'!$A$1:$O$85,15,0))</f>
        <v>124.36</v>
      </c>
      <c r="Y319" s="6"/>
      <c r="Z319" s="6">
        <f ca="1">('TUSD BE'!$AM$33+'TUSD BF'!$AM$33+'TUSD CVA'!$AM$33)*(1-CUSTOS!$M$38)</f>
        <v>390.73403238820225</v>
      </c>
      <c r="AA319" s="6">
        <f>('TE BE'!$AB$23+'TE BF'!$AB$23+'TE CVA'!$AB$23)*(1-CUSTOS!$M$38)</f>
        <v>127.65788581931002</v>
      </c>
      <c r="AB319" s="6">
        <f t="shared" si="14"/>
        <v>0</v>
      </c>
      <c r="AC319" s="6">
        <f>(L319-M319)*(W319+X319)+($W$141+$X$141-$W$319-$X$319)*(L319)</f>
        <v>20822.50739999998</v>
      </c>
      <c r="AD319" s="6">
        <f t="shared" si="15"/>
        <v>0</v>
      </c>
      <c r="AE319" s="6">
        <f ca="1">(L319-M319)*(Z319+AA319)+($Z$141+$AA$141-$Z$319-$AA$319)*(L319)</f>
        <v>11077.053656334561</v>
      </c>
      <c r="AF319" s="4" t="s">
        <v>590</v>
      </c>
    </row>
    <row r="320" spans="1:32" ht="11.25" customHeight="1" x14ac:dyDescent="0.25">
      <c r="A320" s="4" t="s">
        <v>21</v>
      </c>
      <c r="B320" s="4" t="s">
        <v>40</v>
      </c>
      <c r="C320" s="4" t="s">
        <v>23</v>
      </c>
      <c r="D320" s="4" t="s">
        <v>41</v>
      </c>
      <c r="E320" s="4" t="s">
        <v>25</v>
      </c>
      <c r="F320" s="4" t="s">
        <v>25</v>
      </c>
      <c r="G320" s="4" t="s">
        <v>25</v>
      </c>
      <c r="H320" s="4" t="s">
        <v>25</v>
      </c>
      <c r="I320" s="5">
        <v>44743</v>
      </c>
      <c r="J320" s="6">
        <v>0</v>
      </c>
      <c r="K320" s="6">
        <v>0</v>
      </c>
      <c r="L320" s="6">
        <v>2482.971</v>
      </c>
      <c r="M320" s="6">
        <v>2482.971</v>
      </c>
      <c r="N320" s="6">
        <v>2482.971</v>
      </c>
      <c r="O320" s="6">
        <v>2482.971</v>
      </c>
      <c r="P320" s="6">
        <v>5517</v>
      </c>
      <c r="Q320" s="4" t="s">
        <v>26</v>
      </c>
      <c r="R320" s="4">
        <v>0</v>
      </c>
      <c r="S320" s="4">
        <v>0</v>
      </c>
      <c r="T320" s="4">
        <v>30</v>
      </c>
      <c r="U320" s="4">
        <v>55</v>
      </c>
      <c r="V320" s="6">
        <f>IF(ISERROR(VLOOKUP($S$320,'TAR FIN'!$A$1:$O$85,15,0)),0,VLOOKUP($S$320,'TAR FIN'!$A$1:$O$85,15,0))</f>
        <v>0</v>
      </c>
      <c r="W320" s="6">
        <f>IF(ISERROR(VLOOKUP($T$320,'TAR FIN'!$A$1:$O$85,15,0)),0,VLOOKUP($T$320,'TAR FIN'!$A$1:$O$85,15,0))</f>
        <v>331.77</v>
      </c>
      <c r="X320" s="6">
        <f>IF(ISERROR(VLOOKUP($U$320,'TAR FIN'!$A$1:$O$85,15,0)),0,VLOOKUP($U$320,'TAR FIN'!$A$1:$O$85,15,0))</f>
        <v>124.36</v>
      </c>
      <c r="Y320" s="6"/>
      <c r="Z320" s="6">
        <f ca="1">('TUSD BE'!$AM$33+'TUSD BF'!$AM$33+'TUSD CVA'!$AM$33)*(1-CUSTOS!$M$38)</f>
        <v>390.73403238820225</v>
      </c>
      <c r="AA320" s="6">
        <f>('TE BE'!$AB$23+'TE BF'!$AB$23+'TE CVA'!$AB$23)*(1-CUSTOS!$M$38)</f>
        <v>127.65788581931002</v>
      </c>
      <c r="AB320" s="6">
        <f t="shared" si="14"/>
        <v>0</v>
      </c>
      <c r="AC320" s="6">
        <f>(L320-M320)*(W320+X320)+($W$141+$X$141-$W$320-$X$320)*(L320)</f>
        <v>154440.79619999987</v>
      </c>
      <c r="AD320" s="6">
        <f t="shared" si="15"/>
        <v>0</v>
      </c>
      <c r="AE320" s="6">
        <f ca="1">(L320-M320)*(Z320+AA320)+($Z$141+$AA$141-$Z$320-$AA$320)*(L320)</f>
        <v>82158.644651720999</v>
      </c>
      <c r="AF320" s="4" t="s">
        <v>590</v>
      </c>
    </row>
    <row r="321" spans="1:32" ht="11.25" customHeight="1" x14ac:dyDescent="0.25">
      <c r="A321" s="4" t="s">
        <v>27</v>
      </c>
      <c r="B321" s="4" t="s">
        <v>40</v>
      </c>
      <c r="C321" s="4" t="s">
        <v>23</v>
      </c>
      <c r="D321" s="4" t="s">
        <v>41</v>
      </c>
      <c r="E321" s="4" t="s">
        <v>25</v>
      </c>
      <c r="F321" s="4" t="s">
        <v>25</v>
      </c>
      <c r="G321" s="4" t="s">
        <v>25</v>
      </c>
      <c r="H321" s="4" t="s">
        <v>25</v>
      </c>
      <c r="I321" s="5">
        <v>44743</v>
      </c>
      <c r="J321" s="6">
        <v>0</v>
      </c>
      <c r="K321" s="6">
        <v>0</v>
      </c>
      <c r="L321" s="6">
        <v>-0.66100000000000003</v>
      </c>
      <c r="M321" s="6">
        <v>-0.66100000000000003</v>
      </c>
      <c r="N321" s="6">
        <v>-0.66100000000000003</v>
      </c>
      <c r="O321" s="6">
        <v>-0.66100000000000003</v>
      </c>
      <c r="P321" s="6">
        <v>0</v>
      </c>
      <c r="Q321" s="4" t="s">
        <v>26</v>
      </c>
      <c r="R321" s="4">
        <v>0</v>
      </c>
      <c r="S321" s="4">
        <v>0</v>
      </c>
      <c r="T321" s="4">
        <v>30</v>
      </c>
      <c r="U321" s="4">
        <v>55</v>
      </c>
      <c r="V321" s="6">
        <f>IF(ISERROR(VLOOKUP($S$321,'TAR FIN'!$A$1:$O$85,15,0)),0,VLOOKUP($S$321,'TAR FIN'!$A$1:$O$85,15,0))</f>
        <v>0</v>
      </c>
      <c r="W321" s="6">
        <f>IF(ISERROR(VLOOKUP($T$321,'TAR FIN'!$A$1:$O$85,15,0)),0,VLOOKUP($T$321,'TAR FIN'!$A$1:$O$85,15,0))</f>
        <v>331.77</v>
      </c>
      <c r="X321" s="6">
        <f>IF(ISERROR(VLOOKUP($U$321,'TAR FIN'!$A$1:$O$85,15,0)),0,VLOOKUP($U$321,'TAR FIN'!$A$1:$O$85,15,0))</f>
        <v>124.36</v>
      </c>
      <c r="Y321" s="6"/>
      <c r="Z321" s="6">
        <f ca="1">('TUSD BE'!$AM$33+'TUSD BF'!$AM$33+'TUSD CVA'!$AM$33)*(1-CUSTOS!$M$38)</f>
        <v>390.73403238820225</v>
      </c>
      <c r="AA321" s="6">
        <f>('TE BE'!$AB$23+'TE BF'!$AB$23+'TE CVA'!$AB$23)*(1-CUSTOS!$M$38)</f>
        <v>127.65788581931002</v>
      </c>
      <c r="AB321" s="6">
        <f t="shared" si="14"/>
        <v>0</v>
      </c>
      <c r="AC321" s="6">
        <f>(L321-M321)*(W321+X321)+($W$141+$X$141-$W$321-$X$321)*(L321)</f>
        <v>-41.114199999999968</v>
      </c>
      <c r="AD321" s="6">
        <f t="shared" si="15"/>
        <v>0</v>
      </c>
      <c r="AE321" s="6">
        <f ca="1">(L321-M321)*(Z321+AA321)+($Z$141+$AA$141-$Z$321-$AA$321)*(L321)</f>
        <v>-21.87172710224468</v>
      </c>
      <c r="AF321" s="4" t="s">
        <v>590</v>
      </c>
    </row>
    <row r="322" spans="1:32" ht="11.25" customHeight="1" x14ac:dyDescent="0.25">
      <c r="A322" s="4" t="s">
        <v>28</v>
      </c>
      <c r="B322" s="4" t="s">
        <v>40</v>
      </c>
      <c r="C322" s="4" t="s">
        <v>23</v>
      </c>
      <c r="D322" s="4" t="s">
        <v>41</v>
      </c>
      <c r="E322" s="4" t="s">
        <v>25</v>
      </c>
      <c r="F322" s="4" t="s">
        <v>25</v>
      </c>
      <c r="G322" s="4" t="s">
        <v>25</v>
      </c>
      <c r="H322" s="4" t="s">
        <v>25</v>
      </c>
      <c r="I322" s="5">
        <v>44743</v>
      </c>
      <c r="J322" s="6">
        <v>0</v>
      </c>
      <c r="K322" s="6">
        <v>0</v>
      </c>
      <c r="L322" s="6">
        <v>319.28100000000001</v>
      </c>
      <c r="M322" s="6">
        <v>319.28100000000001</v>
      </c>
      <c r="N322" s="6">
        <v>319.28100000000001</v>
      </c>
      <c r="O322" s="6">
        <v>319.28100000000001</v>
      </c>
      <c r="P322" s="6">
        <v>640</v>
      </c>
      <c r="Q322" s="4" t="s">
        <v>26</v>
      </c>
      <c r="R322" s="4">
        <v>0</v>
      </c>
      <c r="S322" s="4">
        <v>0</v>
      </c>
      <c r="T322" s="4">
        <v>30</v>
      </c>
      <c r="U322" s="4">
        <v>55</v>
      </c>
      <c r="V322" s="6">
        <f>IF(ISERROR(VLOOKUP($S$322,'TAR FIN'!$A$1:$O$85,15,0)),0,VLOOKUP($S$322,'TAR FIN'!$A$1:$O$85,15,0))</f>
        <v>0</v>
      </c>
      <c r="W322" s="6">
        <f>IF(ISERROR(VLOOKUP($T$322,'TAR FIN'!$A$1:$O$85,15,0)),0,VLOOKUP($T$322,'TAR FIN'!$A$1:$O$85,15,0))</f>
        <v>331.77</v>
      </c>
      <c r="X322" s="6">
        <f>IF(ISERROR(VLOOKUP($U$322,'TAR FIN'!$A$1:$O$85,15,0)),0,VLOOKUP($U$322,'TAR FIN'!$A$1:$O$85,15,0))</f>
        <v>124.36</v>
      </c>
      <c r="Y322" s="6"/>
      <c r="Z322" s="6">
        <f ca="1">('TUSD BE'!$AM$33+'TUSD BF'!$AM$33+'TUSD CVA'!$AM$33)*(1-CUSTOS!$M$38)</f>
        <v>390.73403238820225</v>
      </c>
      <c r="AA322" s="6">
        <f>('TE BE'!$AB$23+'TE BF'!$AB$23+'TE CVA'!$AB$23)*(1-CUSTOS!$M$38)</f>
        <v>127.65788581931002</v>
      </c>
      <c r="AB322" s="6">
        <f t="shared" ref="AB322:AB325" si="16">(J322-K322)*V322</f>
        <v>0</v>
      </c>
      <c r="AC322" s="6">
        <f>(L322-M322)*(W322+X322)+($W$141+$X$141-$W$322-$X$322)*(L322)</f>
        <v>19859.278199999982</v>
      </c>
      <c r="AD322" s="6">
        <f t="shared" ref="AD322:AD325" si="17">(J322-K322)*Y322</f>
        <v>0</v>
      </c>
      <c r="AE322" s="6">
        <f ca="1">(L322-M322)*(Z322+AA322)+($Z$141+$AA$141-$Z$322-$AA$322)*(L322)</f>
        <v>10564.639789609355</v>
      </c>
      <c r="AF322" s="4" t="s">
        <v>590</v>
      </c>
    </row>
    <row r="323" spans="1:32" ht="11.25" customHeight="1" x14ac:dyDescent="0.25">
      <c r="A323" s="4" t="s">
        <v>21</v>
      </c>
      <c r="B323" s="4" t="s">
        <v>40</v>
      </c>
      <c r="C323" s="4" t="s">
        <v>23</v>
      </c>
      <c r="D323" s="4" t="s">
        <v>41</v>
      </c>
      <c r="E323" s="4" t="s">
        <v>25</v>
      </c>
      <c r="F323" s="4" t="s">
        <v>25</v>
      </c>
      <c r="G323" s="4" t="s">
        <v>25</v>
      </c>
      <c r="H323" s="4" t="s">
        <v>25</v>
      </c>
      <c r="I323" s="5">
        <v>44774</v>
      </c>
      <c r="J323" s="6">
        <v>0</v>
      </c>
      <c r="K323" s="6">
        <v>0</v>
      </c>
      <c r="L323" s="6">
        <v>2513.9899999999998</v>
      </c>
      <c r="M323" s="6">
        <v>2513.9899999999998</v>
      </c>
      <c r="N323" s="6">
        <v>2513.9899999999998</v>
      </c>
      <c r="O323" s="6">
        <v>2513.9899999999998</v>
      </c>
      <c r="P323" s="6">
        <v>5470</v>
      </c>
      <c r="Q323" s="4" t="s">
        <v>26</v>
      </c>
      <c r="R323" s="4">
        <v>0</v>
      </c>
      <c r="S323" s="4">
        <v>0</v>
      </c>
      <c r="T323" s="4">
        <v>30</v>
      </c>
      <c r="U323" s="4">
        <v>55</v>
      </c>
      <c r="V323" s="6">
        <f>IF(ISERROR(VLOOKUP($S$323,'TAR FIN'!$A$1:$O$85,15,0)),0,VLOOKUP($S$323,'TAR FIN'!$A$1:$O$85,15,0))</f>
        <v>0</v>
      </c>
      <c r="W323" s="6">
        <f>IF(ISERROR(VLOOKUP($T$323,'TAR FIN'!$A$1:$O$85,15,0)),0,VLOOKUP($T$323,'TAR FIN'!$A$1:$O$85,15,0))</f>
        <v>331.77</v>
      </c>
      <c r="X323" s="6">
        <f>IF(ISERROR(VLOOKUP($U$323,'TAR FIN'!$A$1:$O$85,15,0)),0,VLOOKUP($U$323,'TAR FIN'!$A$1:$O$85,15,0))</f>
        <v>124.36</v>
      </c>
      <c r="Y323" s="6"/>
      <c r="Z323" s="6">
        <f ca="1">('TUSD BE'!$AM$33+'TUSD BF'!$AM$33+'TUSD CVA'!$AM$33)*(1-CUSTOS!$M$38)</f>
        <v>390.73403238820225</v>
      </c>
      <c r="AA323" s="6">
        <f>('TE BE'!$AB$23+'TE BF'!$AB$23+'TE CVA'!$AB$23)*(1-CUSTOS!$M$38)</f>
        <v>127.65788581931002</v>
      </c>
      <c r="AB323" s="6">
        <f t="shared" si="16"/>
        <v>0</v>
      </c>
      <c r="AC323" s="6">
        <f>(L323-M323)*(W323+X323)+($W$141+$X$141-$W$323-$X$323)*(L323)</f>
        <v>156370.17799999984</v>
      </c>
      <c r="AD323" s="6">
        <f t="shared" si="17"/>
        <v>0</v>
      </c>
      <c r="AE323" s="6">
        <f ca="1">(L323-M323)*(Z323+AA323)+($Z$141+$AA$141-$Z$323-$AA$323)*(L323)</f>
        <v>83185.027560926028</v>
      </c>
      <c r="AF323" s="4" t="s">
        <v>590</v>
      </c>
    </row>
    <row r="324" spans="1:32" ht="11.25" customHeight="1" x14ac:dyDescent="0.25">
      <c r="A324" s="4" t="s">
        <v>27</v>
      </c>
      <c r="B324" s="4" t="s">
        <v>40</v>
      </c>
      <c r="C324" s="4" t="s">
        <v>23</v>
      </c>
      <c r="D324" s="4" t="s">
        <v>41</v>
      </c>
      <c r="E324" s="4" t="s">
        <v>25</v>
      </c>
      <c r="F324" s="4" t="s">
        <v>25</v>
      </c>
      <c r="G324" s="4" t="s">
        <v>25</v>
      </c>
      <c r="H324" s="4" t="s">
        <v>25</v>
      </c>
      <c r="I324" s="5">
        <v>44774</v>
      </c>
      <c r="J324" s="6">
        <v>0</v>
      </c>
      <c r="K324" s="6">
        <v>0</v>
      </c>
      <c r="L324" s="6">
        <v>-7.1959999999999997</v>
      </c>
      <c r="M324" s="6">
        <v>-7.1959999999999997</v>
      </c>
      <c r="N324" s="6">
        <v>-7.1959999999999997</v>
      </c>
      <c r="O324" s="6">
        <v>-7.1959999999999997</v>
      </c>
      <c r="P324" s="6">
        <v>0</v>
      </c>
      <c r="Q324" s="4" t="s">
        <v>26</v>
      </c>
      <c r="R324" s="4">
        <v>0</v>
      </c>
      <c r="S324" s="4">
        <v>0</v>
      </c>
      <c r="T324" s="4">
        <v>30</v>
      </c>
      <c r="U324" s="4">
        <v>55</v>
      </c>
      <c r="V324" s="6">
        <f>IF(ISERROR(VLOOKUP($S$324,'TAR FIN'!$A$1:$O$85,15,0)),0,VLOOKUP($S$324,'TAR FIN'!$A$1:$O$85,15,0))</f>
        <v>0</v>
      </c>
      <c r="W324" s="6">
        <f>IF(ISERROR(VLOOKUP($T$324,'TAR FIN'!$A$1:$O$85,15,0)),0,VLOOKUP($T$324,'TAR FIN'!$A$1:$O$85,15,0))</f>
        <v>331.77</v>
      </c>
      <c r="X324" s="6">
        <f>IF(ISERROR(VLOOKUP($U$324,'TAR FIN'!$A$1:$O$85,15,0)),0,VLOOKUP($U$324,'TAR FIN'!$A$1:$O$85,15,0))</f>
        <v>124.36</v>
      </c>
      <c r="Y324" s="6"/>
      <c r="Z324" s="6">
        <f ca="1">('TUSD BE'!$AM$33+'TUSD BF'!$AM$33+'TUSD CVA'!$AM$33)*(1-CUSTOS!$M$38)</f>
        <v>390.73403238820225</v>
      </c>
      <c r="AA324" s="6">
        <f>('TE BE'!$AB$23+'TE BF'!$AB$23+'TE CVA'!$AB$23)*(1-CUSTOS!$M$38)</f>
        <v>127.65788581931002</v>
      </c>
      <c r="AB324" s="6">
        <f t="shared" si="16"/>
        <v>0</v>
      </c>
      <c r="AC324" s="6">
        <f>(L324-M324)*(W324+X324)+($W$141+$X$141-$W$324-$X$324)*(L324)</f>
        <v>-447.59119999999962</v>
      </c>
      <c r="AD324" s="6">
        <f t="shared" si="17"/>
        <v>0</v>
      </c>
      <c r="AE324" s="6">
        <f ca="1">(L324-M324)*(Z324+AA324)+($Z$141+$AA$141-$Z$324-$AA$324)*(L324)</f>
        <v>-238.10733468646401</v>
      </c>
      <c r="AF324" s="4" t="s">
        <v>590</v>
      </c>
    </row>
    <row r="325" spans="1:32" ht="11.25" customHeight="1" x14ac:dyDescent="0.25">
      <c r="A325" s="4" t="s">
        <v>28</v>
      </c>
      <c r="B325" s="4" t="s">
        <v>40</v>
      </c>
      <c r="C325" s="4" t="s">
        <v>23</v>
      </c>
      <c r="D325" s="4" t="s">
        <v>41</v>
      </c>
      <c r="E325" s="4" t="s">
        <v>25</v>
      </c>
      <c r="F325" s="4" t="s">
        <v>25</v>
      </c>
      <c r="G325" s="4" t="s">
        <v>25</v>
      </c>
      <c r="H325" s="4" t="s">
        <v>25</v>
      </c>
      <c r="I325" s="5">
        <v>44774</v>
      </c>
      <c r="J325" s="6">
        <v>0</v>
      </c>
      <c r="K325" s="6">
        <v>0</v>
      </c>
      <c r="L325" s="6">
        <v>276.565</v>
      </c>
      <c r="M325" s="6">
        <v>276.565</v>
      </c>
      <c r="N325" s="6">
        <v>276.565</v>
      </c>
      <c r="O325" s="6">
        <v>276.565</v>
      </c>
      <c r="P325" s="6">
        <v>684</v>
      </c>
      <c r="Q325" s="4" t="s">
        <v>26</v>
      </c>
      <c r="R325" s="4">
        <v>0</v>
      </c>
      <c r="S325" s="4">
        <v>0</v>
      </c>
      <c r="T325" s="4">
        <v>30</v>
      </c>
      <c r="U325" s="4">
        <v>55</v>
      </c>
      <c r="V325" s="6">
        <f>IF(ISERROR(VLOOKUP($S$325,'TAR FIN'!$A$1:$O$85,15,0)),0,VLOOKUP($S$325,'TAR FIN'!$A$1:$O$85,15,0))</f>
        <v>0</v>
      </c>
      <c r="W325" s="6">
        <f>IF(ISERROR(VLOOKUP($T$325,'TAR FIN'!$A$1:$O$85,15,0)),0,VLOOKUP($T$325,'TAR FIN'!$A$1:$O$85,15,0))</f>
        <v>331.77</v>
      </c>
      <c r="X325" s="6">
        <f>IF(ISERROR(VLOOKUP($U$325,'TAR FIN'!$A$1:$O$85,15,0)),0,VLOOKUP($U$325,'TAR FIN'!$A$1:$O$85,15,0))</f>
        <v>124.36</v>
      </c>
      <c r="Y325" s="6"/>
      <c r="Z325" s="6">
        <f ca="1">('TUSD BE'!$AM$33+'TUSD BF'!$AM$33+'TUSD CVA'!$AM$33)*(1-CUSTOS!$M$38)</f>
        <v>390.73403238820225</v>
      </c>
      <c r="AA325" s="6">
        <f>('TE BE'!$AB$23+'TE BF'!$AB$23+'TE CVA'!$AB$23)*(1-CUSTOS!$M$38)</f>
        <v>127.65788581931002</v>
      </c>
      <c r="AB325" s="6">
        <f t="shared" si="16"/>
        <v>0</v>
      </c>
      <c r="AC325" s="6">
        <f>(L325-M325)*(W325+X325)+($W$141+$X$141-$W$325-$X$325)*(L325)</f>
        <v>17202.342999999986</v>
      </c>
      <c r="AD325" s="6">
        <f t="shared" si="17"/>
        <v>0</v>
      </c>
      <c r="AE325" s="6">
        <f ca="1">(L325-M325)*(Z325+AA325)+($Z$141+$AA$141-$Z$325-$AA$325)*(L325)</f>
        <v>9151.2166505783662</v>
      </c>
      <c r="AF325" s="4" t="s">
        <v>590</v>
      </c>
    </row>
    <row r="326" spans="1:32" ht="11.25" customHeight="1" x14ac:dyDescent="0.25">
      <c r="A326" s="4" t="s">
        <v>21</v>
      </c>
      <c r="B326" s="4" t="s">
        <v>33</v>
      </c>
      <c r="C326" s="4" t="s">
        <v>23</v>
      </c>
      <c r="D326" s="4" t="s">
        <v>46</v>
      </c>
      <c r="E326" s="4" t="s">
        <v>47</v>
      </c>
      <c r="F326" s="4" t="s">
        <v>25</v>
      </c>
      <c r="G326" s="4" t="s">
        <v>25</v>
      </c>
      <c r="H326" s="4" t="s">
        <v>25</v>
      </c>
      <c r="I326" s="5">
        <v>44440</v>
      </c>
      <c r="J326" s="6">
        <v>0</v>
      </c>
      <c r="K326" s="61">
        <v>0</v>
      </c>
      <c r="L326" s="6">
        <v>47.116</v>
      </c>
      <c r="M326" s="61">
        <v>47.116</v>
      </c>
      <c r="N326" s="6">
        <v>47.116</v>
      </c>
      <c r="O326" s="61">
        <v>47.116</v>
      </c>
      <c r="P326" s="6">
        <v>19</v>
      </c>
      <c r="Q326" s="4" t="s">
        <v>26</v>
      </c>
      <c r="R326" s="4">
        <v>0</v>
      </c>
      <c r="S326" s="4">
        <v>0</v>
      </c>
      <c r="T326" s="4">
        <v>72</v>
      </c>
      <c r="U326" s="4">
        <v>83</v>
      </c>
      <c r="V326" s="61">
        <f>IF(ISERROR(VLOOKUP($S$326,'TAR FIN'!$A$1:$O$85,15,0)),0,VLOOKUP($S$326,'TAR FIN'!$A$1:$O$85,15,0))</f>
        <v>0</v>
      </c>
      <c r="W326" s="61">
        <f>IF(ISERROR(VLOOKUP($T$326,'TAR FIN'!$A$1:$O$85,15,0)),0,VLOOKUP($T$326,'TAR FIN'!$A$1:$O$85,15,0))*(1-0.06)</f>
        <v>354.38939999999997</v>
      </c>
      <c r="X326" s="61">
        <f>IF(ISERROR(VLOOKUP($U$326,'TAR FIN'!$A$1:$O$85,15,0)),0,VLOOKUP($U$326,'TAR FIN'!$A$1:$O$85,15,0))*(1-0.06)</f>
        <v>132.84079999999997</v>
      </c>
      <c r="Y326" s="61"/>
      <c r="Z326" s="61">
        <f ca="1">('TUSD BE'!$AM$48+'TUSD BF'!$AM$48+'TUSD CVA'!$AM$48)*1*(1-0.03)</f>
        <v>403.20426746442149</v>
      </c>
      <c r="AA326" s="61">
        <f>('TE BE'!$AB$38+'TE BF'!$AB$38+'TE CVA'!$AB$38)*1*(1-0.03)</f>
        <v>131.73207366460716</v>
      </c>
      <c r="AB326" s="61">
        <f>(SUBSIDIO!$J$326*SUBSIDIO!$V$326)*(0.06)/(1-0.06)</f>
        <v>0</v>
      </c>
      <c r="AC326" s="61">
        <f>((SUBSIDIO!$L$326*SUBSIDIO!$W$326)+(SUBSIDIO!$N$326*SUBSIDIO!$X$326))*(0.06)/(1-0.06)</f>
        <v>1465.2981767999997</v>
      </c>
      <c r="AD326" s="61">
        <f>(SUBSIDIO!$J$326*SUBSIDIO!$Y$326)*(0.03)/(1-0.03)</f>
        <v>0</v>
      </c>
      <c r="AE326" s="61">
        <f ca="1">((SUBSIDIO!$L$326*SUBSIDIO!$Z$326)+(SUBSIDIO!$N$326*SUBSIDIO!$AA$326))*(0.03)/(1-0.03)</f>
        <v>779.50703037016433</v>
      </c>
      <c r="AF326" s="4" t="s">
        <v>588</v>
      </c>
    </row>
    <row r="327" spans="1:32" ht="11.25" customHeight="1" x14ac:dyDescent="0.25">
      <c r="A327" s="4" t="s">
        <v>21</v>
      </c>
      <c r="B327" s="4" t="s">
        <v>33</v>
      </c>
      <c r="C327" s="4" t="s">
        <v>23</v>
      </c>
      <c r="D327" s="4" t="s">
        <v>46</v>
      </c>
      <c r="E327" s="4" t="s">
        <v>47</v>
      </c>
      <c r="F327" s="4" t="s">
        <v>25</v>
      </c>
      <c r="G327" s="4" t="s">
        <v>25</v>
      </c>
      <c r="H327" s="4" t="s">
        <v>25</v>
      </c>
      <c r="I327" s="5">
        <v>44470</v>
      </c>
      <c r="J327" s="6">
        <v>0</v>
      </c>
      <c r="K327" s="61">
        <v>0</v>
      </c>
      <c r="L327" s="6">
        <v>44.110999999999997</v>
      </c>
      <c r="M327" s="61">
        <v>44.110999999999997</v>
      </c>
      <c r="N327" s="6">
        <v>44.110999999999997</v>
      </c>
      <c r="O327" s="61">
        <v>44.110999999999997</v>
      </c>
      <c r="P327" s="6">
        <v>19</v>
      </c>
      <c r="Q327" s="4" t="s">
        <v>26</v>
      </c>
      <c r="R327" s="4">
        <v>0</v>
      </c>
      <c r="S327" s="4">
        <v>0</v>
      </c>
      <c r="T327" s="4">
        <v>72</v>
      </c>
      <c r="U327" s="4">
        <v>83</v>
      </c>
      <c r="V327" s="61">
        <f>IF(ISERROR(VLOOKUP($S$327,'TAR FIN'!$A$1:$O$85,15,0)),0,VLOOKUP($S$327,'TAR FIN'!$A$1:$O$85,15,0))</f>
        <v>0</v>
      </c>
      <c r="W327" s="61">
        <f>IF(ISERROR(VLOOKUP($T$327,'TAR FIN'!$A$1:$O$85,15,0)),0,VLOOKUP($T$327,'TAR FIN'!$A$1:$O$85,15,0))*(1-0.06)</f>
        <v>354.38939999999997</v>
      </c>
      <c r="X327" s="61">
        <f>IF(ISERROR(VLOOKUP($U$327,'TAR FIN'!$A$1:$O$85,15,0)),0,VLOOKUP($U$327,'TAR FIN'!$A$1:$O$85,15,0))*(1-0.06)</f>
        <v>132.84079999999997</v>
      </c>
      <c r="Y327" s="61"/>
      <c r="Z327" s="61">
        <f ca="1">('TUSD BE'!$AM$48+'TUSD BF'!$AM$48+'TUSD CVA'!$AM$48)*1*(1-0.03)</f>
        <v>403.20426746442149</v>
      </c>
      <c r="AA327" s="61">
        <f>('TE BE'!$AB$38+'TE BF'!$AB$38+'TE CVA'!$AB$38)*1*(1-0.03)</f>
        <v>131.73207366460716</v>
      </c>
      <c r="AB327" s="61">
        <f>(SUBSIDIO!$J$327*SUBSIDIO!$V$327)*(0.06)/(1-0.06)</f>
        <v>0</v>
      </c>
      <c r="AC327" s="61">
        <f>((SUBSIDIO!$L$327*SUBSIDIO!$W$327)+(SUBSIDIO!$N$327*SUBSIDIO!$X$327))*(0.06)/(1-0.06)</f>
        <v>1371.8432777999997</v>
      </c>
      <c r="AD327" s="61">
        <f>(SUBSIDIO!$J$327*SUBSIDIO!$Y$327)*(0.03)/(1-0.03)</f>
        <v>0</v>
      </c>
      <c r="AE327" s="61">
        <f ca="1">((SUBSIDIO!$L$327*SUBSIDIO!$Z$327)+(SUBSIDIO!$N$327*SUBSIDIO!$AA$327))*(0.03)/(1-0.03)</f>
        <v>729.7910394910075</v>
      </c>
      <c r="AF327" s="4" t="s">
        <v>588</v>
      </c>
    </row>
    <row r="328" spans="1:32" ht="11.25" customHeight="1" x14ac:dyDescent="0.25">
      <c r="A328" s="4" t="s">
        <v>21</v>
      </c>
      <c r="B328" s="4" t="s">
        <v>33</v>
      </c>
      <c r="C328" s="4" t="s">
        <v>23</v>
      </c>
      <c r="D328" s="4" t="s">
        <v>46</v>
      </c>
      <c r="E328" s="4" t="s">
        <v>47</v>
      </c>
      <c r="F328" s="4" t="s">
        <v>25</v>
      </c>
      <c r="G328" s="4" t="s">
        <v>25</v>
      </c>
      <c r="H328" s="4" t="s">
        <v>25</v>
      </c>
      <c r="I328" s="5">
        <v>44501</v>
      </c>
      <c r="J328" s="6">
        <v>0</v>
      </c>
      <c r="K328" s="61">
        <v>0</v>
      </c>
      <c r="L328" s="6">
        <v>43.723999999999997</v>
      </c>
      <c r="M328" s="61">
        <v>43.723999999999997</v>
      </c>
      <c r="N328" s="6">
        <v>43.723999999999997</v>
      </c>
      <c r="O328" s="61">
        <v>43.723999999999997</v>
      </c>
      <c r="P328" s="6">
        <v>19</v>
      </c>
      <c r="Q328" s="4" t="s">
        <v>26</v>
      </c>
      <c r="R328" s="4">
        <v>0</v>
      </c>
      <c r="S328" s="4">
        <v>0</v>
      </c>
      <c r="T328" s="4">
        <v>72</v>
      </c>
      <c r="U328" s="4">
        <v>83</v>
      </c>
      <c r="V328" s="61">
        <f>IF(ISERROR(VLOOKUP($S$328,'TAR FIN'!$A$1:$O$85,15,0)),0,VLOOKUP($S$328,'TAR FIN'!$A$1:$O$85,15,0))</f>
        <v>0</v>
      </c>
      <c r="W328" s="61">
        <f>IF(ISERROR(VLOOKUP($T$328,'TAR FIN'!$A$1:$O$85,15,0)),0,VLOOKUP($T$328,'TAR FIN'!$A$1:$O$85,15,0))*(1-0.06)</f>
        <v>354.38939999999997</v>
      </c>
      <c r="X328" s="61">
        <f>IF(ISERROR(VLOOKUP($U$328,'TAR FIN'!$A$1:$O$85,15,0)),0,VLOOKUP($U$328,'TAR FIN'!$A$1:$O$85,15,0))*(1-0.06)</f>
        <v>132.84079999999997</v>
      </c>
      <c r="Y328" s="61"/>
      <c r="Z328" s="61">
        <f ca="1">('TUSD BE'!$AM$48+'TUSD BF'!$AM$48+'TUSD CVA'!$AM$48)*1*(1-0.03)</f>
        <v>403.20426746442149</v>
      </c>
      <c r="AA328" s="61">
        <f>('TE BE'!$AB$38+'TE BF'!$AB$38+'TE CVA'!$AB$38)*1*(1-0.03)</f>
        <v>131.73207366460716</v>
      </c>
      <c r="AB328" s="61">
        <f>(SUBSIDIO!$J$328*SUBSIDIO!$V$328)*(0.06)/(1-0.06)</f>
        <v>0</v>
      </c>
      <c r="AC328" s="61">
        <f>((SUBSIDIO!$L$328*SUBSIDIO!$W$328)+(SUBSIDIO!$N$328*SUBSIDIO!$X$328))*(0.06)/(1-0.06)</f>
        <v>1359.8076551999995</v>
      </c>
      <c r="AD328" s="61">
        <f>(SUBSIDIO!$J$328*SUBSIDIO!$Y$328)*(0.03)/(1-0.03)</f>
        <v>0</v>
      </c>
      <c r="AE328" s="61">
        <f ca="1">((SUBSIDIO!$L$328*SUBSIDIO!$Z$328)+(SUBSIDIO!$N$328*SUBSIDIO!$AA$328))*(0.03)/(1-0.03)</f>
        <v>723.38834782038077</v>
      </c>
      <c r="AF328" s="4" t="s">
        <v>588</v>
      </c>
    </row>
    <row r="329" spans="1:32" ht="11.25" customHeight="1" x14ac:dyDescent="0.25">
      <c r="A329" s="4" t="s">
        <v>21</v>
      </c>
      <c r="B329" s="4" t="s">
        <v>33</v>
      </c>
      <c r="C329" s="4" t="s">
        <v>23</v>
      </c>
      <c r="D329" s="4" t="s">
        <v>46</v>
      </c>
      <c r="E329" s="4" t="s">
        <v>47</v>
      </c>
      <c r="F329" s="4" t="s">
        <v>25</v>
      </c>
      <c r="G329" s="4" t="s">
        <v>25</v>
      </c>
      <c r="H329" s="4" t="s">
        <v>25</v>
      </c>
      <c r="I329" s="5">
        <v>44531</v>
      </c>
      <c r="J329" s="6">
        <v>0</v>
      </c>
      <c r="K329" s="61">
        <v>0</v>
      </c>
      <c r="L329" s="6">
        <v>46.649000000000001</v>
      </c>
      <c r="M329" s="61">
        <v>46.649000000000001</v>
      </c>
      <c r="N329" s="6">
        <v>46.649000000000001</v>
      </c>
      <c r="O329" s="61">
        <v>46.649000000000001</v>
      </c>
      <c r="P329" s="6">
        <v>19</v>
      </c>
      <c r="Q329" s="4" t="s">
        <v>26</v>
      </c>
      <c r="R329" s="4">
        <v>0</v>
      </c>
      <c r="S329" s="4">
        <v>0</v>
      </c>
      <c r="T329" s="4">
        <v>72</v>
      </c>
      <c r="U329" s="4">
        <v>83</v>
      </c>
      <c r="V329" s="61">
        <f>IF(ISERROR(VLOOKUP($S$329,'TAR FIN'!$A$1:$O$85,15,0)),0,VLOOKUP($S$329,'TAR FIN'!$A$1:$O$85,15,0))</f>
        <v>0</v>
      </c>
      <c r="W329" s="61">
        <f>IF(ISERROR(VLOOKUP($T$329,'TAR FIN'!$A$1:$O$85,15,0)),0,VLOOKUP($T$329,'TAR FIN'!$A$1:$O$85,15,0))*(1-0.06)</f>
        <v>354.38939999999997</v>
      </c>
      <c r="X329" s="61">
        <f>IF(ISERROR(VLOOKUP($U$329,'TAR FIN'!$A$1:$O$85,15,0)),0,VLOOKUP($U$329,'TAR FIN'!$A$1:$O$85,15,0))*(1-0.06)</f>
        <v>132.84079999999997</v>
      </c>
      <c r="Y329" s="61"/>
      <c r="Z329" s="61">
        <f ca="1">('TUSD BE'!$AM$48+'TUSD BF'!$AM$48+'TUSD CVA'!$AM$48)*1*(1-0.03)</f>
        <v>403.20426746442149</v>
      </c>
      <c r="AA329" s="61">
        <f>('TE BE'!$AB$38+'TE BF'!$AB$38+'TE CVA'!$AB$38)*1*(1-0.03)</f>
        <v>131.73207366460716</v>
      </c>
      <c r="AB329" s="61">
        <f>(SUBSIDIO!$J$329*SUBSIDIO!$V$329)*(0.06)/(1-0.06)</f>
        <v>0</v>
      </c>
      <c r="AC329" s="61">
        <f>((SUBSIDIO!$L$329*SUBSIDIO!$W$329)+(SUBSIDIO!$N$329*SUBSIDIO!$X$329))*(0.06)/(1-0.06)</f>
        <v>1450.7745701999997</v>
      </c>
      <c r="AD329" s="61">
        <f>(SUBSIDIO!$J$329*SUBSIDIO!$Y$329)*(0.03)/(1-0.03)</f>
        <v>0</v>
      </c>
      <c r="AE329" s="61">
        <f ca="1">((SUBSIDIO!$L$329*SUBSIDIO!$Z$329)+(SUBSIDIO!$N$329*SUBSIDIO!$AA$329))*(0.03)/(1-0.03)</f>
        <v>771.78078486581626</v>
      </c>
      <c r="AF329" s="4" t="s">
        <v>588</v>
      </c>
    </row>
    <row r="330" spans="1:32" ht="11.25" customHeight="1" x14ac:dyDescent="0.25">
      <c r="A330" s="4" t="s">
        <v>21</v>
      </c>
      <c r="B330" s="4" t="s">
        <v>33</v>
      </c>
      <c r="C330" s="4" t="s">
        <v>23</v>
      </c>
      <c r="D330" s="4" t="s">
        <v>46</v>
      </c>
      <c r="E330" s="4" t="s">
        <v>47</v>
      </c>
      <c r="F330" s="4" t="s">
        <v>25</v>
      </c>
      <c r="G330" s="4" t="s">
        <v>25</v>
      </c>
      <c r="H330" s="4" t="s">
        <v>25</v>
      </c>
      <c r="I330" s="5">
        <v>44562</v>
      </c>
      <c r="J330" s="6">
        <v>0</v>
      </c>
      <c r="K330" s="61">
        <v>0</v>
      </c>
      <c r="L330" s="6">
        <v>46.154000000000003</v>
      </c>
      <c r="M330" s="61">
        <v>46.154000000000003</v>
      </c>
      <c r="N330" s="6">
        <v>46.154000000000003</v>
      </c>
      <c r="O330" s="61">
        <v>46.154000000000003</v>
      </c>
      <c r="P330" s="6">
        <v>19</v>
      </c>
      <c r="Q330" s="4" t="s">
        <v>26</v>
      </c>
      <c r="R330" s="4">
        <v>0</v>
      </c>
      <c r="S330" s="4">
        <v>0</v>
      </c>
      <c r="T330" s="4">
        <v>72</v>
      </c>
      <c r="U330" s="4">
        <v>83</v>
      </c>
      <c r="V330" s="61">
        <f>IF(ISERROR(VLOOKUP($S$330,'TAR FIN'!$A$1:$O$85,15,0)),0,VLOOKUP($S$330,'TAR FIN'!$A$1:$O$85,15,0))</f>
        <v>0</v>
      </c>
      <c r="W330" s="61">
        <f>IF(ISERROR(VLOOKUP($T$330,'TAR FIN'!$A$1:$O$85,15,0)),0,VLOOKUP($T$330,'TAR FIN'!$A$1:$O$85,15,0))*(1-0.06)</f>
        <v>354.38939999999997</v>
      </c>
      <c r="X330" s="61">
        <f>IF(ISERROR(VLOOKUP($U$330,'TAR FIN'!$A$1:$O$85,15,0)),0,VLOOKUP($U$330,'TAR FIN'!$A$1:$O$85,15,0))*(1-0.06)</f>
        <v>132.84079999999997</v>
      </c>
      <c r="Y330" s="61"/>
      <c r="Z330" s="61">
        <f ca="1">('TUSD BE'!$AM$48+'TUSD BF'!$AM$48+'TUSD CVA'!$AM$48)*1*(1-0.03)</f>
        <v>403.20426746442149</v>
      </c>
      <c r="AA330" s="61">
        <f>('TE BE'!$AB$38+'TE BF'!$AB$38+'TE CVA'!$AB$38)*1*(1-0.03)</f>
        <v>131.73207366460716</v>
      </c>
      <c r="AB330" s="61">
        <f>(SUBSIDIO!$J$330*SUBSIDIO!$V$330)*(0.06)/(1-0.06)</f>
        <v>0</v>
      </c>
      <c r="AC330" s="61">
        <f>((SUBSIDIO!$L$330*SUBSIDIO!$W$330)+(SUBSIDIO!$N$330*SUBSIDIO!$X$330))*(0.06)/(1-0.06)</f>
        <v>1435.3801691999997</v>
      </c>
      <c r="AD330" s="61">
        <f>(SUBSIDIO!$J$330*SUBSIDIO!$Y$330)*(0.03)/(1-0.03)</f>
        <v>0</v>
      </c>
      <c r="AE330" s="61">
        <f ca="1">((SUBSIDIO!$L$330*SUBSIDIO!$Z$330)+(SUBSIDIO!$N$330*SUBSIDIO!$AA$330))*(0.03)/(1-0.03)</f>
        <v>763.59129551966566</v>
      </c>
      <c r="AF330" s="4" t="s">
        <v>588</v>
      </c>
    </row>
    <row r="331" spans="1:32" ht="11.25" customHeight="1" x14ac:dyDescent="0.25">
      <c r="A331" s="4" t="s">
        <v>21</v>
      </c>
      <c r="B331" s="4" t="s">
        <v>33</v>
      </c>
      <c r="C331" s="4" t="s">
        <v>23</v>
      </c>
      <c r="D331" s="4" t="s">
        <v>46</v>
      </c>
      <c r="E331" s="4" t="s">
        <v>47</v>
      </c>
      <c r="F331" s="4" t="s">
        <v>25</v>
      </c>
      <c r="G331" s="4" t="s">
        <v>25</v>
      </c>
      <c r="H331" s="4" t="s">
        <v>25</v>
      </c>
      <c r="I331" s="5">
        <v>44593</v>
      </c>
      <c r="J331" s="6">
        <v>0</v>
      </c>
      <c r="K331" s="61">
        <v>0</v>
      </c>
      <c r="L331" s="6">
        <v>39.616999999999997</v>
      </c>
      <c r="M331" s="61">
        <v>39.616999999999997</v>
      </c>
      <c r="N331" s="6">
        <v>39.616999999999997</v>
      </c>
      <c r="O331" s="61">
        <v>39.616999999999997</v>
      </c>
      <c r="P331" s="6">
        <v>19</v>
      </c>
      <c r="Q331" s="4" t="s">
        <v>26</v>
      </c>
      <c r="R331" s="4">
        <v>0</v>
      </c>
      <c r="S331" s="4">
        <v>0</v>
      </c>
      <c r="T331" s="4">
        <v>72</v>
      </c>
      <c r="U331" s="4">
        <v>83</v>
      </c>
      <c r="V331" s="61">
        <f>IF(ISERROR(VLOOKUP($S$331,'TAR FIN'!$A$1:$O$85,15,0)),0,VLOOKUP($S$331,'TAR FIN'!$A$1:$O$85,15,0))</f>
        <v>0</v>
      </c>
      <c r="W331" s="61">
        <f>IF(ISERROR(VLOOKUP($T$331,'TAR FIN'!$A$1:$O$85,15,0)),0,VLOOKUP($T$331,'TAR FIN'!$A$1:$O$85,15,0))*(1-0.06)</f>
        <v>354.38939999999997</v>
      </c>
      <c r="X331" s="61">
        <f>IF(ISERROR(VLOOKUP($U$331,'TAR FIN'!$A$1:$O$85,15,0)),0,VLOOKUP($U$331,'TAR FIN'!$A$1:$O$85,15,0))*(1-0.06)</f>
        <v>132.84079999999997</v>
      </c>
      <c r="Y331" s="61"/>
      <c r="Z331" s="61">
        <f ca="1">('TUSD BE'!$AM$48+'TUSD BF'!$AM$48+'TUSD CVA'!$AM$48)*1*(1-0.03)</f>
        <v>403.20426746442149</v>
      </c>
      <c r="AA331" s="61">
        <f>('TE BE'!$AB$38+'TE BF'!$AB$38+'TE CVA'!$AB$38)*1*(1-0.03)</f>
        <v>131.73207366460716</v>
      </c>
      <c r="AB331" s="61">
        <f>(SUBSIDIO!$J$331*SUBSIDIO!$V$331)*(0.06)/(1-0.06)</f>
        <v>0</v>
      </c>
      <c r="AC331" s="61">
        <f>((SUBSIDIO!$L$331*SUBSIDIO!$W$331)+(SUBSIDIO!$N$331*SUBSIDIO!$X$331))*(0.06)/(1-0.06)</f>
        <v>1232.0807765999996</v>
      </c>
      <c r="AD331" s="61">
        <f>(SUBSIDIO!$J$331*SUBSIDIO!$Y$331)*(0.03)/(1-0.03)</f>
        <v>0</v>
      </c>
      <c r="AE331" s="61">
        <f ca="1">((SUBSIDIO!$L$331*SUBSIDIO!$Z$331)+(SUBSIDIO!$N$331*SUBSIDIO!$AA$331))*(0.03)/(1-0.03)</f>
        <v>655.44040288171311</v>
      </c>
      <c r="AF331" s="4" t="s">
        <v>588</v>
      </c>
    </row>
    <row r="332" spans="1:32" ht="11.25" customHeight="1" x14ac:dyDescent="0.25">
      <c r="A332" s="4" t="s">
        <v>21</v>
      </c>
      <c r="B332" s="4" t="s">
        <v>33</v>
      </c>
      <c r="C332" s="4" t="s">
        <v>23</v>
      </c>
      <c r="D332" s="4" t="s">
        <v>46</v>
      </c>
      <c r="E332" s="4" t="s">
        <v>47</v>
      </c>
      <c r="F332" s="4" t="s">
        <v>25</v>
      </c>
      <c r="G332" s="4" t="s">
        <v>25</v>
      </c>
      <c r="H332" s="4" t="s">
        <v>25</v>
      </c>
      <c r="I332" s="5">
        <v>44621</v>
      </c>
      <c r="J332" s="6">
        <v>0</v>
      </c>
      <c r="K332" s="61">
        <v>0</v>
      </c>
      <c r="L332" s="6">
        <v>46.433999999999997</v>
      </c>
      <c r="M332" s="61">
        <v>46.433999999999997</v>
      </c>
      <c r="N332" s="6">
        <v>46.433999999999997</v>
      </c>
      <c r="O332" s="61">
        <v>46.433999999999997</v>
      </c>
      <c r="P332" s="6">
        <v>19</v>
      </c>
      <c r="Q332" s="4" t="s">
        <v>26</v>
      </c>
      <c r="R332" s="4">
        <v>0</v>
      </c>
      <c r="S332" s="4">
        <v>0</v>
      </c>
      <c r="T332" s="4">
        <v>72</v>
      </c>
      <c r="U332" s="4">
        <v>83</v>
      </c>
      <c r="V332" s="61">
        <f>IF(ISERROR(VLOOKUP($S$332,'TAR FIN'!$A$1:$O$85,15,0)),0,VLOOKUP($S$332,'TAR FIN'!$A$1:$O$85,15,0))</f>
        <v>0</v>
      </c>
      <c r="W332" s="61">
        <f>IF(ISERROR(VLOOKUP($T$332,'TAR FIN'!$A$1:$O$85,15,0)),0,VLOOKUP($T$332,'TAR FIN'!$A$1:$O$85,15,0))*(1-0.06)</f>
        <v>354.38939999999997</v>
      </c>
      <c r="X332" s="61">
        <f>IF(ISERROR(VLOOKUP($U$332,'TAR FIN'!$A$1:$O$85,15,0)),0,VLOOKUP($U$332,'TAR FIN'!$A$1:$O$85,15,0))*(1-0.06)</f>
        <v>132.84079999999997</v>
      </c>
      <c r="Y332" s="61"/>
      <c r="Z332" s="61">
        <f ca="1">('TUSD BE'!$AM$48+'TUSD BF'!$AM$48+'TUSD CVA'!$AM$48)*1*(1-0.03)</f>
        <v>403.20426746442149</v>
      </c>
      <c r="AA332" s="61">
        <f>('TE BE'!$AB$38+'TE BF'!$AB$38+'TE CVA'!$AB$38)*1*(1-0.03)</f>
        <v>131.73207366460716</v>
      </c>
      <c r="AB332" s="61">
        <f>(SUBSIDIO!$J$332*SUBSIDIO!$V$332)*(0.06)/(1-0.06)</f>
        <v>0</v>
      </c>
      <c r="AC332" s="61">
        <f>((SUBSIDIO!$L$332*SUBSIDIO!$W$332)+(SUBSIDIO!$N$332*SUBSIDIO!$X$332))*(0.06)/(1-0.06)</f>
        <v>1444.0881131999997</v>
      </c>
      <c r="AD332" s="61">
        <f>(SUBSIDIO!$J$332*SUBSIDIO!$Y$332)*(0.03)/(1-0.03)</f>
        <v>0</v>
      </c>
      <c r="AE332" s="61">
        <f ca="1">((SUBSIDIO!$L$332*SUBSIDIO!$Z$332)+(SUBSIDIO!$N$332*SUBSIDIO!$AA$332))*(0.03)/(1-0.03)</f>
        <v>768.2237339376901</v>
      </c>
      <c r="AF332" s="4" t="s">
        <v>588</v>
      </c>
    </row>
    <row r="333" spans="1:32" ht="11.25" customHeight="1" x14ac:dyDescent="0.25">
      <c r="A333" s="4" t="s">
        <v>21</v>
      </c>
      <c r="B333" s="4" t="s">
        <v>33</v>
      </c>
      <c r="C333" s="4" t="s">
        <v>23</v>
      </c>
      <c r="D333" s="4" t="s">
        <v>46</v>
      </c>
      <c r="E333" s="4" t="s">
        <v>47</v>
      </c>
      <c r="F333" s="4" t="s">
        <v>25</v>
      </c>
      <c r="G333" s="4" t="s">
        <v>25</v>
      </c>
      <c r="H333" s="4" t="s">
        <v>25</v>
      </c>
      <c r="I333" s="5">
        <v>44652</v>
      </c>
      <c r="J333" s="6">
        <v>0</v>
      </c>
      <c r="K333" s="61">
        <v>0</v>
      </c>
      <c r="L333" s="6">
        <v>55.442</v>
      </c>
      <c r="M333" s="61">
        <v>55.442</v>
      </c>
      <c r="N333" s="6">
        <v>55.442</v>
      </c>
      <c r="O333" s="61">
        <v>55.442</v>
      </c>
      <c r="P333" s="6">
        <v>20</v>
      </c>
      <c r="Q333" s="4" t="s">
        <v>26</v>
      </c>
      <c r="R333" s="4">
        <v>0</v>
      </c>
      <c r="S333" s="4">
        <v>0</v>
      </c>
      <c r="T333" s="4">
        <v>72</v>
      </c>
      <c r="U333" s="4">
        <v>83</v>
      </c>
      <c r="V333" s="61">
        <f>IF(ISERROR(VLOOKUP($S$333,'TAR FIN'!$A$1:$O$85,15,0)),0,VLOOKUP($S$333,'TAR FIN'!$A$1:$O$85,15,0))</f>
        <v>0</v>
      </c>
      <c r="W333" s="61">
        <f>IF(ISERROR(VLOOKUP($T$333,'TAR FIN'!$A$1:$O$85,15,0)),0,VLOOKUP($T$333,'TAR FIN'!$A$1:$O$85,15,0))*(1-0.06)</f>
        <v>354.38939999999997</v>
      </c>
      <c r="X333" s="61">
        <f>IF(ISERROR(VLOOKUP($U$333,'TAR FIN'!$A$1:$O$85,15,0)),0,VLOOKUP($U$333,'TAR FIN'!$A$1:$O$85,15,0))*(1-0.06)</f>
        <v>132.84079999999997</v>
      </c>
      <c r="Y333" s="61"/>
      <c r="Z333" s="61">
        <f ca="1">('TUSD BE'!$AM$48+'TUSD BF'!$AM$48+'TUSD CVA'!$AM$48)*1*(1-0.03)</f>
        <v>403.20426746442149</v>
      </c>
      <c r="AA333" s="61">
        <f>('TE BE'!$AB$38+'TE BF'!$AB$38+'TE CVA'!$AB$38)*1*(1-0.03)</f>
        <v>131.73207366460716</v>
      </c>
      <c r="AB333" s="61">
        <f>(SUBSIDIO!$J$333*SUBSIDIO!$V$333)*(0.06)/(1-0.06)</f>
        <v>0</v>
      </c>
      <c r="AC333" s="61">
        <f>((SUBSIDIO!$L$333*SUBSIDIO!$W$333)+(SUBSIDIO!$N$333*SUBSIDIO!$X$333))*(0.06)/(1-0.06)</f>
        <v>1724.2351115999998</v>
      </c>
      <c r="AD333" s="61">
        <f>(SUBSIDIO!$J$333*SUBSIDIO!$Y$333)*(0.03)/(1-0.03)</f>
        <v>0</v>
      </c>
      <c r="AE333" s="61">
        <f ca="1">((SUBSIDIO!$L$333*SUBSIDIO!$Z$333)+(SUBSIDIO!$N$333*SUBSIDIO!$AA$333))*(0.03)/(1-0.03)</f>
        <v>917.2558956147094</v>
      </c>
      <c r="AF333" s="4" t="s">
        <v>588</v>
      </c>
    </row>
    <row r="334" spans="1:32" ht="11.25" customHeight="1" x14ac:dyDescent="0.25">
      <c r="A334" s="4" t="s">
        <v>21</v>
      </c>
      <c r="B334" s="4" t="s">
        <v>33</v>
      </c>
      <c r="C334" s="4" t="s">
        <v>23</v>
      </c>
      <c r="D334" s="4" t="s">
        <v>46</v>
      </c>
      <c r="E334" s="4" t="s">
        <v>47</v>
      </c>
      <c r="F334" s="4" t="s">
        <v>25</v>
      </c>
      <c r="G334" s="4" t="s">
        <v>25</v>
      </c>
      <c r="H334" s="4" t="s">
        <v>25</v>
      </c>
      <c r="I334" s="5">
        <v>44682</v>
      </c>
      <c r="J334" s="6">
        <v>0</v>
      </c>
      <c r="K334" s="61">
        <v>0</v>
      </c>
      <c r="L334" s="6">
        <v>43.161999999999999</v>
      </c>
      <c r="M334" s="61">
        <v>43.161999999999999</v>
      </c>
      <c r="N334" s="6">
        <v>43.161999999999999</v>
      </c>
      <c r="O334" s="61">
        <v>43.161999999999999</v>
      </c>
      <c r="P334" s="6">
        <v>20</v>
      </c>
      <c r="Q334" s="4" t="s">
        <v>26</v>
      </c>
      <c r="R334" s="4">
        <v>0</v>
      </c>
      <c r="S334" s="4">
        <v>0</v>
      </c>
      <c r="T334" s="4">
        <v>72</v>
      </c>
      <c r="U334" s="4">
        <v>83</v>
      </c>
      <c r="V334" s="61">
        <f>IF(ISERROR(VLOOKUP($S$334,'TAR FIN'!$A$1:$O$85,15,0)),0,VLOOKUP($S$334,'TAR FIN'!$A$1:$O$85,15,0))</f>
        <v>0</v>
      </c>
      <c r="W334" s="61">
        <f>IF(ISERROR(VLOOKUP($T$334,'TAR FIN'!$A$1:$O$85,15,0)),0,VLOOKUP($T$334,'TAR FIN'!$A$1:$O$85,15,0))*(1-0.06)</f>
        <v>354.38939999999997</v>
      </c>
      <c r="X334" s="61">
        <f>IF(ISERROR(VLOOKUP($U$334,'TAR FIN'!$A$1:$O$85,15,0)),0,VLOOKUP($U$334,'TAR FIN'!$A$1:$O$85,15,0))*(1-0.06)</f>
        <v>132.84079999999997</v>
      </c>
      <c r="Y334" s="61"/>
      <c r="Z334" s="61">
        <f ca="1">('TUSD BE'!$AM$48+'TUSD BF'!$AM$48+'TUSD CVA'!$AM$48)*1*(1-0.03)</f>
        <v>403.20426746442149</v>
      </c>
      <c r="AA334" s="61">
        <f>('TE BE'!$AB$38+'TE BF'!$AB$38+'TE CVA'!$AB$38)*1*(1-0.03)</f>
        <v>131.73207366460716</v>
      </c>
      <c r="AB334" s="61">
        <f>(SUBSIDIO!$J$334*SUBSIDIO!$V$334)*(0.06)/(1-0.06)</f>
        <v>0</v>
      </c>
      <c r="AC334" s="61">
        <f>((SUBSIDIO!$L$334*SUBSIDIO!$W$334)+(SUBSIDIO!$N$334*SUBSIDIO!$X$334))*(0.06)/(1-0.06)</f>
        <v>1342.3295676</v>
      </c>
      <c r="AD334" s="61">
        <f>(SUBSIDIO!$J$334*SUBSIDIO!$Y$334)*(0.03)/(1-0.03)</f>
        <v>0</v>
      </c>
      <c r="AE334" s="61">
        <f ca="1">((SUBSIDIO!$L$334*SUBSIDIO!$Z$334)+(SUBSIDIO!$N$334*SUBSIDIO!$AA$334))*(0.03)/(1-0.03)</f>
        <v>714.09038213848862</v>
      </c>
      <c r="AF334" s="4" t="s">
        <v>588</v>
      </c>
    </row>
    <row r="335" spans="1:32" ht="11.25" customHeight="1" x14ac:dyDescent="0.25">
      <c r="A335" s="4" t="s">
        <v>21</v>
      </c>
      <c r="B335" s="4" t="s">
        <v>33</v>
      </c>
      <c r="C335" s="4" t="s">
        <v>23</v>
      </c>
      <c r="D335" s="4" t="s">
        <v>46</v>
      </c>
      <c r="E335" s="4" t="s">
        <v>47</v>
      </c>
      <c r="F335" s="4" t="s">
        <v>25</v>
      </c>
      <c r="G335" s="4" t="s">
        <v>25</v>
      </c>
      <c r="H335" s="4" t="s">
        <v>25</v>
      </c>
      <c r="I335" s="5">
        <v>44713</v>
      </c>
      <c r="J335" s="6">
        <v>0</v>
      </c>
      <c r="K335" s="61">
        <v>0</v>
      </c>
      <c r="L335" s="6">
        <v>44.027000000000001</v>
      </c>
      <c r="M335" s="61">
        <v>44.027000000000001</v>
      </c>
      <c r="N335" s="6">
        <v>44.027000000000001</v>
      </c>
      <c r="O335" s="61">
        <v>44.027000000000001</v>
      </c>
      <c r="P335" s="6">
        <v>20</v>
      </c>
      <c r="Q335" s="4" t="s">
        <v>26</v>
      </c>
      <c r="R335" s="4">
        <v>0</v>
      </c>
      <c r="S335" s="4">
        <v>0</v>
      </c>
      <c r="T335" s="4">
        <v>72</v>
      </c>
      <c r="U335" s="4">
        <v>83</v>
      </c>
      <c r="V335" s="61">
        <f>IF(ISERROR(VLOOKUP($S$335,'TAR FIN'!$A$1:$O$85,15,0)),0,VLOOKUP($S$335,'TAR FIN'!$A$1:$O$85,15,0))</f>
        <v>0</v>
      </c>
      <c r="W335" s="61">
        <f>IF(ISERROR(VLOOKUP($T$335,'TAR FIN'!$A$1:$O$85,15,0)),0,VLOOKUP($T$335,'TAR FIN'!$A$1:$O$85,15,0))*(1-0.06)</f>
        <v>354.38939999999997</v>
      </c>
      <c r="X335" s="61">
        <f>IF(ISERROR(VLOOKUP($U$335,'TAR FIN'!$A$1:$O$85,15,0)),0,VLOOKUP($U$335,'TAR FIN'!$A$1:$O$85,15,0))*(1-0.06)</f>
        <v>132.84079999999997</v>
      </c>
      <c r="Y335" s="61"/>
      <c r="Z335" s="61">
        <f ca="1">('TUSD BE'!$AM$48+'TUSD BF'!$AM$48+'TUSD CVA'!$AM$48)*1*(1-0.03)</f>
        <v>403.20426746442149</v>
      </c>
      <c r="AA335" s="61">
        <f>('TE BE'!$AB$38+'TE BF'!$AB$38+'TE CVA'!$AB$38)*1*(1-0.03)</f>
        <v>131.73207366460716</v>
      </c>
      <c r="AB335" s="61">
        <f>(SUBSIDIO!$J$335*SUBSIDIO!$V$335)*(0.06)/(1-0.06)</f>
        <v>0</v>
      </c>
      <c r="AC335" s="61">
        <f>((SUBSIDIO!$L$335*SUBSIDIO!$W$335)+(SUBSIDIO!$N$335*SUBSIDIO!$X$335))*(0.06)/(1-0.06)</f>
        <v>1369.2308945999998</v>
      </c>
      <c r="AD335" s="61">
        <f>(SUBSIDIO!$J$335*SUBSIDIO!$Y$335)*(0.03)/(1-0.03)</f>
        <v>0</v>
      </c>
      <c r="AE335" s="61">
        <f ca="1">((SUBSIDIO!$L$335*SUBSIDIO!$Z$335)+(SUBSIDIO!$N$335*SUBSIDIO!$AA$335))*(0.03)/(1-0.03)</f>
        <v>728.40130796560027</v>
      </c>
      <c r="AF335" s="4" t="s">
        <v>588</v>
      </c>
    </row>
    <row r="336" spans="1:32" ht="11.25" customHeight="1" x14ac:dyDescent="0.25">
      <c r="A336" s="4" t="s">
        <v>21</v>
      </c>
      <c r="B336" s="4" t="s">
        <v>33</v>
      </c>
      <c r="C336" s="4" t="s">
        <v>23</v>
      </c>
      <c r="D336" s="4" t="s">
        <v>46</v>
      </c>
      <c r="E336" s="4" t="s">
        <v>47</v>
      </c>
      <c r="F336" s="4" t="s">
        <v>25</v>
      </c>
      <c r="G336" s="4" t="s">
        <v>25</v>
      </c>
      <c r="H336" s="4" t="s">
        <v>25</v>
      </c>
      <c r="I336" s="5">
        <v>44743</v>
      </c>
      <c r="J336" s="6">
        <v>0</v>
      </c>
      <c r="K336" s="61">
        <v>0</v>
      </c>
      <c r="L336" s="6">
        <v>49.674999999999997</v>
      </c>
      <c r="M336" s="61">
        <v>49.674999999999997</v>
      </c>
      <c r="N336" s="6">
        <v>49.674999999999997</v>
      </c>
      <c r="O336" s="61">
        <v>49.674999999999997</v>
      </c>
      <c r="P336" s="6">
        <v>20</v>
      </c>
      <c r="Q336" s="4" t="s">
        <v>26</v>
      </c>
      <c r="R336" s="4">
        <v>0</v>
      </c>
      <c r="S336" s="4">
        <v>0</v>
      </c>
      <c r="T336" s="4">
        <v>72</v>
      </c>
      <c r="U336" s="4">
        <v>83</v>
      </c>
      <c r="V336" s="61">
        <f>IF(ISERROR(VLOOKUP($S$336,'TAR FIN'!$A$1:$O$85,15,0)),0,VLOOKUP($S$336,'TAR FIN'!$A$1:$O$85,15,0))</f>
        <v>0</v>
      </c>
      <c r="W336" s="61">
        <f>IF(ISERROR(VLOOKUP($T$336,'TAR FIN'!$A$1:$O$85,15,0)),0,VLOOKUP($T$336,'TAR FIN'!$A$1:$O$85,15,0))*(1-0.06)</f>
        <v>354.38939999999997</v>
      </c>
      <c r="X336" s="61">
        <f>IF(ISERROR(VLOOKUP($U$336,'TAR FIN'!$A$1:$O$85,15,0)),0,VLOOKUP($U$336,'TAR FIN'!$A$1:$O$85,15,0))*(1-0.06)</f>
        <v>132.84079999999997</v>
      </c>
      <c r="Y336" s="61"/>
      <c r="Z336" s="61">
        <f ca="1">('TUSD BE'!$AM$48+'TUSD BF'!$AM$48+'TUSD CVA'!$AM$48)*1*(1-0.03)</f>
        <v>403.20426746442149</v>
      </c>
      <c r="AA336" s="61">
        <f>('TE BE'!$AB$38+'TE BF'!$AB$38+'TE CVA'!$AB$38)*1*(1-0.03)</f>
        <v>131.73207366460716</v>
      </c>
      <c r="AB336" s="61">
        <f>(SUBSIDIO!$J$336*SUBSIDIO!$V$336)*(0.06)/(1-0.06)</f>
        <v>0</v>
      </c>
      <c r="AC336" s="61">
        <f>((SUBSIDIO!$L$336*SUBSIDIO!$W$336)+(SUBSIDIO!$N$336*SUBSIDIO!$X$336))*(0.06)/(1-0.06)</f>
        <v>1544.8825649999997</v>
      </c>
      <c r="AD336" s="61">
        <f>(SUBSIDIO!$J$336*SUBSIDIO!$Y$336)*(0.03)/(1-0.03)</f>
        <v>0</v>
      </c>
      <c r="AE336" s="61">
        <f ca="1">((SUBSIDIO!$L$336*SUBSIDIO!$Z$336)+(SUBSIDIO!$N$336*SUBSIDIO!$AA$336))*(0.03)/(1-0.03)</f>
        <v>821.84420862632464</v>
      </c>
      <c r="AF336" s="4" t="s">
        <v>588</v>
      </c>
    </row>
    <row r="337" spans="1:32" ht="11.25" customHeight="1" x14ac:dyDescent="0.25">
      <c r="A337" s="4" t="s">
        <v>21</v>
      </c>
      <c r="B337" s="4" t="s">
        <v>33</v>
      </c>
      <c r="C337" s="4" t="s">
        <v>23</v>
      </c>
      <c r="D337" s="4" t="s">
        <v>46</v>
      </c>
      <c r="E337" s="4" t="s">
        <v>47</v>
      </c>
      <c r="F337" s="4" t="s">
        <v>25</v>
      </c>
      <c r="G337" s="4" t="s">
        <v>25</v>
      </c>
      <c r="H337" s="4" t="s">
        <v>25</v>
      </c>
      <c r="I337" s="5">
        <v>44774</v>
      </c>
      <c r="J337" s="6">
        <v>0</v>
      </c>
      <c r="K337" s="61">
        <v>0</v>
      </c>
      <c r="L337" s="6">
        <v>48.137999999999998</v>
      </c>
      <c r="M337" s="61">
        <v>48.137999999999998</v>
      </c>
      <c r="N337" s="6">
        <v>48.137999999999998</v>
      </c>
      <c r="O337" s="61">
        <v>48.137999999999998</v>
      </c>
      <c r="P337" s="6">
        <v>20</v>
      </c>
      <c r="Q337" s="4" t="s">
        <v>26</v>
      </c>
      <c r="R337" s="4">
        <v>0</v>
      </c>
      <c r="S337" s="4">
        <v>0</v>
      </c>
      <c r="T337" s="4">
        <v>72</v>
      </c>
      <c r="U337" s="4">
        <v>83</v>
      </c>
      <c r="V337" s="61">
        <f>IF(ISERROR(VLOOKUP($S$337,'TAR FIN'!$A$1:$O$85,15,0)),0,VLOOKUP($S$337,'TAR FIN'!$A$1:$O$85,15,0))</f>
        <v>0</v>
      </c>
      <c r="W337" s="61">
        <f>IF(ISERROR(VLOOKUP($T$337,'TAR FIN'!$A$1:$O$85,15,0)),0,VLOOKUP($T$337,'TAR FIN'!$A$1:$O$85,15,0))*(1-0.06)</f>
        <v>354.38939999999997</v>
      </c>
      <c r="X337" s="61">
        <f>IF(ISERROR(VLOOKUP($U$337,'TAR FIN'!$A$1:$O$85,15,0)),0,VLOOKUP($U$337,'TAR FIN'!$A$1:$O$85,15,0))*(1-0.06)</f>
        <v>132.84079999999997</v>
      </c>
      <c r="Y337" s="61"/>
      <c r="Z337" s="61">
        <f ca="1">('TUSD BE'!$AM$48+'TUSD BF'!$AM$48+'TUSD CVA'!$AM$48)*1*(1-0.03)</f>
        <v>403.20426746442149</v>
      </c>
      <c r="AA337" s="61">
        <f>('TE BE'!$AB$38+'TE BF'!$AB$38+'TE CVA'!$AB$38)*1*(1-0.03)</f>
        <v>131.73207366460716</v>
      </c>
      <c r="AB337" s="61">
        <f>(SUBSIDIO!$J$337*SUBSIDIO!$V$337)*(0.06)/(1-0.06)</f>
        <v>0</v>
      </c>
      <c r="AC337" s="61">
        <f>((SUBSIDIO!$L$337*SUBSIDIO!$W$337)+(SUBSIDIO!$N$337*SUBSIDIO!$X$337))*(0.06)/(1-0.06)</f>
        <v>1497.0821723999995</v>
      </c>
      <c r="AD337" s="61">
        <f>(SUBSIDIO!$J$337*SUBSIDIO!$Y$337)*(0.03)/(1-0.03)</f>
        <v>0</v>
      </c>
      <c r="AE337" s="61">
        <f ca="1">((SUBSIDIO!$L$337*SUBSIDIO!$Z$337)+(SUBSIDIO!$N$337*SUBSIDIO!$AA$337))*(0.03)/(1-0.03)</f>
        <v>796.41543059595404</v>
      </c>
      <c r="AF337" s="4" t="s">
        <v>588</v>
      </c>
    </row>
    <row r="338" spans="1:32" ht="11.25" customHeight="1" x14ac:dyDescent="0.25"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 spans="1:32" ht="11.25" customHeight="1" x14ac:dyDescent="0.25"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 spans="1:32" ht="11.25" customHeight="1" x14ac:dyDescent="0.25"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 spans="1:32" ht="11.25" customHeight="1" x14ac:dyDescent="0.25"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spans="1:32" ht="11.25" customHeight="1" x14ac:dyDescent="0.25"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 spans="1:32" ht="11.25" customHeight="1" x14ac:dyDescent="0.25"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 spans="1:32" ht="11.25" customHeight="1" x14ac:dyDescent="0.25"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 spans="1:32" ht="11.25" customHeight="1" x14ac:dyDescent="0.25"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 spans="1:32" ht="11.25" customHeight="1" x14ac:dyDescent="0.25"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 spans="1:32" ht="11.25" customHeight="1" x14ac:dyDescent="0.25"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 spans="1:32" ht="11.25" customHeight="1" x14ac:dyDescent="0.25"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 spans="1:32" ht="11.25" customHeight="1" x14ac:dyDescent="0.25"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 spans="1:32" ht="11.25" customHeight="1" x14ac:dyDescent="0.25"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 spans="1:32" ht="11.25" customHeight="1" x14ac:dyDescent="0.25"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 spans="1:32" ht="11.25" customHeight="1" x14ac:dyDescent="0.25"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spans="22:31" ht="11.25" customHeight="1" x14ac:dyDescent="0.25"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 spans="22:31" ht="11.25" customHeight="1" x14ac:dyDescent="0.25"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 spans="22:31" ht="11.25" customHeight="1" x14ac:dyDescent="0.25"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 spans="22:31" ht="11.25" customHeight="1" x14ac:dyDescent="0.25"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 spans="22:31" ht="11.25" customHeight="1" x14ac:dyDescent="0.25"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spans="22:31" ht="11.25" customHeight="1" x14ac:dyDescent="0.25"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spans="22:31" ht="11.25" customHeight="1" x14ac:dyDescent="0.25"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 spans="22:31" ht="11.25" customHeight="1" x14ac:dyDescent="0.25"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 spans="22:31" ht="11.25" customHeight="1" x14ac:dyDescent="0.25"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 spans="22:31" ht="11.25" customHeight="1" x14ac:dyDescent="0.25"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 spans="22:31" ht="11.25" customHeight="1" x14ac:dyDescent="0.25"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 spans="22:31" ht="11.25" customHeight="1" x14ac:dyDescent="0.25"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 spans="22:31" ht="11.25" customHeight="1" x14ac:dyDescent="0.25"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 spans="22:31" ht="11.25" customHeight="1" x14ac:dyDescent="0.25"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 spans="22:31" ht="11.25" customHeight="1" x14ac:dyDescent="0.25"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 spans="22:31" ht="11.25" customHeight="1" x14ac:dyDescent="0.25"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spans="22:31" ht="11.25" customHeight="1" x14ac:dyDescent="0.25"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spans="22:31" ht="11.25" customHeight="1" x14ac:dyDescent="0.25"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 spans="22:31" ht="11.25" customHeight="1" x14ac:dyDescent="0.25"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 spans="22:31" ht="11.25" customHeight="1" x14ac:dyDescent="0.25"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 spans="22:31" ht="11.25" customHeight="1" x14ac:dyDescent="0.25"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 spans="22:31" ht="11.25" customHeight="1" x14ac:dyDescent="0.25"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 spans="22:31" ht="11.25" customHeight="1" x14ac:dyDescent="0.25"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 spans="22:31" ht="11.25" customHeight="1" x14ac:dyDescent="0.25"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 spans="22:31" ht="11.25" customHeight="1" x14ac:dyDescent="0.25"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 spans="22:31" ht="11.25" customHeight="1" x14ac:dyDescent="0.25"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 spans="22:31" ht="11.25" customHeight="1" x14ac:dyDescent="0.25"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spans="22:31" ht="11.25" customHeight="1" x14ac:dyDescent="0.25"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 spans="22:31" ht="11.25" customHeight="1" x14ac:dyDescent="0.25"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 spans="22:31" ht="11.25" customHeight="1" x14ac:dyDescent="0.25"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 spans="22:31" ht="11.25" customHeight="1" x14ac:dyDescent="0.25"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 spans="22:31" ht="11.25" customHeight="1" x14ac:dyDescent="0.25"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 spans="22:31" ht="11.25" customHeight="1" x14ac:dyDescent="0.25"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 spans="22:31" ht="11.25" customHeight="1" x14ac:dyDescent="0.25"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 spans="22:31" ht="11.25" customHeight="1" x14ac:dyDescent="0.25"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 spans="22:31" ht="11.25" customHeight="1" x14ac:dyDescent="0.25"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 spans="22:31" ht="11.25" customHeight="1" x14ac:dyDescent="0.25"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 spans="22:31" ht="11.25" customHeight="1" x14ac:dyDescent="0.25"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 spans="22:31" ht="11.25" customHeight="1" x14ac:dyDescent="0.25"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 spans="22:31" ht="11.25" customHeight="1" x14ac:dyDescent="0.25"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 spans="22:31" ht="11.25" customHeight="1" x14ac:dyDescent="0.25"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 spans="22:31" ht="11.25" customHeight="1" x14ac:dyDescent="0.25"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 spans="22:31" ht="11.25" customHeight="1" x14ac:dyDescent="0.25"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 spans="22:31" ht="11.25" customHeight="1" x14ac:dyDescent="0.25"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 spans="22:31" ht="11.25" customHeight="1" x14ac:dyDescent="0.25"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 spans="22:31" ht="11.25" customHeight="1" x14ac:dyDescent="0.25"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 spans="22:31" ht="11.25" customHeight="1" x14ac:dyDescent="0.25"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 spans="22:31" ht="11.25" customHeight="1" x14ac:dyDescent="0.25"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 spans="22:31" ht="11.25" customHeight="1" x14ac:dyDescent="0.25"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 spans="22:31" ht="11.25" customHeight="1" x14ac:dyDescent="0.25"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 spans="22:31" ht="11.25" customHeight="1" x14ac:dyDescent="0.25"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 spans="22:31" ht="11.25" customHeight="1" x14ac:dyDescent="0.25"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 spans="22:31" ht="11.25" customHeight="1" x14ac:dyDescent="0.25"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 spans="22:31" ht="11.25" customHeight="1" x14ac:dyDescent="0.25"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 spans="22:31" ht="11.25" customHeight="1" x14ac:dyDescent="0.25"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 spans="22:31" ht="11.25" customHeight="1" x14ac:dyDescent="0.25"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 spans="22:31" ht="11.25" customHeight="1" x14ac:dyDescent="0.25"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 spans="22:31" ht="11.25" customHeight="1" x14ac:dyDescent="0.25"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 spans="22:31" ht="11.25" customHeight="1" x14ac:dyDescent="0.25"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 spans="22:31" ht="11.25" customHeight="1" x14ac:dyDescent="0.25"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 spans="22:31" ht="11.25" customHeight="1" x14ac:dyDescent="0.25"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 spans="22:31" ht="11.25" customHeight="1" x14ac:dyDescent="0.25"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 spans="22:31" ht="11.25" customHeight="1" x14ac:dyDescent="0.25"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 spans="22:31" ht="11.25" customHeight="1" x14ac:dyDescent="0.25"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 spans="22:31" ht="11.25" customHeight="1" x14ac:dyDescent="0.25"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 spans="22:31" ht="11.25" customHeight="1" x14ac:dyDescent="0.25"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 spans="22:31" ht="11.25" customHeight="1" x14ac:dyDescent="0.25"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 spans="22:31" ht="11.25" customHeight="1" x14ac:dyDescent="0.25"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 spans="22:31" ht="11.25" customHeight="1" x14ac:dyDescent="0.25"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 spans="22:31" ht="11.25" customHeight="1" x14ac:dyDescent="0.25"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 spans="22:31" ht="11.25" customHeight="1" x14ac:dyDescent="0.25"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 spans="22:31" ht="11.25" customHeight="1" x14ac:dyDescent="0.25"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 spans="22:31" ht="11.25" customHeight="1" x14ac:dyDescent="0.25"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 spans="22:31" ht="11.25" customHeight="1" x14ac:dyDescent="0.25"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 spans="22:31" ht="11.25" customHeight="1" x14ac:dyDescent="0.25"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 spans="22:31" ht="11.25" customHeight="1" x14ac:dyDescent="0.25"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 spans="22:31" ht="11.25" customHeight="1" x14ac:dyDescent="0.25"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 spans="22:31" ht="11.25" customHeight="1" x14ac:dyDescent="0.25"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 spans="22:31" ht="11.25" customHeight="1" x14ac:dyDescent="0.25"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 spans="22:31" ht="11.25" customHeight="1" x14ac:dyDescent="0.25"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 spans="22:31" ht="11.25" customHeight="1" x14ac:dyDescent="0.25"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 spans="22:31" ht="11.25" customHeight="1" x14ac:dyDescent="0.25"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 spans="22:31" ht="11.25" customHeight="1" x14ac:dyDescent="0.25"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 spans="22:31" ht="11.25" customHeight="1" x14ac:dyDescent="0.25"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 spans="22:31" ht="11.25" customHeight="1" x14ac:dyDescent="0.25"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 spans="22:31" ht="11.25" customHeight="1" x14ac:dyDescent="0.25"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 spans="22:31" ht="11.25" customHeight="1" x14ac:dyDescent="0.25"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 spans="22:31" ht="11.25" customHeight="1" x14ac:dyDescent="0.25"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 spans="22:31" ht="11.25" customHeight="1" x14ac:dyDescent="0.25"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 spans="22:31" ht="11.25" customHeight="1" x14ac:dyDescent="0.25"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 spans="22:31" ht="11.25" customHeight="1" x14ac:dyDescent="0.25"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 spans="22:31" ht="11.25" customHeight="1" x14ac:dyDescent="0.25"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 spans="22:31" ht="11.25" customHeight="1" x14ac:dyDescent="0.25"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 spans="22:31" ht="11.25" customHeight="1" x14ac:dyDescent="0.25"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 spans="22:31" ht="11.25" customHeight="1" x14ac:dyDescent="0.25"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 spans="22:31" ht="11.25" customHeight="1" x14ac:dyDescent="0.25"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 spans="22:31" ht="11.25" customHeight="1" x14ac:dyDescent="0.25"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 spans="22:31" ht="11.25" customHeight="1" x14ac:dyDescent="0.25"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 spans="22:31" ht="11.25" customHeight="1" x14ac:dyDescent="0.25"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 spans="22:31" ht="11.25" customHeight="1" x14ac:dyDescent="0.25"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 spans="22:31" ht="11.25" customHeight="1" x14ac:dyDescent="0.25"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 spans="22:31" ht="11.25" customHeight="1" x14ac:dyDescent="0.25"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 spans="22:31" ht="11.25" customHeight="1" x14ac:dyDescent="0.25"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 spans="22:31" ht="11.25" customHeight="1" x14ac:dyDescent="0.25"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 spans="22:31" ht="11.25" customHeight="1" x14ac:dyDescent="0.25"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 spans="22:31" ht="11.25" customHeight="1" x14ac:dyDescent="0.25"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 spans="22:31" ht="11.25" customHeight="1" x14ac:dyDescent="0.25"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 spans="22:31" ht="11.25" customHeight="1" x14ac:dyDescent="0.25"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 spans="22:31" ht="11.25" customHeight="1" x14ac:dyDescent="0.25"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 spans="22:31" ht="11.25" customHeight="1" x14ac:dyDescent="0.25"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 spans="22:31" ht="11.25" customHeight="1" x14ac:dyDescent="0.25"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 spans="22:31" ht="11.25" customHeight="1" x14ac:dyDescent="0.25"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 spans="22:31" ht="11.25" customHeight="1" x14ac:dyDescent="0.25"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 spans="22:31" ht="11.25" customHeight="1" x14ac:dyDescent="0.25"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 spans="22:31" ht="11.25" customHeight="1" x14ac:dyDescent="0.25"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 spans="22:31" ht="11.25" customHeight="1" x14ac:dyDescent="0.25"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 spans="22:31" ht="11.25" customHeight="1" x14ac:dyDescent="0.25"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 spans="22:31" ht="11.25" customHeight="1" x14ac:dyDescent="0.25"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 spans="22:31" ht="11.25" customHeight="1" x14ac:dyDescent="0.25"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 spans="22:31" ht="11.25" customHeight="1" x14ac:dyDescent="0.25"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 spans="22:31" ht="11.25" customHeight="1" x14ac:dyDescent="0.25"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 spans="22:31" ht="11.25" customHeight="1" x14ac:dyDescent="0.25"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 spans="22:31" ht="11.25" customHeight="1" x14ac:dyDescent="0.25"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 spans="22:31" ht="11.25" customHeight="1" x14ac:dyDescent="0.25"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 spans="22:31" ht="11.25" customHeight="1" x14ac:dyDescent="0.25"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 spans="22:31" ht="11.25" customHeight="1" x14ac:dyDescent="0.25"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 spans="22:31" ht="11.25" customHeight="1" x14ac:dyDescent="0.25"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 spans="22:31" ht="11.25" customHeight="1" x14ac:dyDescent="0.25"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 spans="22:31" ht="11.25" customHeight="1" x14ac:dyDescent="0.25"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 spans="22:31" ht="11.25" customHeight="1" x14ac:dyDescent="0.25"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 spans="22:31" ht="11.25" customHeight="1" x14ac:dyDescent="0.25"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 spans="22:31" ht="11.25" customHeight="1" x14ac:dyDescent="0.25"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 spans="22:31" ht="11.25" customHeight="1" x14ac:dyDescent="0.25"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 spans="22:31" ht="11.25" customHeight="1" x14ac:dyDescent="0.25"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 spans="22:31" ht="11.25" customHeight="1" x14ac:dyDescent="0.25"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 spans="22:31" ht="11.25" customHeight="1" x14ac:dyDescent="0.25"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 spans="22:31" ht="11.25" customHeight="1" x14ac:dyDescent="0.25"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 spans="22:31" ht="11.25" customHeight="1" x14ac:dyDescent="0.25"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 spans="22:31" ht="11.25" customHeight="1" x14ac:dyDescent="0.25"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 spans="22:31" ht="11.25" customHeight="1" x14ac:dyDescent="0.25"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 spans="22:31" ht="11.25" customHeight="1" x14ac:dyDescent="0.25"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 spans="22:31" ht="11.25" customHeight="1" x14ac:dyDescent="0.25"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 spans="22:31" ht="11.25" customHeight="1" x14ac:dyDescent="0.25"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 spans="22:31" ht="11.25" customHeight="1" x14ac:dyDescent="0.25"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 spans="22:31" ht="11.25" customHeight="1" x14ac:dyDescent="0.25"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 spans="22:31" ht="11.25" customHeight="1" x14ac:dyDescent="0.25"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 spans="22:31" ht="11.25" customHeight="1" x14ac:dyDescent="0.25"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 spans="22:31" ht="11.25" customHeight="1" x14ac:dyDescent="0.25"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 spans="22:31" ht="11.25" customHeight="1" x14ac:dyDescent="0.25"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 spans="22:31" ht="11.25" customHeight="1" x14ac:dyDescent="0.25"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 spans="22:31" ht="11.25" customHeight="1" x14ac:dyDescent="0.25"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 spans="22:31" ht="11.25" customHeight="1" x14ac:dyDescent="0.25"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 spans="22:31" ht="11.25" customHeight="1" x14ac:dyDescent="0.25"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 spans="22:31" ht="11.25" customHeight="1" x14ac:dyDescent="0.25"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  <row r="507" spans="22:31" ht="11.25" customHeight="1" x14ac:dyDescent="0.25"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 spans="22:31" ht="11.25" customHeight="1" x14ac:dyDescent="0.25"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 spans="22:31" ht="11.25" customHeight="1" x14ac:dyDescent="0.25"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 spans="22:31" ht="11.25" customHeight="1" x14ac:dyDescent="0.25"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 spans="22:31" ht="11.25" customHeight="1" x14ac:dyDescent="0.25"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 spans="22:31" ht="11.25" customHeight="1" x14ac:dyDescent="0.25"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 spans="22:31" ht="11.25" customHeight="1" x14ac:dyDescent="0.25"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 spans="22:31" ht="11.25" customHeight="1" x14ac:dyDescent="0.25"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 spans="22:31" ht="11.25" customHeight="1" x14ac:dyDescent="0.25"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 spans="22:31" ht="11.25" customHeight="1" x14ac:dyDescent="0.25"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 spans="22:31" ht="11.25" customHeight="1" x14ac:dyDescent="0.25"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 spans="22:31" ht="11.25" customHeight="1" x14ac:dyDescent="0.25"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 spans="22:31" ht="11.25" customHeight="1" x14ac:dyDescent="0.25">
      <c r="V519" s="6"/>
      <c r="W519" s="6"/>
      <c r="X519" s="6"/>
      <c r="Y519" s="6"/>
      <c r="Z519" s="6"/>
      <c r="AA519" s="6"/>
      <c r="AB519" s="6"/>
      <c r="AC519" s="6"/>
      <c r="AD519" s="6"/>
      <c r="AE519" s="6"/>
    </row>
    <row r="520" spans="22:31" ht="11.25" customHeight="1" x14ac:dyDescent="0.25">
      <c r="V520" s="6"/>
      <c r="W520" s="6"/>
      <c r="X520" s="6"/>
      <c r="Y520" s="6"/>
      <c r="Z520" s="6"/>
      <c r="AA520" s="6"/>
      <c r="AB520" s="6"/>
      <c r="AC520" s="6"/>
      <c r="AD520" s="6"/>
      <c r="AE520" s="6"/>
    </row>
    <row r="521" spans="22:31" ht="11.25" customHeight="1" x14ac:dyDescent="0.25"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 spans="22:31" ht="11.25" customHeight="1" x14ac:dyDescent="0.25"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 spans="22:31" ht="11.25" customHeight="1" x14ac:dyDescent="0.25"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 spans="22:31" ht="11.25" customHeight="1" x14ac:dyDescent="0.25"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 spans="22:31" ht="11.25" customHeight="1" x14ac:dyDescent="0.25">
      <c r="V525" s="6"/>
      <c r="W525" s="6"/>
      <c r="X525" s="6"/>
      <c r="Y525" s="6"/>
      <c r="Z525" s="6"/>
      <c r="AA525" s="6"/>
      <c r="AB525" s="6"/>
      <c r="AC525" s="6"/>
      <c r="AD525" s="6"/>
      <c r="AE525" s="6"/>
    </row>
    <row r="526" spans="22:31" ht="11.25" customHeight="1" x14ac:dyDescent="0.25"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 spans="22:31" ht="11.25" customHeight="1" x14ac:dyDescent="0.25">
      <c r="V527" s="6"/>
      <c r="W527" s="6"/>
      <c r="X527" s="6"/>
      <c r="Y527" s="6"/>
      <c r="Z527" s="6"/>
      <c r="AA527" s="6"/>
      <c r="AB527" s="6"/>
      <c r="AC527" s="6"/>
      <c r="AD527" s="6"/>
      <c r="AE527" s="6"/>
    </row>
    <row r="528" spans="22:31" ht="11.25" customHeight="1" x14ac:dyDescent="0.25"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 spans="22:31" ht="11.25" customHeight="1" x14ac:dyDescent="0.25"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 spans="22:31" ht="11.25" customHeight="1" x14ac:dyDescent="0.25"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 spans="22:31" ht="11.25" customHeight="1" x14ac:dyDescent="0.25"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 spans="22:31" ht="11.25" customHeight="1" x14ac:dyDescent="0.25"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 spans="22:31" ht="11.25" customHeight="1" x14ac:dyDescent="0.25"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 spans="22:31" ht="11.25" customHeight="1" x14ac:dyDescent="0.25"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 spans="22:31" ht="11.25" customHeight="1" x14ac:dyDescent="0.25"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 spans="22:31" ht="11.25" customHeight="1" x14ac:dyDescent="0.25"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 spans="22:31" ht="11.25" customHeight="1" x14ac:dyDescent="0.25"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 spans="22:31" ht="11.25" customHeight="1" x14ac:dyDescent="0.25"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 spans="22:31" ht="11.25" customHeight="1" x14ac:dyDescent="0.25"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 spans="22:31" ht="11.25" customHeight="1" x14ac:dyDescent="0.25"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 spans="22:31" ht="11.25" customHeight="1" x14ac:dyDescent="0.25"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 spans="22:31" ht="11.25" customHeight="1" x14ac:dyDescent="0.25"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 spans="22:31" ht="11.25" customHeight="1" x14ac:dyDescent="0.25"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 spans="22:31" ht="11.25" customHeight="1" x14ac:dyDescent="0.25"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 spans="22:31" ht="11.25" customHeight="1" x14ac:dyDescent="0.25"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 spans="22:31" ht="11.25" customHeight="1" x14ac:dyDescent="0.25"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 spans="22:31" ht="11.25" customHeight="1" x14ac:dyDescent="0.25"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 spans="22:31" ht="11.25" customHeight="1" x14ac:dyDescent="0.25"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 spans="22:31" ht="11.25" customHeight="1" x14ac:dyDescent="0.25"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 spans="22:31" ht="11.25" customHeight="1" x14ac:dyDescent="0.25"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 spans="22:31" ht="11.25" customHeight="1" x14ac:dyDescent="0.25"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 spans="22:31" ht="11.25" customHeight="1" x14ac:dyDescent="0.25"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  <row r="553" spans="22:31" ht="11.25" customHeight="1" x14ac:dyDescent="0.25">
      <c r="V553" s="6"/>
      <c r="W553" s="6"/>
      <c r="X553" s="6"/>
      <c r="Y553" s="6"/>
      <c r="Z553" s="6"/>
      <c r="AA553" s="6"/>
      <c r="AB553" s="6"/>
      <c r="AC553" s="6"/>
      <c r="AD553" s="6"/>
      <c r="AE553" s="6"/>
    </row>
    <row r="554" spans="22:31" ht="11.25" customHeight="1" x14ac:dyDescent="0.25"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2D9A3-A668-46FF-A6FE-A20C85C7F826}">
  <sheetPr codeName="Planilha18"/>
  <dimension ref="A1:J478"/>
  <sheetViews>
    <sheetView showGridLines="0" workbookViewId="0"/>
  </sheetViews>
  <sheetFormatPr defaultRowHeight="11.25" customHeight="1" x14ac:dyDescent="0.2"/>
  <cols>
    <col min="1" max="1" width="34.7109375" style="14" bestFit="1" customWidth="1"/>
    <col min="2" max="2" width="24.5703125" style="48" bestFit="1" customWidth="1"/>
    <col min="3" max="3" width="25.5703125" style="48" bestFit="1" customWidth="1"/>
    <col min="4" max="4" width="26" style="48" bestFit="1" customWidth="1"/>
    <col min="5" max="5" width="26.85546875" style="48" bestFit="1" customWidth="1"/>
    <col min="6" max="6" width="23.7109375" style="48" bestFit="1" customWidth="1"/>
    <col min="7" max="7" width="24.5703125" style="48" bestFit="1" customWidth="1"/>
    <col min="8" max="8" width="18.28515625" style="49" bestFit="1" customWidth="1"/>
    <col min="9" max="9" width="16" style="49" bestFit="1" customWidth="1"/>
    <col min="10" max="10" width="13.85546875" style="49" bestFit="1" customWidth="1"/>
    <col min="11" max="16384" width="9.140625" style="14"/>
  </cols>
  <sheetData>
    <row r="1" spans="1:10" ht="11.25" customHeight="1" x14ac:dyDescent="0.2">
      <c r="A1" s="47" t="s">
        <v>573</v>
      </c>
      <c r="B1" s="48" t="s">
        <v>574</v>
      </c>
      <c r="C1" s="48" t="s">
        <v>575</v>
      </c>
      <c r="D1" s="48" t="s">
        <v>576</v>
      </c>
      <c r="E1" s="48" t="s">
        <v>577</v>
      </c>
      <c r="F1" s="48" t="s">
        <v>578</v>
      </c>
      <c r="G1" s="48" t="s">
        <v>579</v>
      </c>
      <c r="H1" s="49" t="s">
        <v>580</v>
      </c>
      <c r="I1" s="49" t="s">
        <v>581</v>
      </c>
      <c r="J1" s="49" t="s">
        <v>582</v>
      </c>
    </row>
    <row r="2" spans="1:10" ht="11.25" customHeight="1" x14ac:dyDescent="0.2">
      <c r="A2" s="50" t="s">
        <v>26</v>
      </c>
      <c r="B2" s="48">
        <v>4083732.8948999997</v>
      </c>
      <c r="C2" s="48">
        <v>4010850.7539289366</v>
      </c>
      <c r="D2" s="48">
        <v>24367673.458401792</v>
      </c>
      <c r="E2" s="48">
        <v>28496917.364512373</v>
      </c>
      <c r="F2" s="48">
        <v>12145044.292084197</v>
      </c>
      <c r="G2" s="48">
        <v>11996855.0469648</v>
      </c>
      <c r="H2" s="49">
        <v>0.14257157325612391</v>
      </c>
      <c r="I2" s="49">
        <v>-1.2201622452376992E-2</v>
      </c>
      <c r="J2" s="49">
        <v>9.626882296086392E-2</v>
      </c>
    </row>
    <row r="3" spans="1:10" ht="11.25" customHeight="1" x14ac:dyDescent="0.2">
      <c r="A3" s="51" t="s">
        <v>35</v>
      </c>
      <c r="B3" s="48">
        <v>4083732.8948999997</v>
      </c>
      <c r="C3" s="48">
        <v>4010850.7539289366</v>
      </c>
      <c r="D3" s="48">
        <v>3986510.2796272002</v>
      </c>
      <c r="E3" s="48">
        <v>5033104.6964295004</v>
      </c>
      <c r="F3" s="48">
        <v>4502323.1505919993</v>
      </c>
      <c r="G3" s="48">
        <v>4326660.594334797</v>
      </c>
      <c r="H3" s="49">
        <v>0.12065463887193006</v>
      </c>
      <c r="I3" s="49">
        <v>-3.9015981390431831E-2</v>
      </c>
      <c r="J3" s="49">
        <v>6.3475482963217811E-2</v>
      </c>
    </row>
    <row r="4" spans="1:10" ht="11.25" customHeight="1" x14ac:dyDescent="0.2">
      <c r="A4" s="52" t="s">
        <v>48</v>
      </c>
      <c r="B4" s="48">
        <v>507891.54950000002</v>
      </c>
      <c r="C4" s="48">
        <v>500560.67496097391</v>
      </c>
      <c r="D4" s="48">
        <v>176422.74391280001</v>
      </c>
      <c r="E4" s="48">
        <v>266013.50012071728</v>
      </c>
      <c r="F4" s="48">
        <v>376503.50603679998</v>
      </c>
      <c r="G4" s="48">
        <v>361813.85225183622</v>
      </c>
      <c r="H4" s="49">
        <v>0.12020775024096908</v>
      </c>
      <c r="I4" s="49">
        <v>-3.9015981390430832E-2</v>
      </c>
      <c r="J4" s="49">
        <v>6.3696355697449469E-2</v>
      </c>
    </row>
    <row r="5" spans="1:10" ht="11.25" customHeight="1" x14ac:dyDescent="0.2">
      <c r="A5" s="53" t="s">
        <v>46</v>
      </c>
      <c r="B5" s="48">
        <v>507891.54950000002</v>
      </c>
      <c r="C5" s="48">
        <v>500560.67496097391</v>
      </c>
      <c r="D5" s="48">
        <v>176422.74391280001</v>
      </c>
      <c r="E5" s="48">
        <v>266013.50012071728</v>
      </c>
      <c r="F5" s="48">
        <v>376503.50603679998</v>
      </c>
      <c r="G5" s="48">
        <v>361813.85225183622</v>
      </c>
      <c r="H5" s="49">
        <v>0.12020775024096908</v>
      </c>
      <c r="I5" s="49">
        <v>-3.9015981390430832E-2</v>
      </c>
      <c r="J5" s="49">
        <v>6.3696355697449469E-2</v>
      </c>
    </row>
    <row r="6" spans="1:10" ht="11.25" customHeight="1" x14ac:dyDescent="0.2">
      <c r="A6" s="54" t="s">
        <v>47</v>
      </c>
      <c r="B6" s="48">
        <v>507891.54950000002</v>
      </c>
      <c r="C6" s="48">
        <v>500560.67496097391</v>
      </c>
      <c r="D6" s="48">
        <v>176422.74391280001</v>
      </c>
      <c r="E6" s="48">
        <v>266013.50012071728</v>
      </c>
      <c r="F6" s="48">
        <v>376503.50603679998</v>
      </c>
      <c r="G6" s="48">
        <v>361813.85225183622</v>
      </c>
      <c r="H6" s="49">
        <v>0.12020775024096908</v>
      </c>
      <c r="I6" s="49">
        <v>-3.9015981390430832E-2</v>
      </c>
      <c r="J6" s="49">
        <v>6.3696355697449469E-2</v>
      </c>
    </row>
    <row r="7" spans="1:10" ht="11.25" customHeight="1" x14ac:dyDescent="0.2">
      <c r="A7" s="55" t="s">
        <v>25</v>
      </c>
      <c r="B7" s="48">
        <v>507891.54950000002</v>
      </c>
      <c r="C7" s="48">
        <v>500560.67496097391</v>
      </c>
      <c r="D7" s="48">
        <v>176422.74391280001</v>
      </c>
      <c r="E7" s="48">
        <v>266013.50012071728</v>
      </c>
      <c r="F7" s="48">
        <v>376503.50603679998</v>
      </c>
      <c r="G7" s="48">
        <v>361813.85225183622</v>
      </c>
      <c r="H7" s="49">
        <v>0.12020775024096908</v>
      </c>
      <c r="I7" s="49">
        <v>-3.9015981390430832E-2</v>
      </c>
      <c r="J7" s="49">
        <v>6.3696355697449469E-2</v>
      </c>
    </row>
    <row r="8" spans="1:10" ht="11.25" customHeight="1" x14ac:dyDescent="0.2">
      <c r="A8" s="56" t="s">
        <v>25</v>
      </c>
      <c r="B8" s="48">
        <v>507891.54950000002</v>
      </c>
      <c r="C8" s="48">
        <v>500560.67496097391</v>
      </c>
      <c r="D8" s="48">
        <v>176422.74391280001</v>
      </c>
      <c r="E8" s="48">
        <v>266013.50012071728</v>
      </c>
      <c r="F8" s="48">
        <v>376503.50603679998</v>
      </c>
      <c r="G8" s="48">
        <v>361813.85225183622</v>
      </c>
      <c r="H8" s="49">
        <v>0.12020775024096908</v>
      </c>
      <c r="I8" s="49">
        <v>-3.9015981390430832E-2</v>
      </c>
      <c r="J8" s="49">
        <v>6.3696355697449469E-2</v>
      </c>
    </row>
    <row r="9" spans="1:10" ht="11.25" customHeight="1" x14ac:dyDescent="0.2">
      <c r="A9" s="57" t="s">
        <v>38</v>
      </c>
      <c r="B9" s="48">
        <v>126721.91000000002</v>
      </c>
      <c r="C9" s="48">
        <v>124398.88140817708</v>
      </c>
      <c r="D9" s="48">
        <v>160141.408658</v>
      </c>
      <c r="E9" s="48">
        <v>241464.19949364575</v>
      </c>
      <c r="F9" s="48">
        <v>341757.53354799998</v>
      </c>
      <c r="G9" s="48">
        <v>328423.52797905158</v>
      </c>
      <c r="H9" s="49">
        <v>0.27539164858511156</v>
      </c>
      <c r="I9" s="49">
        <v>-3.9015981390431054E-2</v>
      </c>
      <c r="J9" s="49">
        <v>0.10446003571856655</v>
      </c>
    </row>
    <row r="10" spans="1:10" ht="11.25" customHeight="1" x14ac:dyDescent="0.2">
      <c r="A10" s="58">
        <v>44440</v>
      </c>
      <c r="B10" s="48">
        <v>10840.066999999999</v>
      </c>
      <c r="C10" s="48">
        <v>10641.350096362135</v>
      </c>
      <c r="D10" s="48">
        <v>15300.7614144</v>
      </c>
      <c r="E10" s="48">
        <v>23070.773121907296</v>
      </c>
      <c r="F10" s="48">
        <v>32653.331366399998</v>
      </c>
      <c r="G10" s="48">
        <v>31379.329597472959</v>
      </c>
      <c r="H10" s="49">
        <v>0.28963484568448838</v>
      </c>
      <c r="I10" s="49">
        <v>-3.9015981390430943E-2</v>
      </c>
      <c r="J10" s="49">
        <v>0.10710745860507842</v>
      </c>
    </row>
    <row r="11" spans="1:10" ht="11.25" customHeight="1" x14ac:dyDescent="0.2">
      <c r="A11" s="58">
        <v>44470</v>
      </c>
      <c r="B11" s="48">
        <v>10970.933000000001</v>
      </c>
      <c r="C11" s="48">
        <v>10769.817099537533</v>
      </c>
      <c r="D11" s="48">
        <v>14467.525749599999</v>
      </c>
      <c r="E11" s="48">
        <v>21814.404862900872</v>
      </c>
      <c r="F11" s="48">
        <v>30875.124417599996</v>
      </c>
      <c r="G11" s="48">
        <v>29670.501137895673</v>
      </c>
      <c r="H11" s="49">
        <v>0.28090393695533011</v>
      </c>
      <c r="I11" s="49">
        <v>-3.9015981390430943E-2</v>
      </c>
      <c r="J11" s="49">
        <v>0.10550101057313843</v>
      </c>
    </row>
    <row r="12" spans="1:10" ht="11.25" customHeight="1" x14ac:dyDescent="0.2">
      <c r="A12" s="58">
        <v>44501</v>
      </c>
      <c r="B12" s="48">
        <v>10578.335000000001</v>
      </c>
      <c r="C12" s="48">
        <v>10384.416090011338</v>
      </c>
      <c r="D12" s="48">
        <v>12416.244702399999</v>
      </c>
      <c r="E12" s="48">
        <v>18721.445083482249</v>
      </c>
      <c r="F12" s="48">
        <v>26497.488694399999</v>
      </c>
      <c r="G12" s="48">
        <v>25463.663168606134</v>
      </c>
      <c r="H12" s="49">
        <v>0.26577052288786729</v>
      </c>
      <c r="I12" s="49">
        <v>-3.9015981390430943E-2</v>
      </c>
      <c r="J12" s="49">
        <v>0.10259130623904222</v>
      </c>
    </row>
    <row r="13" spans="1:10" ht="11.25" customHeight="1" x14ac:dyDescent="0.2">
      <c r="A13" s="58">
        <v>44531</v>
      </c>
      <c r="B13" s="48">
        <v>10316.603000000001</v>
      </c>
      <c r="C13" s="48">
        <v>10127.482083660543</v>
      </c>
      <c r="D13" s="48">
        <v>13055.5815852</v>
      </c>
      <c r="E13" s="48">
        <v>19685.449146552248</v>
      </c>
      <c r="F13" s="48">
        <v>27861.8965512</v>
      </c>
      <c r="G13" s="48">
        <v>26774.837313856267</v>
      </c>
      <c r="H13" s="49">
        <v>0.27557315498403478</v>
      </c>
      <c r="I13" s="49">
        <v>-3.9015981390430943E-2</v>
      </c>
      <c r="J13" s="49">
        <v>0.10449465060993268</v>
      </c>
    </row>
    <row r="14" spans="1:10" ht="11.25" customHeight="1" x14ac:dyDescent="0.2">
      <c r="A14" s="58">
        <v>44562</v>
      </c>
      <c r="B14" s="48">
        <v>10382.036</v>
      </c>
      <c r="C14" s="48">
        <v>10191.715585248241</v>
      </c>
      <c r="D14" s="48">
        <v>11624.278666</v>
      </c>
      <c r="E14" s="48">
        <v>17527.303939052345</v>
      </c>
      <c r="F14" s="48">
        <v>24807.355196</v>
      </c>
      <c r="G14" s="48">
        <v>23839.47188732705</v>
      </c>
      <c r="H14" s="49">
        <v>0.25959389134459587</v>
      </c>
      <c r="I14" s="49">
        <v>-3.9015981390431054E-2</v>
      </c>
      <c r="J14" s="49">
        <v>0.10135547081898721</v>
      </c>
    </row>
    <row r="15" spans="1:10" ht="11.25" customHeight="1" x14ac:dyDescent="0.2">
      <c r="A15" s="58">
        <v>44593</v>
      </c>
      <c r="B15" s="48">
        <v>10316.603000000001</v>
      </c>
      <c r="C15" s="48">
        <v>10127.482083660543</v>
      </c>
      <c r="D15" s="48">
        <v>10895.928859199999</v>
      </c>
      <c r="E15" s="48">
        <v>16429.084530817308</v>
      </c>
      <c r="F15" s="48">
        <v>23252.984995199997</v>
      </c>
      <c r="G15" s="48">
        <v>22345.746965355305</v>
      </c>
      <c r="H15" s="49">
        <v>0.25192818993740773</v>
      </c>
      <c r="I15" s="49">
        <v>-3.9015981390430832E-2</v>
      </c>
      <c r="J15" s="49">
        <v>9.9780617415540673E-2</v>
      </c>
    </row>
    <row r="16" spans="1:10" ht="11.25" customHeight="1" x14ac:dyDescent="0.2">
      <c r="A16" s="58">
        <v>44621</v>
      </c>
      <c r="B16" s="48">
        <v>10382.036</v>
      </c>
      <c r="C16" s="48">
        <v>10191.715585248241</v>
      </c>
      <c r="D16" s="48">
        <v>11873.016878799999</v>
      </c>
      <c r="E16" s="48">
        <v>17902.3560504366</v>
      </c>
      <c r="F16" s="48">
        <v>25338.187032799997</v>
      </c>
      <c r="G16" s="48">
        <v>24349.592799061014</v>
      </c>
      <c r="H16" s="49">
        <v>0.2623682266083065</v>
      </c>
      <c r="I16" s="49">
        <v>-3.9015981390430943E-2</v>
      </c>
      <c r="J16" s="49">
        <v>0.10191414856721392</v>
      </c>
    </row>
    <row r="17" spans="1:10" ht="11.25" customHeight="1" x14ac:dyDescent="0.2">
      <c r="A17" s="58">
        <v>44652</v>
      </c>
      <c r="B17" s="48">
        <v>10512.902</v>
      </c>
      <c r="C17" s="48">
        <v>10320.18258842364</v>
      </c>
      <c r="D17" s="48">
        <v>12120.634649200001</v>
      </c>
      <c r="E17" s="48">
        <v>18275.718737895706</v>
      </c>
      <c r="F17" s="48">
        <v>25866.6277352</v>
      </c>
      <c r="G17" s="48">
        <v>24857.415868850232</v>
      </c>
      <c r="H17" s="49">
        <v>0.26343053538343453</v>
      </c>
      <c r="I17" s="49">
        <v>-3.9015981390430943E-2</v>
      </c>
      <c r="J17" s="49">
        <v>0.10212651593326871</v>
      </c>
    </row>
    <row r="18" spans="1:10" ht="11.25" customHeight="1" x14ac:dyDescent="0.2">
      <c r="A18" s="58">
        <v>44682</v>
      </c>
      <c r="B18" s="48">
        <v>10578.335000000001</v>
      </c>
      <c r="C18" s="48">
        <v>10384.416090011338</v>
      </c>
      <c r="D18" s="48">
        <v>15086.321188400001</v>
      </c>
      <c r="E18" s="48">
        <v>22747.436154009709</v>
      </c>
      <c r="F18" s="48">
        <v>32195.6948104</v>
      </c>
      <c r="G18" s="48">
        <v>30939.548180825437</v>
      </c>
      <c r="H18" s="49">
        <v>0.29095250685633944</v>
      </c>
      <c r="I18" s="49">
        <v>-3.9015981390431054E-2</v>
      </c>
      <c r="J18" s="49">
        <v>0.10734551932074021</v>
      </c>
    </row>
    <row r="19" spans="1:10" ht="11.25" customHeight="1" x14ac:dyDescent="0.2">
      <c r="A19" s="58">
        <v>44713</v>
      </c>
      <c r="B19" s="48">
        <v>10621.957</v>
      </c>
      <c r="C19" s="48">
        <v>10427.238424403138</v>
      </c>
      <c r="D19" s="48">
        <v>15540.785075199999</v>
      </c>
      <c r="E19" s="48">
        <v>23432.685269429243</v>
      </c>
      <c r="F19" s="48">
        <v>33165.565491199995</v>
      </c>
      <c r="G19" s="48">
        <v>31871.57840519222</v>
      </c>
      <c r="H19" s="49">
        <v>0.29420393307812476</v>
      </c>
      <c r="I19" s="49">
        <v>-3.9015981390430832E-2</v>
      </c>
      <c r="J19" s="49">
        <v>0.1079281509161234</v>
      </c>
    </row>
    <row r="20" spans="1:10" ht="11.25" customHeight="1" x14ac:dyDescent="0.2">
      <c r="A20" s="58">
        <v>44743</v>
      </c>
      <c r="B20" s="48">
        <v>10534.713</v>
      </c>
      <c r="C20" s="48">
        <v>10341.59375561954</v>
      </c>
      <c r="D20" s="48">
        <v>15041.6902328</v>
      </c>
      <c r="E20" s="48">
        <v>22680.140767657729</v>
      </c>
      <c r="F20" s="48">
        <v>32100.447956799999</v>
      </c>
      <c r="G20" s="48">
        <v>30848.017476692992</v>
      </c>
      <c r="H20" s="49">
        <v>0.29110157603900855</v>
      </c>
      <c r="I20" s="49">
        <v>-3.9015981390430943E-2</v>
      </c>
      <c r="J20" s="49">
        <v>0.10737238047223596</v>
      </c>
    </row>
    <row r="21" spans="1:10" ht="11.25" customHeight="1" x14ac:dyDescent="0.2">
      <c r="A21" s="58">
        <v>44774</v>
      </c>
      <c r="B21" s="48">
        <v>10687.39</v>
      </c>
      <c r="C21" s="48">
        <v>10491.471925990838</v>
      </c>
      <c r="D21" s="48">
        <v>12718.6396568</v>
      </c>
      <c r="E21" s="48">
        <v>19177.401829504452</v>
      </c>
      <c r="F21" s="48">
        <v>27142.8293008</v>
      </c>
      <c r="G21" s="48">
        <v>26083.82517791634</v>
      </c>
      <c r="H21" s="49">
        <v>0.26757396237322939</v>
      </c>
      <c r="I21" s="49">
        <v>-3.9015981390431054E-2</v>
      </c>
      <c r="J21" s="49">
        <v>0.10294673476559724</v>
      </c>
    </row>
    <row r="22" spans="1:10" ht="11.25" customHeight="1" x14ac:dyDescent="0.2">
      <c r="A22" s="57" t="s">
        <v>37</v>
      </c>
      <c r="B22" s="48">
        <v>381169.63949999999</v>
      </c>
      <c r="C22" s="48">
        <v>376161.79355279676</v>
      </c>
      <c r="D22" s="48">
        <v>16281.3352548</v>
      </c>
      <c r="E22" s="48">
        <v>24549.300627071516</v>
      </c>
      <c r="F22" s="48">
        <v>34745.972488800006</v>
      </c>
      <c r="G22" s="48">
        <v>33390.32427278455</v>
      </c>
      <c r="H22" s="49">
        <v>8.2025699574133082E-3</v>
      </c>
      <c r="I22" s="49">
        <v>-3.9015981390431165E-2</v>
      </c>
      <c r="J22" s="49">
        <v>4.4064892665229838E-3</v>
      </c>
    </row>
    <row r="23" spans="1:10" ht="11.25" customHeight="1" x14ac:dyDescent="0.2">
      <c r="A23" s="58">
        <v>44440</v>
      </c>
      <c r="B23" s="48">
        <v>32272.493999999999</v>
      </c>
      <c r="C23" s="48">
        <v>31848.494652895541</v>
      </c>
      <c r="D23" s="48">
        <v>1536.6245048000001</v>
      </c>
      <c r="E23" s="48">
        <v>2316.9510564644097</v>
      </c>
      <c r="F23" s="48">
        <v>3279.3079887999997</v>
      </c>
      <c r="G23" s="48">
        <v>3151.3625693354875</v>
      </c>
      <c r="H23" s="49">
        <v>1.0539381691047733E-2</v>
      </c>
      <c r="I23" s="49">
        <v>-3.9015981390430943E-2</v>
      </c>
      <c r="J23" s="49">
        <v>6.1577642053605164E-3</v>
      </c>
    </row>
    <row r="24" spans="1:10" ht="11.25" customHeight="1" x14ac:dyDescent="0.2">
      <c r="A24" s="58">
        <v>44470</v>
      </c>
      <c r="B24" s="48">
        <v>32994.033500000005</v>
      </c>
      <c r="C24" s="48">
        <v>32560.554492696054</v>
      </c>
      <c r="D24" s="48">
        <v>1394.6395540000001</v>
      </c>
      <c r="E24" s="48">
        <v>2102.8635023934658</v>
      </c>
      <c r="F24" s="48">
        <v>2976.2981239999999</v>
      </c>
      <c r="G24" s="48">
        <v>2860.1749317816411</v>
      </c>
      <c r="H24" s="49">
        <v>7.9894022272417597E-3</v>
      </c>
      <c r="I24" s="49">
        <v>-3.9015981390431054E-2</v>
      </c>
      <c r="J24" s="49">
        <v>4.2451992834549035E-3</v>
      </c>
    </row>
    <row r="25" spans="1:10" ht="11.25" customHeight="1" x14ac:dyDescent="0.2">
      <c r="A25" s="58">
        <v>44501</v>
      </c>
      <c r="B25" s="48">
        <v>31813.3325</v>
      </c>
      <c r="C25" s="48">
        <v>31395.365663931581</v>
      </c>
      <c r="D25" s="48">
        <v>1157.7282332</v>
      </c>
      <c r="E25" s="48">
        <v>1745.644199108059</v>
      </c>
      <c r="F25" s="48">
        <v>2470.7060391999999</v>
      </c>
      <c r="G25" s="48">
        <v>2374.3090183533473</v>
      </c>
      <c r="H25" s="49">
        <v>5.1544938518921501E-3</v>
      </c>
      <c r="I25" s="49">
        <v>-3.9015981390430943E-2</v>
      </c>
      <c r="J25" s="49">
        <v>2.0752946506681358E-3</v>
      </c>
    </row>
    <row r="26" spans="1:10" ht="11.25" customHeight="1" x14ac:dyDescent="0.2">
      <c r="A26" s="58">
        <v>44531</v>
      </c>
      <c r="B26" s="48">
        <v>31026.198500000002</v>
      </c>
      <c r="C26" s="48">
        <v>30618.573111421934</v>
      </c>
      <c r="D26" s="48">
        <v>1339.4266424</v>
      </c>
      <c r="E26" s="48">
        <v>2019.6124456372504</v>
      </c>
      <c r="F26" s="48">
        <v>2858.4683344</v>
      </c>
      <c r="G26" s="48">
        <v>2746.942387059913</v>
      </c>
      <c r="H26" s="49">
        <v>8.4212930681852871E-3</v>
      </c>
      <c r="I26" s="49">
        <v>-3.9015981390431054E-2</v>
      </c>
      <c r="J26" s="49">
        <v>4.571713603507277E-3</v>
      </c>
    </row>
    <row r="27" spans="1:10" ht="11.25" customHeight="1" x14ac:dyDescent="0.2">
      <c r="A27" s="58">
        <v>44562</v>
      </c>
      <c r="B27" s="48">
        <v>31026.198500000002</v>
      </c>
      <c r="C27" s="48">
        <v>30618.573111421934</v>
      </c>
      <c r="D27" s="48">
        <v>1108.9267419999999</v>
      </c>
      <c r="E27" s="48">
        <v>1672.0604014791156</v>
      </c>
      <c r="F27" s="48">
        <v>2366.5588519999997</v>
      </c>
      <c r="G27" s="48">
        <v>2274.225235871008</v>
      </c>
      <c r="H27" s="49">
        <v>4.8391991545064794E-3</v>
      </c>
      <c r="I27" s="49">
        <v>-3.9015981390430943E-2</v>
      </c>
      <c r="J27" s="49">
        <v>1.8310600317346104E-3</v>
      </c>
    </row>
    <row r="28" spans="1:10" ht="11.25" customHeight="1" x14ac:dyDescent="0.2">
      <c r="A28" s="58">
        <v>44593</v>
      </c>
      <c r="B28" s="48">
        <v>31026.198500000002</v>
      </c>
      <c r="C28" s="48">
        <v>30618.573111421934</v>
      </c>
      <c r="D28" s="48">
        <v>1111.8523415999998</v>
      </c>
      <c r="E28" s="48">
        <v>1676.4716750614632</v>
      </c>
      <c r="F28" s="48">
        <v>2372.8023695999996</v>
      </c>
      <c r="G28" s="48">
        <v>2280.2251565045158</v>
      </c>
      <c r="H28" s="49">
        <v>4.8849865120066394E-3</v>
      </c>
      <c r="I28" s="49">
        <v>-3.9015981390430832E-2</v>
      </c>
      <c r="J28" s="49">
        <v>1.866564451295627E-3</v>
      </c>
    </row>
    <row r="29" spans="1:10" ht="11.25" customHeight="1" x14ac:dyDescent="0.2">
      <c r="A29" s="58">
        <v>44621</v>
      </c>
      <c r="B29" s="48">
        <v>31026.198500000002</v>
      </c>
      <c r="C29" s="48">
        <v>30618.573111421934</v>
      </c>
      <c r="D29" s="48">
        <v>1169.7418656</v>
      </c>
      <c r="E29" s="48">
        <v>1763.7585778611028</v>
      </c>
      <c r="F29" s="48">
        <v>2496.3443136000001</v>
      </c>
      <c r="G29" s="48">
        <v>2398.9469903164741</v>
      </c>
      <c r="H29" s="49">
        <v>5.7892803119421465E-3</v>
      </c>
      <c r="I29" s="49">
        <v>-3.9015981390431054E-2</v>
      </c>
      <c r="J29" s="49">
        <v>2.5652389637187412E-3</v>
      </c>
    </row>
    <row r="30" spans="1:10" ht="11.25" customHeight="1" x14ac:dyDescent="0.2">
      <c r="A30" s="58">
        <v>44652</v>
      </c>
      <c r="B30" s="48">
        <v>31550.9545</v>
      </c>
      <c r="C30" s="48">
        <v>31136.434813095031</v>
      </c>
      <c r="D30" s="48">
        <v>1106.5613636</v>
      </c>
      <c r="E30" s="48">
        <v>1668.4938398593456</v>
      </c>
      <c r="F30" s="48">
        <v>2361.5109016000001</v>
      </c>
      <c r="G30" s="48">
        <v>2269.3742362098747</v>
      </c>
      <c r="H30" s="49">
        <v>4.5139008726220453E-3</v>
      </c>
      <c r="I30" s="49">
        <v>-3.9015981390430943E-2</v>
      </c>
      <c r="J30" s="49">
        <v>1.5784597423242896E-3</v>
      </c>
    </row>
    <row r="31" spans="1:10" ht="11.25" customHeight="1" x14ac:dyDescent="0.2">
      <c r="A31" s="58">
        <v>44682</v>
      </c>
      <c r="B31" s="48">
        <v>31813.3325</v>
      </c>
      <c r="C31" s="48">
        <v>31395.365663931581</v>
      </c>
      <c r="D31" s="48">
        <v>1644.1247284000001</v>
      </c>
      <c r="E31" s="48">
        <v>2479.0418963944926</v>
      </c>
      <c r="F31" s="48">
        <v>3508.7240504000001</v>
      </c>
      <c r="G31" s="48">
        <v>3371.8277381454359</v>
      </c>
      <c r="H31" s="49">
        <v>1.2462104608838676E-2</v>
      </c>
      <c r="I31" s="49">
        <v>-3.9015981390431054E-2</v>
      </c>
      <c r="J31" s="49">
        <v>7.5759521266027807E-3</v>
      </c>
    </row>
    <row r="32" spans="1:10" ht="11.25" customHeight="1" x14ac:dyDescent="0.2">
      <c r="A32" s="58">
        <v>44713</v>
      </c>
      <c r="B32" s="48">
        <v>31682.143500000002</v>
      </c>
      <c r="C32" s="48">
        <v>31265.90023851331</v>
      </c>
      <c r="D32" s="48">
        <v>1694.1089088000001</v>
      </c>
      <c r="E32" s="48">
        <v>2554.4089748333213</v>
      </c>
      <c r="F32" s="48">
        <v>3615.3952128000001</v>
      </c>
      <c r="G32" s="48">
        <v>3474.3370204583421</v>
      </c>
      <c r="H32" s="49">
        <v>1.3304573536529141E-2</v>
      </c>
      <c r="I32" s="49">
        <v>-3.9015981390430943E-2</v>
      </c>
      <c r="J32" s="49">
        <v>8.1910007173633392E-3</v>
      </c>
    </row>
    <row r="33" spans="1:10" ht="11.25" customHeight="1" x14ac:dyDescent="0.2">
      <c r="A33" s="58">
        <v>44743</v>
      </c>
      <c r="B33" s="48">
        <v>31485.360000000001</v>
      </c>
      <c r="C33" s="48">
        <v>31071.702100385897</v>
      </c>
      <c r="D33" s="48">
        <v>1569.7398024000001</v>
      </c>
      <c r="E33" s="48">
        <v>2366.8829191411924</v>
      </c>
      <c r="F33" s="48">
        <v>3349.9792944000001</v>
      </c>
      <c r="G33" s="48">
        <v>3219.2765645913605</v>
      </c>
      <c r="H33" s="49">
        <v>1.1601393413407379E-2</v>
      </c>
      <c r="I33" s="49">
        <v>-3.9015981390430943E-2</v>
      </c>
      <c r="J33" s="49">
        <v>6.9436049471642836E-3</v>
      </c>
    </row>
    <row r="34" spans="1:10" ht="11.25" customHeight="1" x14ac:dyDescent="0.2">
      <c r="A34" s="58">
        <v>44774</v>
      </c>
      <c r="B34" s="48">
        <v>33453.195</v>
      </c>
      <c r="C34" s="48">
        <v>33013.683481660017</v>
      </c>
      <c r="D34" s="48">
        <v>1447.8605680000001</v>
      </c>
      <c r="E34" s="48">
        <v>2183.1111388382956</v>
      </c>
      <c r="F34" s="48">
        <v>3089.8770079999999</v>
      </c>
      <c r="G34" s="48">
        <v>2969.3224241571511</v>
      </c>
      <c r="H34" s="49">
        <v>8.4736420628339637E-3</v>
      </c>
      <c r="I34" s="49">
        <v>-3.9015981390431054E-2</v>
      </c>
      <c r="J34" s="49">
        <v>4.6112179085102678E-3</v>
      </c>
    </row>
    <row r="35" spans="1:10" ht="11.25" customHeight="1" x14ac:dyDescent="0.2">
      <c r="A35" s="52" t="s">
        <v>36</v>
      </c>
      <c r="B35" s="48">
        <v>3575841.3454</v>
      </c>
      <c r="C35" s="48">
        <v>3510290.0789679619</v>
      </c>
      <c r="D35" s="48">
        <v>3810087.5357144</v>
      </c>
      <c r="E35" s="48">
        <v>4767091.1963087823</v>
      </c>
      <c r="F35" s="48">
        <v>4125819.6445552008</v>
      </c>
      <c r="G35" s="48">
        <v>3964846.7420829618</v>
      </c>
      <c r="H35" s="49">
        <v>0.12069604358657782</v>
      </c>
      <c r="I35" s="49">
        <v>-3.9015981390430166E-2</v>
      </c>
      <c r="J35" s="49">
        <v>6.3455129345576067E-2</v>
      </c>
    </row>
    <row r="36" spans="1:10" ht="11.25" customHeight="1" x14ac:dyDescent="0.2">
      <c r="A36" s="53" t="s">
        <v>39</v>
      </c>
      <c r="B36" s="48">
        <v>98611.38</v>
      </c>
      <c r="C36" s="48">
        <v>96803.665333932266</v>
      </c>
      <c r="D36" s="48">
        <v>72606.329180000001</v>
      </c>
      <c r="E36" s="48">
        <v>85795.090246460299</v>
      </c>
      <c r="F36" s="48">
        <v>57945.015640000012</v>
      </c>
      <c r="G36" s="48">
        <v>55684.233988121516</v>
      </c>
      <c r="H36" s="49">
        <v>6.6471198889991756E-2</v>
      </c>
      <c r="I36" s="49">
        <v>-3.9015981390431387E-2</v>
      </c>
      <c r="J36" s="49">
        <v>3.9798203462966031E-2</v>
      </c>
    </row>
    <row r="37" spans="1:10" ht="11.25" customHeight="1" x14ac:dyDescent="0.2">
      <c r="A37" s="54" t="s">
        <v>25</v>
      </c>
      <c r="B37" s="48">
        <v>98611.38</v>
      </c>
      <c r="C37" s="48">
        <v>96803.665333932266</v>
      </c>
      <c r="D37" s="48">
        <v>72606.329180000001</v>
      </c>
      <c r="E37" s="48">
        <v>85795.090246460299</v>
      </c>
      <c r="F37" s="48">
        <v>57945.015640000012</v>
      </c>
      <c r="G37" s="48">
        <v>55684.233988121516</v>
      </c>
      <c r="H37" s="49">
        <v>6.6471198889991756E-2</v>
      </c>
      <c r="I37" s="49">
        <v>-3.9015981390431387E-2</v>
      </c>
      <c r="J37" s="49">
        <v>3.9798203462966031E-2</v>
      </c>
    </row>
    <row r="38" spans="1:10" ht="11.25" customHeight="1" x14ac:dyDescent="0.2">
      <c r="A38" s="55" t="s">
        <v>25</v>
      </c>
      <c r="B38" s="48">
        <v>98611.38</v>
      </c>
      <c r="C38" s="48">
        <v>96803.665333932266</v>
      </c>
      <c r="D38" s="48">
        <v>72606.329180000001</v>
      </c>
      <c r="E38" s="48">
        <v>85795.090246460299</v>
      </c>
      <c r="F38" s="48">
        <v>57945.015640000012</v>
      </c>
      <c r="G38" s="48">
        <v>55684.233988121516</v>
      </c>
      <c r="H38" s="49">
        <v>6.6471198889991756E-2</v>
      </c>
      <c r="I38" s="49">
        <v>-3.9015981390431387E-2</v>
      </c>
      <c r="J38" s="49">
        <v>3.9798203462966031E-2</v>
      </c>
    </row>
    <row r="39" spans="1:10" ht="11.25" customHeight="1" x14ac:dyDescent="0.2">
      <c r="A39" s="56" t="s">
        <v>25</v>
      </c>
      <c r="B39" s="48">
        <v>98611.38</v>
      </c>
      <c r="C39" s="48">
        <v>96803.665333932266</v>
      </c>
      <c r="D39" s="48">
        <v>72606.329180000001</v>
      </c>
      <c r="E39" s="48">
        <v>85795.090246460299</v>
      </c>
      <c r="F39" s="48">
        <v>57945.015640000012</v>
      </c>
      <c r="G39" s="48">
        <v>55684.233988121516</v>
      </c>
      <c r="H39" s="49">
        <v>6.6471198889991756E-2</v>
      </c>
      <c r="I39" s="49">
        <v>-3.9015981390431387E-2</v>
      </c>
      <c r="J39" s="49">
        <v>3.9798203462966031E-2</v>
      </c>
    </row>
    <row r="40" spans="1:10" ht="11.25" customHeight="1" x14ac:dyDescent="0.2">
      <c r="A40" s="57" t="s">
        <v>38</v>
      </c>
      <c r="B40" s="48">
        <v>0</v>
      </c>
      <c r="C40" s="48">
        <v>0</v>
      </c>
      <c r="D40" s="48">
        <v>25530.525019999997</v>
      </c>
      <c r="E40" s="48">
        <v>38495.401272335635</v>
      </c>
      <c r="F40" s="48">
        <v>54484.654120000007</v>
      </c>
      <c r="G40" s="48">
        <v>52358.881868790006</v>
      </c>
      <c r="H40" s="49">
        <v>0.50781863052872067</v>
      </c>
      <c r="I40" s="49">
        <v>-3.9015981390431165E-2</v>
      </c>
      <c r="J40" s="49">
        <v>0.135463097347577</v>
      </c>
    </row>
    <row r="41" spans="1:10" ht="11.25" customHeight="1" x14ac:dyDescent="0.2">
      <c r="A41" s="58">
        <v>44440</v>
      </c>
      <c r="B41" s="48">
        <v>0</v>
      </c>
      <c r="C41" s="48">
        <v>0</v>
      </c>
      <c r="D41" s="48">
        <v>1959.71468</v>
      </c>
      <c r="E41" s="48">
        <v>2954.8943050246298</v>
      </c>
      <c r="F41" s="48">
        <v>4182.22408</v>
      </c>
      <c r="G41" s="48">
        <v>4019.0505031241078</v>
      </c>
      <c r="H41" s="49">
        <v>0.50781863052872045</v>
      </c>
      <c r="I41" s="49">
        <v>-3.9015981390430943E-2</v>
      </c>
      <c r="J41" s="49">
        <v>0.13546309734757722</v>
      </c>
    </row>
    <row r="42" spans="1:10" ht="11.25" customHeight="1" x14ac:dyDescent="0.2">
      <c r="A42" s="58">
        <v>44470</v>
      </c>
      <c r="B42" s="48">
        <v>0</v>
      </c>
      <c r="C42" s="48">
        <v>0</v>
      </c>
      <c r="D42" s="48">
        <v>2393.9192200000002</v>
      </c>
      <c r="E42" s="48">
        <v>3609.5959998967833</v>
      </c>
      <c r="F42" s="48">
        <v>5108.8593200000005</v>
      </c>
      <c r="G42" s="48">
        <v>4909.5321598445507</v>
      </c>
      <c r="H42" s="49">
        <v>0.50781863052872067</v>
      </c>
      <c r="I42" s="49">
        <v>-3.9015981390430943E-2</v>
      </c>
      <c r="J42" s="49">
        <v>0.13546309734757722</v>
      </c>
    </row>
    <row r="43" spans="1:10" ht="11.25" customHeight="1" x14ac:dyDescent="0.2">
      <c r="A43" s="58">
        <v>44501</v>
      </c>
      <c r="B43" s="48">
        <v>0</v>
      </c>
      <c r="C43" s="48">
        <v>0</v>
      </c>
      <c r="D43" s="48">
        <v>1995.5397</v>
      </c>
      <c r="E43" s="48">
        <v>3008.9119376196941</v>
      </c>
      <c r="F43" s="48">
        <v>4258.6782000000003</v>
      </c>
      <c r="G43" s="48">
        <v>4092.5216906009659</v>
      </c>
      <c r="H43" s="49">
        <v>0.50781863052872067</v>
      </c>
      <c r="I43" s="49">
        <v>-3.9015981390431054E-2</v>
      </c>
      <c r="J43" s="49">
        <v>0.13546309734757722</v>
      </c>
    </row>
    <row r="44" spans="1:10" ht="11.25" customHeight="1" x14ac:dyDescent="0.2">
      <c r="A44" s="58">
        <v>44531</v>
      </c>
      <c r="B44" s="48">
        <v>0</v>
      </c>
      <c r="C44" s="48">
        <v>0</v>
      </c>
      <c r="D44" s="48">
        <v>1945.94092</v>
      </c>
      <c r="E44" s="48">
        <v>2934.1259730841984</v>
      </c>
      <c r="F44" s="48">
        <v>4152.8295199999993</v>
      </c>
      <c r="G44" s="48">
        <v>3990.8028007300472</v>
      </c>
      <c r="H44" s="49">
        <v>0.50781863052872045</v>
      </c>
      <c r="I44" s="49">
        <v>-3.9015981390430943E-2</v>
      </c>
      <c r="J44" s="49">
        <v>0.13546309734757722</v>
      </c>
    </row>
    <row r="45" spans="1:10" ht="11.25" customHeight="1" x14ac:dyDescent="0.2">
      <c r="A45" s="58">
        <v>44562</v>
      </c>
      <c r="B45" s="48">
        <v>0</v>
      </c>
      <c r="C45" s="48">
        <v>0</v>
      </c>
      <c r="D45" s="48">
        <v>1654.6391399999998</v>
      </c>
      <c r="E45" s="48">
        <v>2494.8957220940197</v>
      </c>
      <c r="F45" s="48">
        <v>3531.1628399999995</v>
      </c>
      <c r="G45" s="48">
        <v>3393.3910563479781</v>
      </c>
      <c r="H45" s="49">
        <v>0.50781863052872067</v>
      </c>
      <c r="I45" s="49">
        <v>-3.9015981390430943E-2</v>
      </c>
      <c r="J45" s="49">
        <v>0.13546309734757722</v>
      </c>
    </row>
    <row r="46" spans="1:10" ht="11.25" customHeight="1" x14ac:dyDescent="0.2">
      <c r="A46" s="58">
        <v>44593</v>
      </c>
      <c r="B46" s="48">
        <v>0</v>
      </c>
      <c r="C46" s="48">
        <v>0</v>
      </c>
      <c r="D46" s="48">
        <v>1824.49344</v>
      </c>
      <c r="E46" s="48">
        <v>2751.0052001094346</v>
      </c>
      <c r="F46" s="48">
        <v>3893.6486399999999</v>
      </c>
      <c r="G46" s="48">
        <v>3741.7341171208827</v>
      </c>
      <c r="H46" s="49">
        <v>0.50781863052872067</v>
      </c>
      <c r="I46" s="49">
        <v>-3.9015981390431054E-2</v>
      </c>
      <c r="J46" s="49">
        <v>0.13546309734757722</v>
      </c>
    </row>
    <row r="47" spans="1:10" ht="11.25" customHeight="1" x14ac:dyDescent="0.2">
      <c r="A47" s="58">
        <v>44621</v>
      </c>
      <c r="B47" s="48">
        <v>0</v>
      </c>
      <c r="C47" s="48">
        <v>0</v>
      </c>
      <c r="D47" s="48">
        <v>2145.8591000000001</v>
      </c>
      <c r="E47" s="48">
        <v>3235.5663294695928</v>
      </c>
      <c r="F47" s="48">
        <v>4579.4745999999996</v>
      </c>
      <c r="G47" s="48">
        <v>4400.8019042284486</v>
      </c>
      <c r="H47" s="49">
        <v>0.50781863052872045</v>
      </c>
      <c r="I47" s="49">
        <v>-3.9015981390430943E-2</v>
      </c>
      <c r="J47" s="49">
        <v>0.13546309734757744</v>
      </c>
    </row>
    <row r="48" spans="1:10" ht="11.25" customHeight="1" x14ac:dyDescent="0.2">
      <c r="A48" s="58">
        <v>44652</v>
      </c>
      <c r="B48" s="48">
        <v>0</v>
      </c>
      <c r="C48" s="48">
        <v>0</v>
      </c>
      <c r="D48" s="48">
        <v>2060.0379800000001</v>
      </c>
      <c r="E48" s="48">
        <v>3106.163645840752</v>
      </c>
      <c r="F48" s="48">
        <v>4396.3238799999999</v>
      </c>
      <c r="G48" s="48">
        <v>4224.7969893116124</v>
      </c>
      <c r="H48" s="49">
        <v>0.50781863052872067</v>
      </c>
      <c r="I48" s="49">
        <v>-3.9015981390431054E-2</v>
      </c>
      <c r="J48" s="49">
        <v>0.13546309734757722</v>
      </c>
    </row>
    <row r="49" spans="1:10" ht="11.25" customHeight="1" x14ac:dyDescent="0.2">
      <c r="A49" s="58">
        <v>44682</v>
      </c>
      <c r="B49" s="48">
        <v>0</v>
      </c>
      <c r="C49" s="48">
        <v>0</v>
      </c>
      <c r="D49" s="48">
        <v>2289.9538200000002</v>
      </c>
      <c r="E49" s="48">
        <v>3452.8350328464126</v>
      </c>
      <c r="F49" s="48">
        <v>4886.9869200000003</v>
      </c>
      <c r="G49" s="48">
        <v>4696.316329274001</v>
      </c>
      <c r="H49" s="49">
        <v>0.50781863052872067</v>
      </c>
      <c r="I49" s="49">
        <v>-3.9015981390430943E-2</v>
      </c>
      <c r="J49" s="49">
        <v>0.13546309734757744</v>
      </c>
    </row>
    <row r="50" spans="1:10" ht="11.25" customHeight="1" x14ac:dyDescent="0.2">
      <c r="A50" s="58">
        <v>44713</v>
      </c>
      <c r="B50" s="48">
        <v>0</v>
      </c>
      <c r="C50" s="48">
        <v>0</v>
      </c>
      <c r="D50" s="48">
        <v>2303.9262400000002</v>
      </c>
      <c r="E50" s="48">
        <v>3473.9029080359846</v>
      </c>
      <c r="F50" s="48">
        <v>4916.8054400000001</v>
      </c>
      <c r="G50" s="48">
        <v>4724.97145045259</v>
      </c>
      <c r="H50" s="49">
        <v>0.50781863052872045</v>
      </c>
      <c r="I50" s="49">
        <v>-3.9015981390431054E-2</v>
      </c>
      <c r="J50" s="49">
        <v>0.135463097347577</v>
      </c>
    </row>
    <row r="51" spans="1:10" ht="11.25" customHeight="1" x14ac:dyDescent="0.2">
      <c r="A51" s="58">
        <v>44743</v>
      </c>
      <c r="B51" s="48">
        <v>0</v>
      </c>
      <c r="C51" s="48">
        <v>0</v>
      </c>
      <c r="D51" s="48">
        <v>2738.7267599999996</v>
      </c>
      <c r="E51" s="48">
        <v>4129.5032326555593</v>
      </c>
      <c r="F51" s="48">
        <v>5844.712559999999</v>
      </c>
      <c r="G51" s="48">
        <v>5616.6753635266214</v>
      </c>
      <c r="H51" s="49">
        <v>0.50781863052872045</v>
      </c>
      <c r="I51" s="49">
        <v>-3.9015981390430943E-2</v>
      </c>
      <c r="J51" s="49">
        <v>0.13546309734757744</v>
      </c>
    </row>
    <row r="52" spans="1:10" ht="11.25" customHeight="1" x14ac:dyDescent="0.2">
      <c r="A52" s="58">
        <v>44774</v>
      </c>
      <c r="B52" s="48">
        <v>0</v>
      </c>
      <c r="C52" s="48">
        <v>0</v>
      </c>
      <c r="D52" s="48">
        <v>2217.7740199999998</v>
      </c>
      <c r="E52" s="48">
        <v>3344.0009856585752</v>
      </c>
      <c r="F52" s="48">
        <v>4732.94812</v>
      </c>
      <c r="G52" s="48">
        <v>4548.2875042282049</v>
      </c>
      <c r="H52" s="49">
        <v>0.50781863052872067</v>
      </c>
      <c r="I52" s="49">
        <v>-3.9015981390430943E-2</v>
      </c>
      <c r="J52" s="49">
        <v>0.13546309734757722</v>
      </c>
    </row>
    <row r="53" spans="1:10" ht="11.25" customHeight="1" x14ac:dyDescent="0.2">
      <c r="A53" s="57" t="s">
        <v>25</v>
      </c>
      <c r="B53" s="48">
        <v>98611.38</v>
      </c>
      <c r="C53" s="48">
        <v>96803.665333932266</v>
      </c>
      <c r="D53" s="48">
        <v>0</v>
      </c>
      <c r="E53" s="48">
        <v>0</v>
      </c>
      <c r="F53" s="48">
        <v>0</v>
      </c>
      <c r="G53" s="48">
        <v>0</v>
      </c>
      <c r="H53" s="49">
        <v>-1.8331704373955038E-2</v>
      </c>
      <c r="I53" s="49">
        <v>0</v>
      </c>
      <c r="J53" s="49">
        <v>-1.8331704373955038E-2</v>
      </c>
    </row>
    <row r="54" spans="1:10" ht="11.25" customHeight="1" x14ac:dyDescent="0.2">
      <c r="A54" s="58">
        <v>44440</v>
      </c>
      <c r="B54" s="48">
        <v>6748.58</v>
      </c>
      <c r="C54" s="48">
        <v>6624.8670264960147</v>
      </c>
      <c r="D54" s="48">
        <v>0</v>
      </c>
      <c r="E54" s="48">
        <v>0</v>
      </c>
      <c r="F54" s="48">
        <v>0</v>
      </c>
      <c r="G54" s="48">
        <v>0</v>
      </c>
      <c r="H54" s="49">
        <v>-1.8331704373955038E-2</v>
      </c>
      <c r="I54" s="49">
        <v>0</v>
      </c>
      <c r="J54" s="49">
        <v>-1.8331704373955038E-2</v>
      </c>
    </row>
    <row r="55" spans="1:10" ht="11.25" customHeight="1" x14ac:dyDescent="0.2">
      <c r="A55" s="58">
        <v>44470</v>
      </c>
      <c r="B55" s="48">
        <v>7698</v>
      </c>
      <c r="C55" s="48">
        <v>7556.8825397292949</v>
      </c>
      <c r="D55" s="48">
        <v>0</v>
      </c>
      <c r="E55" s="48">
        <v>0</v>
      </c>
      <c r="F55" s="48">
        <v>0</v>
      </c>
      <c r="G55" s="48">
        <v>0</v>
      </c>
      <c r="H55" s="49">
        <v>-1.8331704373954927E-2</v>
      </c>
      <c r="I55" s="49">
        <v>0</v>
      </c>
      <c r="J55" s="49">
        <v>-1.8331704373954927E-2</v>
      </c>
    </row>
    <row r="56" spans="1:10" ht="11.25" customHeight="1" x14ac:dyDescent="0.2">
      <c r="A56" s="58">
        <v>44501</v>
      </c>
      <c r="B56" s="48">
        <v>7954.6</v>
      </c>
      <c r="C56" s="48">
        <v>7808.7786243869377</v>
      </c>
      <c r="D56" s="48">
        <v>0</v>
      </c>
      <c r="E56" s="48">
        <v>0</v>
      </c>
      <c r="F56" s="48">
        <v>0</v>
      </c>
      <c r="G56" s="48">
        <v>0</v>
      </c>
      <c r="H56" s="49">
        <v>-1.8331704373955038E-2</v>
      </c>
      <c r="I56" s="49">
        <v>0</v>
      </c>
      <c r="J56" s="49">
        <v>-1.8331704373955038E-2</v>
      </c>
    </row>
    <row r="57" spans="1:10" ht="11.25" customHeight="1" x14ac:dyDescent="0.2">
      <c r="A57" s="58">
        <v>44531</v>
      </c>
      <c r="B57" s="48">
        <v>8211.2000000000007</v>
      </c>
      <c r="C57" s="48">
        <v>8060.6747090445806</v>
      </c>
      <c r="D57" s="48">
        <v>0</v>
      </c>
      <c r="E57" s="48">
        <v>0</v>
      </c>
      <c r="F57" s="48">
        <v>0</v>
      </c>
      <c r="G57" s="48">
        <v>0</v>
      </c>
      <c r="H57" s="49">
        <v>-1.8331704373955149E-2</v>
      </c>
      <c r="I57" s="49">
        <v>0</v>
      </c>
      <c r="J57" s="49">
        <v>-1.8331704373955149E-2</v>
      </c>
    </row>
    <row r="58" spans="1:10" ht="11.25" customHeight="1" x14ac:dyDescent="0.2">
      <c r="A58" s="58">
        <v>44562</v>
      </c>
      <c r="B58" s="48">
        <v>8031.58</v>
      </c>
      <c r="C58" s="48">
        <v>7884.3474497842308</v>
      </c>
      <c r="D58" s="48">
        <v>0</v>
      </c>
      <c r="E58" s="48">
        <v>0</v>
      </c>
      <c r="F58" s="48">
        <v>0</v>
      </c>
      <c r="G58" s="48">
        <v>0</v>
      </c>
      <c r="H58" s="49">
        <v>-1.8331704373954927E-2</v>
      </c>
      <c r="I58" s="49">
        <v>0</v>
      </c>
      <c r="J58" s="49">
        <v>-1.8331704373954927E-2</v>
      </c>
    </row>
    <row r="59" spans="1:10" ht="11.25" customHeight="1" x14ac:dyDescent="0.2">
      <c r="A59" s="58">
        <v>44593</v>
      </c>
      <c r="B59" s="48">
        <v>8236.86</v>
      </c>
      <c r="C59" s="48">
        <v>8085.8643175103452</v>
      </c>
      <c r="D59" s="48">
        <v>0</v>
      </c>
      <c r="E59" s="48">
        <v>0</v>
      </c>
      <c r="F59" s="48">
        <v>0</v>
      </c>
      <c r="G59" s="48">
        <v>0</v>
      </c>
      <c r="H59" s="49">
        <v>-1.8331704373955038E-2</v>
      </c>
      <c r="I59" s="49">
        <v>0</v>
      </c>
      <c r="J59" s="49">
        <v>-1.8331704373955038E-2</v>
      </c>
    </row>
    <row r="60" spans="1:10" ht="11.25" customHeight="1" x14ac:dyDescent="0.2">
      <c r="A60" s="58">
        <v>44621</v>
      </c>
      <c r="B60" s="48">
        <v>8365.16</v>
      </c>
      <c r="C60" s="48">
        <v>8211.8123598391667</v>
      </c>
      <c r="D60" s="48">
        <v>0</v>
      </c>
      <c r="E60" s="48">
        <v>0</v>
      </c>
      <c r="F60" s="48">
        <v>0</v>
      </c>
      <c r="G60" s="48">
        <v>0</v>
      </c>
      <c r="H60" s="49">
        <v>-1.8331704373954927E-2</v>
      </c>
      <c r="I60" s="49">
        <v>0</v>
      </c>
      <c r="J60" s="49">
        <v>-1.8331704373954927E-2</v>
      </c>
    </row>
    <row r="61" spans="1:10" ht="11.25" customHeight="1" x14ac:dyDescent="0.2">
      <c r="A61" s="58">
        <v>44652</v>
      </c>
      <c r="B61" s="48">
        <v>8057.24</v>
      </c>
      <c r="C61" s="48">
        <v>7909.5370582499954</v>
      </c>
      <c r="D61" s="48">
        <v>0</v>
      </c>
      <c r="E61" s="48">
        <v>0</v>
      </c>
      <c r="F61" s="48">
        <v>0</v>
      </c>
      <c r="G61" s="48">
        <v>0</v>
      </c>
      <c r="H61" s="49">
        <v>-1.8331704373954927E-2</v>
      </c>
      <c r="I61" s="49">
        <v>0</v>
      </c>
      <c r="J61" s="49">
        <v>-1.8331704373954927E-2</v>
      </c>
    </row>
    <row r="62" spans="1:10" ht="11.25" customHeight="1" x14ac:dyDescent="0.2">
      <c r="A62" s="58">
        <v>44682</v>
      </c>
      <c r="B62" s="48">
        <v>8596.1</v>
      </c>
      <c r="C62" s="48">
        <v>8438.5188360310458</v>
      </c>
      <c r="D62" s="48">
        <v>0</v>
      </c>
      <c r="E62" s="48">
        <v>0</v>
      </c>
      <c r="F62" s="48">
        <v>0</v>
      </c>
      <c r="G62" s="48">
        <v>0</v>
      </c>
      <c r="H62" s="49">
        <v>-1.8331704373955038E-2</v>
      </c>
      <c r="I62" s="49">
        <v>0</v>
      </c>
      <c r="J62" s="49">
        <v>-1.8331704373955038E-2</v>
      </c>
    </row>
    <row r="63" spans="1:10" ht="11.25" customHeight="1" x14ac:dyDescent="0.2">
      <c r="A63" s="58">
        <v>44713</v>
      </c>
      <c r="B63" s="48">
        <v>8365.16</v>
      </c>
      <c r="C63" s="48">
        <v>8211.8123598391667</v>
      </c>
      <c r="D63" s="48">
        <v>0</v>
      </c>
      <c r="E63" s="48">
        <v>0</v>
      </c>
      <c r="F63" s="48">
        <v>0</v>
      </c>
      <c r="G63" s="48">
        <v>0</v>
      </c>
      <c r="H63" s="49">
        <v>-1.8331704373954927E-2</v>
      </c>
      <c r="I63" s="49">
        <v>0</v>
      </c>
      <c r="J63" s="49">
        <v>-1.8331704373954927E-2</v>
      </c>
    </row>
    <row r="64" spans="1:10" ht="11.25" customHeight="1" x14ac:dyDescent="0.2">
      <c r="A64" s="58">
        <v>44743</v>
      </c>
      <c r="B64" s="48">
        <v>9211.94</v>
      </c>
      <c r="C64" s="48">
        <v>9043.0694392093901</v>
      </c>
      <c r="D64" s="48">
        <v>0</v>
      </c>
      <c r="E64" s="48">
        <v>0</v>
      </c>
      <c r="F64" s="48">
        <v>0</v>
      </c>
      <c r="G64" s="48">
        <v>0</v>
      </c>
      <c r="H64" s="49">
        <v>-1.8331704373954927E-2</v>
      </c>
      <c r="I64" s="49">
        <v>0</v>
      </c>
      <c r="J64" s="49">
        <v>-1.8331704373954927E-2</v>
      </c>
    </row>
    <row r="65" spans="1:10" ht="11.25" customHeight="1" x14ac:dyDescent="0.2">
      <c r="A65" s="58">
        <v>44774</v>
      </c>
      <c r="B65" s="48">
        <v>9134.9600000000009</v>
      </c>
      <c r="C65" s="48">
        <v>8967.5006138120971</v>
      </c>
      <c r="D65" s="48">
        <v>0</v>
      </c>
      <c r="E65" s="48">
        <v>0</v>
      </c>
      <c r="F65" s="48">
        <v>0</v>
      </c>
      <c r="G65" s="48">
        <v>0</v>
      </c>
      <c r="H65" s="49">
        <v>-1.8331704373955038E-2</v>
      </c>
      <c r="I65" s="49">
        <v>0</v>
      </c>
      <c r="J65" s="49">
        <v>-1.8331704373955038E-2</v>
      </c>
    </row>
    <row r="66" spans="1:10" ht="11.25" customHeight="1" x14ac:dyDescent="0.2">
      <c r="A66" s="57" t="s">
        <v>37</v>
      </c>
      <c r="B66" s="48">
        <v>0</v>
      </c>
      <c r="C66" s="48">
        <v>0</v>
      </c>
      <c r="D66" s="48">
        <v>47075.804160000007</v>
      </c>
      <c r="E66" s="48">
        <v>47299.688974124656</v>
      </c>
      <c r="F66" s="48">
        <v>3460.3615199999999</v>
      </c>
      <c r="G66" s="48">
        <v>3325.3521193315164</v>
      </c>
      <c r="H66" s="49">
        <v>4.7558362118194086E-3</v>
      </c>
      <c r="I66" s="49">
        <v>-3.9015981390431054E-2</v>
      </c>
      <c r="J66" s="49">
        <v>1.7586497166985904E-3</v>
      </c>
    </row>
    <row r="67" spans="1:10" ht="11.25" customHeight="1" x14ac:dyDescent="0.2">
      <c r="A67" s="58">
        <v>44440</v>
      </c>
      <c r="B67" s="48">
        <v>0</v>
      </c>
      <c r="C67" s="48">
        <v>0</v>
      </c>
      <c r="D67" s="48">
        <v>4071.9820799999998</v>
      </c>
      <c r="E67" s="48">
        <v>4091.3477598299442</v>
      </c>
      <c r="F67" s="48">
        <v>299.31575999999995</v>
      </c>
      <c r="G67" s="48">
        <v>287.63766187797728</v>
      </c>
      <c r="H67" s="49">
        <v>4.7558362118196307E-3</v>
      </c>
      <c r="I67" s="49">
        <v>-3.9015981390430832E-2</v>
      </c>
      <c r="J67" s="49">
        <v>1.7586497166988124E-3</v>
      </c>
    </row>
    <row r="68" spans="1:10" ht="11.25" customHeight="1" x14ac:dyDescent="0.2">
      <c r="A68" s="58">
        <v>44470</v>
      </c>
      <c r="B68" s="48">
        <v>0</v>
      </c>
      <c r="C68" s="48">
        <v>0</v>
      </c>
      <c r="D68" s="48">
        <v>4462.2617600000003</v>
      </c>
      <c r="E68" s="48">
        <v>4483.4835460648264</v>
      </c>
      <c r="F68" s="48">
        <v>328.00371999999999</v>
      </c>
      <c r="G68" s="48">
        <v>315.2063329644879</v>
      </c>
      <c r="H68" s="49">
        <v>4.7558362118196307E-3</v>
      </c>
      <c r="I68" s="49">
        <v>-3.9015981390430832E-2</v>
      </c>
      <c r="J68" s="49">
        <v>1.7586497166988124E-3</v>
      </c>
    </row>
    <row r="69" spans="1:10" ht="11.25" customHeight="1" x14ac:dyDescent="0.2">
      <c r="A69" s="58">
        <v>44501</v>
      </c>
      <c r="B69" s="48">
        <v>0</v>
      </c>
      <c r="C69" s="48">
        <v>0</v>
      </c>
      <c r="D69" s="48">
        <v>3166.4563199999998</v>
      </c>
      <c r="E69" s="48">
        <v>3181.5154676298012</v>
      </c>
      <c r="F69" s="48">
        <v>232.75404</v>
      </c>
      <c r="G69" s="48">
        <v>223.67291270681235</v>
      </c>
      <c r="H69" s="49">
        <v>4.7558362118196307E-3</v>
      </c>
      <c r="I69" s="49">
        <v>-3.9015981390431054E-2</v>
      </c>
      <c r="J69" s="49">
        <v>1.7586497166988124E-3</v>
      </c>
    </row>
    <row r="70" spans="1:10" ht="11.25" customHeight="1" x14ac:dyDescent="0.2">
      <c r="A70" s="58">
        <v>44531</v>
      </c>
      <c r="B70" s="48">
        <v>0</v>
      </c>
      <c r="C70" s="48">
        <v>0</v>
      </c>
      <c r="D70" s="48">
        <v>3545.20064</v>
      </c>
      <c r="E70" s="48">
        <v>3562.0610335818783</v>
      </c>
      <c r="F70" s="48">
        <v>260.59408000000002</v>
      </c>
      <c r="G70" s="48">
        <v>250.42674622426352</v>
      </c>
      <c r="H70" s="49">
        <v>4.7558362118196307E-3</v>
      </c>
      <c r="I70" s="49">
        <v>-3.9015981390431054E-2</v>
      </c>
      <c r="J70" s="49">
        <v>1.7586497166988124E-3</v>
      </c>
    </row>
    <row r="71" spans="1:10" ht="11.25" customHeight="1" x14ac:dyDescent="0.2">
      <c r="A71" s="58">
        <v>44562</v>
      </c>
      <c r="B71" s="48">
        <v>0</v>
      </c>
      <c r="C71" s="48">
        <v>0</v>
      </c>
      <c r="D71" s="48">
        <v>3376.0153599999999</v>
      </c>
      <c r="E71" s="48">
        <v>3392.071136100747</v>
      </c>
      <c r="F71" s="48">
        <v>248.15791999999999</v>
      </c>
      <c r="G71" s="48">
        <v>238.47579521139193</v>
      </c>
      <c r="H71" s="49">
        <v>4.7558362118196307E-3</v>
      </c>
      <c r="I71" s="49">
        <v>-3.9015981390431054E-2</v>
      </c>
      <c r="J71" s="49">
        <v>1.7586497166985904E-3</v>
      </c>
    </row>
    <row r="72" spans="1:10" ht="11.25" customHeight="1" x14ac:dyDescent="0.2">
      <c r="A72" s="58">
        <v>44593</v>
      </c>
      <c r="B72" s="48">
        <v>0</v>
      </c>
      <c r="C72" s="48">
        <v>0</v>
      </c>
      <c r="D72" s="48">
        <v>3379.8604799999998</v>
      </c>
      <c r="E72" s="48">
        <v>3395.9345428616821</v>
      </c>
      <c r="F72" s="48">
        <v>248.44055999999998</v>
      </c>
      <c r="G72" s="48">
        <v>238.74740773441175</v>
      </c>
      <c r="H72" s="49">
        <v>4.7558362118196307E-3</v>
      </c>
      <c r="I72" s="49">
        <v>-3.9015981390430832E-2</v>
      </c>
      <c r="J72" s="49">
        <v>1.7586497166988124E-3</v>
      </c>
    </row>
    <row r="73" spans="1:10" ht="11.25" customHeight="1" x14ac:dyDescent="0.2">
      <c r="A73" s="58">
        <v>44621</v>
      </c>
      <c r="B73" s="48">
        <v>0</v>
      </c>
      <c r="C73" s="48">
        <v>0</v>
      </c>
      <c r="D73" s="48">
        <v>3795.1334400000001</v>
      </c>
      <c r="E73" s="48">
        <v>3813.1824730426392</v>
      </c>
      <c r="F73" s="48">
        <v>278.96567999999996</v>
      </c>
      <c r="G73" s="48">
        <v>268.08156022055107</v>
      </c>
      <c r="H73" s="49">
        <v>4.7558362118194086E-3</v>
      </c>
      <c r="I73" s="49">
        <v>-3.9015981390430832E-2</v>
      </c>
      <c r="J73" s="49">
        <v>1.7586497166988124E-3</v>
      </c>
    </row>
    <row r="74" spans="1:10" ht="11.25" customHeight="1" x14ac:dyDescent="0.2">
      <c r="A74" s="58">
        <v>44652</v>
      </c>
      <c r="B74" s="48">
        <v>0</v>
      </c>
      <c r="C74" s="48">
        <v>0</v>
      </c>
      <c r="D74" s="48">
        <v>3727.84384</v>
      </c>
      <c r="E74" s="48">
        <v>3745.5728547262806</v>
      </c>
      <c r="F74" s="48">
        <v>274.01947999999999</v>
      </c>
      <c r="G74" s="48">
        <v>263.3283410677044</v>
      </c>
      <c r="H74" s="49">
        <v>4.7558362118196307E-3</v>
      </c>
      <c r="I74" s="49">
        <v>-3.9015981390431054E-2</v>
      </c>
      <c r="J74" s="49">
        <v>1.7586497166988124E-3</v>
      </c>
    </row>
    <row r="75" spans="1:10" ht="11.25" customHeight="1" x14ac:dyDescent="0.2">
      <c r="A75" s="58">
        <v>44682</v>
      </c>
      <c r="B75" s="48">
        <v>0</v>
      </c>
      <c r="C75" s="48">
        <v>0</v>
      </c>
      <c r="D75" s="48">
        <v>3935.4803200000001</v>
      </c>
      <c r="E75" s="48">
        <v>3954.1968198167597</v>
      </c>
      <c r="F75" s="48">
        <v>289.28203999999999</v>
      </c>
      <c r="G75" s="48">
        <v>277.99541731077409</v>
      </c>
      <c r="H75" s="49">
        <v>4.7558362118196307E-3</v>
      </c>
      <c r="I75" s="49">
        <v>-3.9015981390430943E-2</v>
      </c>
      <c r="J75" s="49">
        <v>1.7586497166990345E-3</v>
      </c>
    </row>
    <row r="76" spans="1:10" ht="11.25" customHeight="1" x14ac:dyDescent="0.2">
      <c r="A76" s="58">
        <v>44713</v>
      </c>
      <c r="B76" s="48">
        <v>0</v>
      </c>
      <c r="C76" s="48">
        <v>0</v>
      </c>
      <c r="D76" s="48">
        <v>4358.4435199999998</v>
      </c>
      <c r="E76" s="48">
        <v>4379.171563519586</v>
      </c>
      <c r="F76" s="48">
        <v>320.37243999999998</v>
      </c>
      <c r="G76" s="48">
        <v>307.872794842953</v>
      </c>
      <c r="H76" s="49">
        <v>4.7558362118196307E-3</v>
      </c>
      <c r="I76" s="49">
        <v>-3.9015981390431054E-2</v>
      </c>
      <c r="J76" s="49">
        <v>1.7586497166985904E-3</v>
      </c>
    </row>
    <row r="77" spans="1:10" ht="11.25" customHeight="1" x14ac:dyDescent="0.2">
      <c r="A77" s="58">
        <v>44743</v>
      </c>
      <c r="B77" s="48">
        <v>0</v>
      </c>
      <c r="C77" s="48">
        <v>0</v>
      </c>
      <c r="D77" s="48">
        <v>4975.5852800000002</v>
      </c>
      <c r="E77" s="48">
        <v>4999.2483486496203</v>
      </c>
      <c r="F77" s="48">
        <v>365.73615999999998</v>
      </c>
      <c r="G77" s="48">
        <v>351.46660478763232</v>
      </c>
      <c r="H77" s="49">
        <v>4.7558362118194086E-3</v>
      </c>
      <c r="I77" s="49">
        <v>-3.9015981390430943E-2</v>
      </c>
      <c r="J77" s="49">
        <v>1.7586497166985904E-3</v>
      </c>
    </row>
    <row r="78" spans="1:10" ht="11.25" customHeight="1" x14ac:dyDescent="0.2">
      <c r="A78" s="58">
        <v>44774</v>
      </c>
      <c r="B78" s="48">
        <v>0</v>
      </c>
      <c r="C78" s="48">
        <v>0</v>
      </c>
      <c r="D78" s="48">
        <v>4281.5411199999999</v>
      </c>
      <c r="E78" s="48">
        <v>4301.9034283008905</v>
      </c>
      <c r="F78" s="48">
        <v>314.71963999999997</v>
      </c>
      <c r="G78" s="48">
        <v>302.44054438255682</v>
      </c>
      <c r="H78" s="49">
        <v>4.7558362118196307E-3</v>
      </c>
      <c r="I78" s="49">
        <v>-3.9015981390431054E-2</v>
      </c>
      <c r="J78" s="49">
        <v>1.7586497166988124E-3</v>
      </c>
    </row>
    <row r="79" spans="1:10" ht="11.25" customHeight="1" x14ac:dyDescent="0.2">
      <c r="A79" s="53" t="s">
        <v>34</v>
      </c>
      <c r="B79" s="48">
        <v>3354095.5799999996</v>
      </c>
      <c r="C79" s="48">
        <v>3292609.2913854513</v>
      </c>
      <c r="D79" s="48">
        <v>3533913.0946</v>
      </c>
      <c r="E79" s="48">
        <v>4447625.2635398153</v>
      </c>
      <c r="F79" s="48">
        <v>3933573.0945200007</v>
      </c>
      <c r="G79" s="48">
        <v>3780100.8798663085</v>
      </c>
      <c r="H79" s="49">
        <v>0.12372601728390786</v>
      </c>
      <c r="I79" s="49">
        <v>-3.9015981390430832E-2</v>
      </c>
      <c r="J79" s="49">
        <v>6.4570381722338199E-2</v>
      </c>
    </row>
    <row r="80" spans="1:10" ht="11.25" customHeight="1" x14ac:dyDescent="0.2">
      <c r="A80" s="54" t="s">
        <v>25</v>
      </c>
      <c r="B80" s="48">
        <v>3354095.5799999996</v>
      </c>
      <c r="C80" s="48">
        <v>3292609.2913854513</v>
      </c>
      <c r="D80" s="48">
        <v>3533913.0946</v>
      </c>
      <c r="E80" s="48">
        <v>4447625.2635398153</v>
      </c>
      <c r="F80" s="48">
        <v>3933573.0945200007</v>
      </c>
      <c r="G80" s="48">
        <v>3780100.8798663085</v>
      </c>
      <c r="H80" s="49">
        <v>0.12372601728390786</v>
      </c>
      <c r="I80" s="49">
        <v>-3.9015981390430832E-2</v>
      </c>
      <c r="J80" s="49">
        <v>6.4570381722338199E-2</v>
      </c>
    </row>
    <row r="81" spans="1:10" ht="11.25" customHeight="1" x14ac:dyDescent="0.2">
      <c r="A81" s="55" t="s">
        <v>25</v>
      </c>
      <c r="B81" s="48">
        <v>3354095.5799999996</v>
      </c>
      <c r="C81" s="48">
        <v>3292609.2913854513</v>
      </c>
      <c r="D81" s="48">
        <v>3533913.0946</v>
      </c>
      <c r="E81" s="48">
        <v>4447625.2635398153</v>
      </c>
      <c r="F81" s="48">
        <v>3933573.0945200007</v>
      </c>
      <c r="G81" s="48">
        <v>3780100.8798663085</v>
      </c>
      <c r="H81" s="49">
        <v>0.12372601728390786</v>
      </c>
      <c r="I81" s="49">
        <v>-3.9015981390430832E-2</v>
      </c>
      <c r="J81" s="49">
        <v>6.4570381722338199E-2</v>
      </c>
    </row>
    <row r="82" spans="1:10" ht="11.25" customHeight="1" x14ac:dyDescent="0.2">
      <c r="A82" s="56" t="s">
        <v>25</v>
      </c>
      <c r="B82" s="48">
        <v>3354095.5799999996</v>
      </c>
      <c r="C82" s="48">
        <v>3292609.2913854513</v>
      </c>
      <c r="D82" s="48">
        <v>3533913.0946</v>
      </c>
      <c r="E82" s="48">
        <v>4447625.2635398153</v>
      </c>
      <c r="F82" s="48">
        <v>3933573.0945200007</v>
      </c>
      <c r="G82" s="48">
        <v>3780100.8798663085</v>
      </c>
      <c r="H82" s="49">
        <v>0.12372601728390786</v>
      </c>
      <c r="I82" s="49">
        <v>-3.9015981390430832E-2</v>
      </c>
      <c r="J82" s="49">
        <v>6.4570381722338199E-2</v>
      </c>
    </row>
    <row r="83" spans="1:10" ht="11.25" customHeight="1" x14ac:dyDescent="0.2">
      <c r="A83" s="57" t="s">
        <v>38</v>
      </c>
      <c r="B83" s="48">
        <v>0</v>
      </c>
      <c r="C83" s="48">
        <v>0</v>
      </c>
      <c r="D83" s="48">
        <v>1782889.66548</v>
      </c>
      <c r="E83" s="48">
        <v>2688274.2537878626</v>
      </c>
      <c r="F83" s="48">
        <v>3804862.0888800002</v>
      </c>
      <c r="G83" s="48">
        <v>3656411.6604271019</v>
      </c>
      <c r="H83" s="49">
        <v>0.50781863052872112</v>
      </c>
      <c r="I83" s="49">
        <v>-3.9015981390430832E-2</v>
      </c>
      <c r="J83" s="49">
        <v>0.13546309734757744</v>
      </c>
    </row>
    <row r="84" spans="1:10" ht="11.25" customHeight="1" x14ac:dyDescent="0.2">
      <c r="A84" s="58">
        <v>44440</v>
      </c>
      <c r="B84" s="48">
        <v>0</v>
      </c>
      <c r="C84" s="48">
        <v>0</v>
      </c>
      <c r="D84" s="48">
        <v>151355.94165999998</v>
      </c>
      <c r="E84" s="48">
        <v>228217.30867616611</v>
      </c>
      <c r="F84" s="48">
        <v>323008.48195999995</v>
      </c>
      <c r="G84" s="48">
        <v>310405.98903889727</v>
      </c>
      <c r="H84" s="49">
        <v>0.50781863052872067</v>
      </c>
      <c r="I84" s="49">
        <v>-3.9015981390430832E-2</v>
      </c>
      <c r="J84" s="49">
        <v>0.13546309734757744</v>
      </c>
    </row>
    <row r="85" spans="1:10" ht="11.25" customHeight="1" x14ac:dyDescent="0.2">
      <c r="A85" s="58">
        <v>44470</v>
      </c>
      <c r="B85" s="48">
        <v>0</v>
      </c>
      <c r="C85" s="48">
        <v>0</v>
      </c>
      <c r="D85" s="48">
        <v>142780.253</v>
      </c>
      <c r="E85" s="48">
        <v>215286.72554500424</v>
      </c>
      <c r="F85" s="48">
        <v>304707.11800000002</v>
      </c>
      <c r="G85" s="48">
        <v>292818.67075458012</v>
      </c>
      <c r="H85" s="49">
        <v>0.50781863052872067</v>
      </c>
      <c r="I85" s="49">
        <v>-3.9015981390431165E-2</v>
      </c>
      <c r="J85" s="49">
        <v>0.135463097347577</v>
      </c>
    </row>
    <row r="86" spans="1:10" ht="11.25" customHeight="1" x14ac:dyDescent="0.2">
      <c r="A86" s="58">
        <v>44501</v>
      </c>
      <c r="B86" s="48">
        <v>0</v>
      </c>
      <c r="C86" s="48">
        <v>0</v>
      </c>
      <c r="D86" s="48">
        <v>147662.25628</v>
      </c>
      <c r="E86" s="48">
        <v>222647.90104489055</v>
      </c>
      <c r="F86" s="48">
        <v>315125.79367999994</v>
      </c>
      <c r="G86" s="48">
        <v>302830.85157813632</v>
      </c>
      <c r="H86" s="49">
        <v>0.50781863052872045</v>
      </c>
      <c r="I86" s="49">
        <v>-3.9015981390430832E-2</v>
      </c>
      <c r="J86" s="49">
        <v>0.13546309734757722</v>
      </c>
    </row>
    <row r="87" spans="1:10" ht="11.25" customHeight="1" x14ac:dyDescent="0.2">
      <c r="A87" s="58">
        <v>44531</v>
      </c>
      <c r="B87" s="48">
        <v>0</v>
      </c>
      <c r="C87" s="48">
        <v>0</v>
      </c>
      <c r="D87" s="48">
        <v>127919.1606</v>
      </c>
      <c r="E87" s="48">
        <v>192878.89355427548</v>
      </c>
      <c r="F87" s="48">
        <v>272992.08360000001</v>
      </c>
      <c r="G87" s="48">
        <v>262341.02954652742</v>
      </c>
      <c r="H87" s="49">
        <v>0.50781863052872067</v>
      </c>
      <c r="I87" s="49">
        <v>-3.9015981390431054E-2</v>
      </c>
      <c r="J87" s="49">
        <v>0.13546309734757722</v>
      </c>
    </row>
    <row r="88" spans="1:10" ht="11.25" customHeight="1" x14ac:dyDescent="0.2">
      <c r="A88" s="58">
        <v>44562</v>
      </c>
      <c r="B88" s="48">
        <v>0</v>
      </c>
      <c r="C88" s="48">
        <v>0</v>
      </c>
      <c r="D88" s="48">
        <v>142029.78174000001</v>
      </c>
      <c r="E88" s="48">
        <v>214155.15099749988</v>
      </c>
      <c r="F88" s="48">
        <v>303105.53843999997</v>
      </c>
      <c r="G88" s="48">
        <v>291279.57839288836</v>
      </c>
      <c r="H88" s="49">
        <v>0.50781863052872045</v>
      </c>
      <c r="I88" s="49">
        <v>-3.9015981390431054E-2</v>
      </c>
      <c r="J88" s="49">
        <v>0.13546309734757722</v>
      </c>
    </row>
    <row r="89" spans="1:10" ht="11.25" customHeight="1" x14ac:dyDescent="0.2">
      <c r="A89" s="58">
        <v>44593</v>
      </c>
      <c r="B89" s="48">
        <v>0</v>
      </c>
      <c r="C89" s="48">
        <v>0</v>
      </c>
      <c r="D89" s="48">
        <v>141057.73835999999</v>
      </c>
      <c r="E89" s="48">
        <v>212689.48587945377</v>
      </c>
      <c r="F89" s="48">
        <v>301031.10215999995</v>
      </c>
      <c r="G89" s="48">
        <v>289286.07828018448</v>
      </c>
      <c r="H89" s="49">
        <v>0.50781863052872067</v>
      </c>
      <c r="I89" s="49">
        <v>-3.9015981390430943E-2</v>
      </c>
      <c r="J89" s="49">
        <v>0.13546309734757722</v>
      </c>
    </row>
    <row r="90" spans="1:10" ht="11.25" customHeight="1" x14ac:dyDescent="0.2">
      <c r="A90" s="58">
        <v>44621</v>
      </c>
      <c r="B90" s="48">
        <v>0</v>
      </c>
      <c r="C90" s="48">
        <v>0</v>
      </c>
      <c r="D90" s="48">
        <v>158180.70730000001</v>
      </c>
      <c r="E90" s="48">
        <v>238507.81745715041</v>
      </c>
      <c r="F90" s="48">
        <v>337573.20380000002</v>
      </c>
      <c r="G90" s="48">
        <v>324402.45396263106</v>
      </c>
      <c r="H90" s="49">
        <v>0.50781863052872067</v>
      </c>
      <c r="I90" s="49">
        <v>-3.9015981390430943E-2</v>
      </c>
      <c r="J90" s="49">
        <v>0.13546309734757722</v>
      </c>
    </row>
    <row r="91" spans="1:10" ht="11.25" customHeight="1" x14ac:dyDescent="0.2">
      <c r="A91" s="58">
        <v>44652</v>
      </c>
      <c r="B91" s="48">
        <v>0</v>
      </c>
      <c r="C91" s="48">
        <v>0</v>
      </c>
      <c r="D91" s="48">
        <v>145234.82974000002</v>
      </c>
      <c r="E91" s="48">
        <v>218987.78208363871</v>
      </c>
      <c r="F91" s="48">
        <v>309945.42643999995</v>
      </c>
      <c r="G91" s="48">
        <v>297852.60144996777</v>
      </c>
      <c r="H91" s="49">
        <v>0.50781863052872045</v>
      </c>
      <c r="I91" s="49">
        <v>-3.9015981390430832E-2</v>
      </c>
      <c r="J91" s="49">
        <v>0.13546309734757722</v>
      </c>
    </row>
    <row r="92" spans="1:10" ht="11.25" customHeight="1" x14ac:dyDescent="0.2">
      <c r="A92" s="58">
        <v>44682</v>
      </c>
      <c r="B92" s="48">
        <v>0</v>
      </c>
      <c r="C92" s="48">
        <v>0</v>
      </c>
      <c r="D92" s="48">
        <v>155220.54085999998</v>
      </c>
      <c r="E92" s="48">
        <v>234044.4233494525</v>
      </c>
      <c r="F92" s="48">
        <v>331255.91715999995</v>
      </c>
      <c r="G92" s="48">
        <v>318331.64246061526</v>
      </c>
      <c r="H92" s="49">
        <v>0.50781863052872067</v>
      </c>
      <c r="I92" s="49">
        <v>-3.9015981390430943E-2</v>
      </c>
      <c r="J92" s="49">
        <v>0.13546309734757744</v>
      </c>
    </row>
    <row r="93" spans="1:10" ht="11.25" customHeight="1" x14ac:dyDescent="0.2">
      <c r="A93" s="58">
        <v>44713</v>
      </c>
      <c r="B93" s="48">
        <v>0</v>
      </c>
      <c r="C93" s="48">
        <v>0</v>
      </c>
      <c r="D93" s="48">
        <v>155986.24271999998</v>
      </c>
      <c r="E93" s="48">
        <v>235198.96287939098</v>
      </c>
      <c r="F93" s="48">
        <v>332890.00031999999</v>
      </c>
      <c r="G93" s="48">
        <v>319901.9702624543</v>
      </c>
      <c r="H93" s="49">
        <v>0.50781863052872067</v>
      </c>
      <c r="I93" s="49">
        <v>-3.9015981390431054E-2</v>
      </c>
      <c r="J93" s="49">
        <v>0.13546309734757722</v>
      </c>
    </row>
    <row r="94" spans="1:10" ht="11.25" customHeight="1" x14ac:dyDescent="0.2">
      <c r="A94" s="58">
        <v>44743</v>
      </c>
      <c r="B94" s="48">
        <v>0</v>
      </c>
      <c r="C94" s="48">
        <v>0</v>
      </c>
      <c r="D94" s="48">
        <v>153949.84528000001</v>
      </c>
      <c r="E94" s="48">
        <v>232128.44488019802</v>
      </c>
      <c r="F94" s="48">
        <v>328544.12767999998</v>
      </c>
      <c r="G94" s="48">
        <v>315725.65610850172</v>
      </c>
      <c r="H94" s="49">
        <v>0.50781863052872045</v>
      </c>
      <c r="I94" s="49">
        <v>-3.9015981390430943E-2</v>
      </c>
      <c r="J94" s="49">
        <v>0.13546309734757722</v>
      </c>
    </row>
    <row r="95" spans="1:10" ht="11.25" customHeight="1" x14ac:dyDescent="0.2">
      <c r="A95" s="58">
        <v>44774</v>
      </c>
      <c r="B95" s="48">
        <v>0</v>
      </c>
      <c r="C95" s="48">
        <v>0</v>
      </c>
      <c r="D95" s="48">
        <v>161512.36794</v>
      </c>
      <c r="E95" s="48">
        <v>243531.35744074165</v>
      </c>
      <c r="F95" s="48">
        <v>344683.29563999997</v>
      </c>
      <c r="G95" s="48">
        <v>331235.13859171735</v>
      </c>
      <c r="H95" s="49">
        <v>0.50781863052872067</v>
      </c>
      <c r="I95" s="49">
        <v>-3.9015981390430832E-2</v>
      </c>
      <c r="J95" s="49">
        <v>0.13546309734757722</v>
      </c>
    </row>
    <row r="96" spans="1:10" ht="11.25" customHeight="1" x14ac:dyDescent="0.2">
      <c r="A96" s="57" t="s">
        <v>25</v>
      </c>
      <c r="B96" s="48">
        <v>3354095.5799999996</v>
      </c>
      <c r="C96" s="48">
        <v>3292609.2913854513</v>
      </c>
      <c r="D96" s="48">
        <v>0</v>
      </c>
      <c r="E96" s="48">
        <v>0</v>
      </c>
      <c r="F96" s="48">
        <v>0</v>
      </c>
      <c r="G96" s="48">
        <v>0</v>
      </c>
      <c r="H96" s="49">
        <v>-1.8331704373954927E-2</v>
      </c>
      <c r="I96" s="49">
        <v>0</v>
      </c>
      <c r="J96" s="49">
        <v>-1.8331704373954927E-2</v>
      </c>
    </row>
    <row r="97" spans="1:10" ht="11.25" customHeight="1" x14ac:dyDescent="0.2">
      <c r="A97" s="58">
        <v>44440</v>
      </c>
      <c r="B97" s="48">
        <v>256600</v>
      </c>
      <c r="C97" s="48">
        <v>251896.08465764316</v>
      </c>
      <c r="D97" s="48">
        <v>0</v>
      </c>
      <c r="E97" s="48">
        <v>0</v>
      </c>
      <c r="F97" s="48">
        <v>0</v>
      </c>
      <c r="G97" s="48">
        <v>0</v>
      </c>
      <c r="H97" s="49">
        <v>-1.8331704373954927E-2</v>
      </c>
      <c r="I97" s="49">
        <v>0</v>
      </c>
      <c r="J97" s="49">
        <v>-1.8331704373954927E-2</v>
      </c>
    </row>
    <row r="98" spans="1:10" ht="11.25" customHeight="1" x14ac:dyDescent="0.2">
      <c r="A98" s="58">
        <v>44470</v>
      </c>
      <c r="B98" s="48">
        <v>259294.3</v>
      </c>
      <c r="C98" s="48">
        <v>254540.99354654842</v>
      </c>
      <c r="D98" s="48">
        <v>0</v>
      </c>
      <c r="E98" s="48">
        <v>0</v>
      </c>
      <c r="F98" s="48">
        <v>0</v>
      </c>
      <c r="G98" s="48">
        <v>0</v>
      </c>
      <c r="H98" s="49">
        <v>-1.8331704373954927E-2</v>
      </c>
      <c r="I98" s="49">
        <v>0</v>
      </c>
      <c r="J98" s="49">
        <v>-1.8331704373954927E-2</v>
      </c>
    </row>
    <row r="99" spans="1:10" ht="11.25" customHeight="1" x14ac:dyDescent="0.2">
      <c r="A99" s="58">
        <v>44501</v>
      </c>
      <c r="B99" s="48">
        <v>260372.02</v>
      </c>
      <c r="C99" s="48">
        <v>255598.95710211052</v>
      </c>
      <c r="D99" s="48">
        <v>0</v>
      </c>
      <c r="E99" s="48">
        <v>0</v>
      </c>
      <c r="F99" s="48">
        <v>0</v>
      </c>
      <c r="G99" s="48">
        <v>0</v>
      </c>
      <c r="H99" s="49">
        <v>-1.8331704373954927E-2</v>
      </c>
      <c r="I99" s="49">
        <v>0</v>
      </c>
      <c r="J99" s="49">
        <v>-1.8331704373954927E-2</v>
      </c>
    </row>
    <row r="100" spans="1:10" ht="11.25" customHeight="1" x14ac:dyDescent="0.2">
      <c r="A100" s="58">
        <v>44531</v>
      </c>
      <c r="B100" s="48">
        <v>260423.34</v>
      </c>
      <c r="C100" s="48">
        <v>255649.33631904205</v>
      </c>
      <c r="D100" s="48">
        <v>0</v>
      </c>
      <c r="E100" s="48">
        <v>0</v>
      </c>
      <c r="F100" s="48">
        <v>0</v>
      </c>
      <c r="G100" s="48">
        <v>0</v>
      </c>
      <c r="H100" s="49">
        <v>-1.8331704373954927E-2</v>
      </c>
      <c r="I100" s="49">
        <v>0</v>
      </c>
      <c r="J100" s="49">
        <v>-1.8331704373954927E-2</v>
      </c>
    </row>
    <row r="101" spans="1:10" ht="11.25" customHeight="1" x14ac:dyDescent="0.2">
      <c r="A101" s="58">
        <v>44562</v>
      </c>
      <c r="B101" s="48">
        <v>286237.30000000005</v>
      </c>
      <c r="C101" s="48">
        <v>280990.08243560093</v>
      </c>
      <c r="D101" s="48">
        <v>0</v>
      </c>
      <c r="E101" s="48">
        <v>0</v>
      </c>
      <c r="F101" s="48">
        <v>0</v>
      </c>
      <c r="G101" s="48">
        <v>0</v>
      </c>
      <c r="H101" s="49">
        <v>-1.8331704373955149E-2</v>
      </c>
      <c r="I101" s="49">
        <v>0</v>
      </c>
      <c r="J101" s="49">
        <v>-1.8331704373955149E-2</v>
      </c>
    </row>
    <row r="102" spans="1:10" ht="11.25" customHeight="1" x14ac:dyDescent="0.2">
      <c r="A102" s="58">
        <v>44593</v>
      </c>
      <c r="B102" s="48">
        <v>291035.72000000003</v>
      </c>
      <c r="C102" s="48">
        <v>285700.53921869886</v>
      </c>
      <c r="D102" s="48">
        <v>0</v>
      </c>
      <c r="E102" s="48">
        <v>0</v>
      </c>
      <c r="F102" s="48">
        <v>0</v>
      </c>
      <c r="G102" s="48">
        <v>0</v>
      </c>
      <c r="H102" s="49">
        <v>-1.8331704373955038E-2</v>
      </c>
      <c r="I102" s="49">
        <v>0</v>
      </c>
      <c r="J102" s="49">
        <v>-1.8331704373955038E-2</v>
      </c>
    </row>
    <row r="103" spans="1:10" ht="11.25" customHeight="1" x14ac:dyDescent="0.2">
      <c r="A103" s="58">
        <v>44621</v>
      </c>
      <c r="B103" s="48">
        <v>287468.98</v>
      </c>
      <c r="C103" s="48">
        <v>282199.18364195758</v>
      </c>
      <c r="D103" s="48">
        <v>0</v>
      </c>
      <c r="E103" s="48">
        <v>0</v>
      </c>
      <c r="F103" s="48">
        <v>0</v>
      </c>
      <c r="G103" s="48">
        <v>0</v>
      </c>
      <c r="H103" s="49">
        <v>-1.8331704373955038E-2</v>
      </c>
      <c r="I103" s="49">
        <v>0</v>
      </c>
      <c r="J103" s="49">
        <v>-1.8331704373955038E-2</v>
      </c>
    </row>
    <row r="104" spans="1:10" ht="11.25" customHeight="1" x14ac:dyDescent="0.2">
      <c r="A104" s="58">
        <v>44652</v>
      </c>
      <c r="B104" s="48">
        <v>291446.28000000003</v>
      </c>
      <c r="C104" s="48">
        <v>286103.57295415114</v>
      </c>
      <c r="D104" s="48">
        <v>0</v>
      </c>
      <c r="E104" s="48">
        <v>0</v>
      </c>
      <c r="F104" s="48">
        <v>0</v>
      </c>
      <c r="G104" s="48">
        <v>0</v>
      </c>
      <c r="H104" s="49">
        <v>-1.8331704373954927E-2</v>
      </c>
      <c r="I104" s="49">
        <v>0</v>
      </c>
      <c r="J104" s="49">
        <v>-1.8331704373954927E-2</v>
      </c>
    </row>
    <row r="105" spans="1:10" ht="11.25" customHeight="1" x14ac:dyDescent="0.2">
      <c r="A105" s="58">
        <v>44682</v>
      </c>
      <c r="B105" s="48">
        <v>291651.56</v>
      </c>
      <c r="C105" s="48">
        <v>286305.08982187725</v>
      </c>
      <c r="D105" s="48">
        <v>0</v>
      </c>
      <c r="E105" s="48">
        <v>0</v>
      </c>
      <c r="F105" s="48">
        <v>0</v>
      </c>
      <c r="G105" s="48">
        <v>0</v>
      </c>
      <c r="H105" s="49">
        <v>-1.8331704373954816E-2</v>
      </c>
      <c r="I105" s="49">
        <v>0</v>
      </c>
      <c r="J105" s="49">
        <v>-1.8331704373954816E-2</v>
      </c>
    </row>
    <row r="106" spans="1:10" ht="11.25" customHeight="1" x14ac:dyDescent="0.2">
      <c r="A106" s="58">
        <v>44713</v>
      </c>
      <c r="B106" s="48">
        <v>290419.88</v>
      </c>
      <c r="C106" s="48">
        <v>285095.98861552053</v>
      </c>
      <c r="D106" s="48">
        <v>0</v>
      </c>
      <c r="E106" s="48">
        <v>0</v>
      </c>
      <c r="F106" s="48">
        <v>0</v>
      </c>
      <c r="G106" s="48">
        <v>0</v>
      </c>
      <c r="H106" s="49">
        <v>-1.8331704373954927E-2</v>
      </c>
      <c r="I106" s="49">
        <v>0</v>
      </c>
      <c r="J106" s="49">
        <v>-1.8331704373954927E-2</v>
      </c>
    </row>
    <row r="107" spans="1:10" ht="11.25" customHeight="1" x14ac:dyDescent="0.2">
      <c r="A107" s="58">
        <v>44743</v>
      </c>
      <c r="B107" s="48">
        <v>288315.76</v>
      </c>
      <c r="C107" s="48">
        <v>283030.44072132785</v>
      </c>
      <c r="D107" s="48">
        <v>0</v>
      </c>
      <c r="E107" s="48">
        <v>0</v>
      </c>
      <c r="F107" s="48">
        <v>0</v>
      </c>
      <c r="G107" s="48">
        <v>0</v>
      </c>
      <c r="H107" s="49">
        <v>-1.8331704373955038E-2</v>
      </c>
      <c r="I107" s="49">
        <v>0</v>
      </c>
      <c r="J107" s="49">
        <v>-1.8331704373955038E-2</v>
      </c>
    </row>
    <row r="108" spans="1:10" ht="11.25" customHeight="1" x14ac:dyDescent="0.2">
      <c r="A108" s="58">
        <v>44774</v>
      </c>
      <c r="B108" s="48">
        <v>290830.44</v>
      </c>
      <c r="C108" s="48">
        <v>285499.02235097275</v>
      </c>
      <c r="D108" s="48">
        <v>0</v>
      </c>
      <c r="E108" s="48">
        <v>0</v>
      </c>
      <c r="F108" s="48">
        <v>0</v>
      </c>
      <c r="G108" s="48">
        <v>0</v>
      </c>
      <c r="H108" s="49">
        <v>-1.8331704373954927E-2</v>
      </c>
      <c r="I108" s="49">
        <v>0</v>
      </c>
      <c r="J108" s="49">
        <v>-1.8331704373954927E-2</v>
      </c>
    </row>
    <row r="109" spans="1:10" ht="11.25" customHeight="1" x14ac:dyDescent="0.2">
      <c r="A109" s="57" t="s">
        <v>37</v>
      </c>
      <c r="B109" s="48">
        <v>0</v>
      </c>
      <c r="C109" s="48">
        <v>0</v>
      </c>
      <c r="D109" s="48">
        <v>1751023.4291199995</v>
      </c>
      <c r="E109" s="48">
        <v>1759351.0097519534</v>
      </c>
      <c r="F109" s="48">
        <v>128711.00564</v>
      </c>
      <c r="G109" s="48">
        <v>123689.21943920609</v>
      </c>
      <c r="H109" s="49">
        <v>4.7558362118198527E-3</v>
      </c>
      <c r="I109" s="49">
        <v>-3.9015981390430943E-2</v>
      </c>
      <c r="J109" s="49">
        <v>1.7586497166990345E-3</v>
      </c>
    </row>
    <row r="110" spans="1:10" ht="11.25" customHeight="1" x14ac:dyDescent="0.2">
      <c r="A110" s="58">
        <v>44440</v>
      </c>
      <c r="B110" s="48">
        <v>0</v>
      </c>
      <c r="C110" s="48">
        <v>0</v>
      </c>
      <c r="D110" s="48">
        <v>103266.46527999999</v>
      </c>
      <c r="E110" s="48">
        <v>103757.58367504523</v>
      </c>
      <c r="F110" s="48">
        <v>7590.7211599999991</v>
      </c>
      <c r="G110" s="48">
        <v>7294.5617244814894</v>
      </c>
      <c r="H110" s="49">
        <v>4.7558362118196307E-3</v>
      </c>
      <c r="I110" s="49">
        <v>-3.9015981390430832E-2</v>
      </c>
      <c r="J110" s="49">
        <v>1.7586497166988124E-3</v>
      </c>
    </row>
    <row r="111" spans="1:10" ht="11.25" customHeight="1" x14ac:dyDescent="0.2">
      <c r="A111" s="58">
        <v>44470</v>
      </c>
      <c r="B111" s="48">
        <v>0</v>
      </c>
      <c r="C111" s="48">
        <v>0</v>
      </c>
      <c r="D111" s="48">
        <v>112371.70943999999</v>
      </c>
      <c r="E111" s="48">
        <v>112906.13088493882</v>
      </c>
      <c r="F111" s="48">
        <v>8260.0126799999998</v>
      </c>
      <c r="G111" s="48">
        <v>7937.7401789923952</v>
      </c>
      <c r="H111" s="49">
        <v>4.7558362118196307E-3</v>
      </c>
      <c r="I111" s="49">
        <v>-3.9015981390431054E-2</v>
      </c>
      <c r="J111" s="49">
        <v>1.7586497166985904E-3</v>
      </c>
    </row>
    <row r="112" spans="1:10" ht="11.25" customHeight="1" x14ac:dyDescent="0.2">
      <c r="A112" s="58">
        <v>44501</v>
      </c>
      <c r="B112" s="48">
        <v>0</v>
      </c>
      <c r="C112" s="48">
        <v>0</v>
      </c>
      <c r="D112" s="48">
        <v>105611.98847999999</v>
      </c>
      <c r="E112" s="48">
        <v>106114.26179921546</v>
      </c>
      <c r="F112" s="48">
        <v>7763.1315599999998</v>
      </c>
      <c r="G112" s="48">
        <v>7460.2453635235725</v>
      </c>
      <c r="H112" s="49">
        <v>4.7558362118196307E-3</v>
      </c>
      <c r="I112" s="49">
        <v>-3.9015981390430943E-2</v>
      </c>
      <c r="J112" s="49">
        <v>1.7586497166988124E-3</v>
      </c>
    </row>
    <row r="113" spans="1:10" ht="11.25" customHeight="1" x14ac:dyDescent="0.2">
      <c r="A113" s="58">
        <v>44531</v>
      </c>
      <c r="B113" s="48">
        <v>0</v>
      </c>
      <c r="C113" s="48">
        <v>0</v>
      </c>
      <c r="D113" s="48">
        <v>123791.71583999999</v>
      </c>
      <c r="E113" s="48">
        <v>124380.44896491515</v>
      </c>
      <c r="F113" s="48">
        <v>9099.4534799999983</v>
      </c>
      <c r="G113" s="48">
        <v>8744.4293723612282</v>
      </c>
      <c r="H113" s="49">
        <v>4.7558362118196307E-3</v>
      </c>
      <c r="I113" s="49">
        <v>-3.9015981390430721E-2</v>
      </c>
      <c r="J113" s="49">
        <v>1.7586497166988124E-3</v>
      </c>
    </row>
    <row r="114" spans="1:10" ht="11.25" customHeight="1" x14ac:dyDescent="0.2">
      <c r="A114" s="58">
        <v>44562</v>
      </c>
      <c r="B114" s="48">
        <v>0</v>
      </c>
      <c r="C114" s="48">
        <v>0</v>
      </c>
      <c r="D114" s="48">
        <v>132472.07423999999</v>
      </c>
      <c r="E114" s="48">
        <v>133102.08972772546</v>
      </c>
      <c r="F114" s="48">
        <v>9737.5132799999992</v>
      </c>
      <c r="G114" s="48">
        <v>9357.5946430784461</v>
      </c>
      <c r="H114" s="49">
        <v>4.7558362118198527E-3</v>
      </c>
      <c r="I114" s="49">
        <v>-3.9015981390430832E-2</v>
      </c>
      <c r="J114" s="49">
        <v>1.7586497166988124E-3</v>
      </c>
    </row>
    <row r="115" spans="1:10" ht="11.25" customHeight="1" x14ac:dyDescent="0.2">
      <c r="A115" s="58">
        <v>44593</v>
      </c>
      <c r="B115" s="48">
        <v>0</v>
      </c>
      <c r="C115" s="48">
        <v>0</v>
      </c>
      <c r="D115" s="48">
        <v>99723.187199999986</v>
      </c>
      <c r="E115" s="48">
        <v>100197.45434484382</v>
      </c>
      <c r="F115" s="48">
        <v>7330.268399999999</v>
      </c>
      <c r="G115" s="48">
        <v>7044.2707845187351</v>
      </c>
      <c r="H115" s="49">
        <v>4.7558362118196307E-3</v>
      </c>
      <c r="I115" s="49">
        <v>-3.9015981390430943E-2</v>
      </c>
      <c r="J115" s="49">
        <v>1.7586497166988124E-3</v>
      </c>
    </row>
    <row r="116" spans="1:10" ht="11.25" customHeight="1" x14ac:dyDescent="0.2">
      <c r="A116" s="58">
        <v>44621</v>
      </c>
      <c r="B116" s="48">
        <v>0</v>
      </c>
      <c r="C116" s="48">
        <v>0</v>
      </c>
      <c r="D116" s="48">
        <v>116349.48608</v>
      </c>
      <c r="E116" s="48">
        <v>116902.82517912587</v>
      </c>
      <c r="F116" s="48">
        <v>8552.4037599999992</v>
      </c>
      <c r="G116" s="48">
        <v>8218.7233340563871</v>
      </c>
      <c r="H116" s="49">
        <v>4.7558362118196307E-3</v>
      </c>
      <c r="I116" s="49">
        <v>-3.9015981390431054E-2</v>
      </c>
      <c r="J116" s="49">
        <v>1.7586497166985904E-3</v>
      </c>
    </row>
    <row r="117" spans="1:10" ht="11.25" customHeight="1" x14ac:dyDescent="0.2">
      <c r="A117" s="58">
        <v>44652</v>
      </c>
      <c r="B117" s="48">
        <v>0</v>
      </c>
      <c r="C117" s="48">
        <v>0</v>
      </c>
      <c r="D117" s="48">
        <v>106898.18112000001</v>
      </c>
      <c r="E117" s="48">
        <v>107406.57136074814</v>
      </c>
      <c r="F117" s="48">
        <v>7857.6746400000002</v>
      </c>
      <c r="G117" s="48">
        <v>7551.0997524736977</v>
      </c>
      <c r="H117" s="49">
        <v>4.7558362118194086E-3</v>
      </c>
      <c r="I117" s="49">
        <v>-3.9015981390431165E-2</v>
      </c>
      <c r="J117" s="49">
        <v>1.7586497166988124E-3</v>
      </c>
    </row>
    <row r="118" spans="1:10" ht="11.25" customHeight="1" x14ac:dyDescent="0.2">
      <c r="A118" s="58">
        <v>44682</v>
      </c>
      <c r="B118" s="48">
        <v>0</v>
      </c>
      <c r="C118" s="48">
        <v>0</v>
      </c>
      <c r="D118" s="48">
        <v>175100.99711999996</v>
      </c>
      <c r="E118" s="48">
        <v>175933.748782829</v>
      </c>
      <c r="F118" s="48">
        <v>12871.001639999999</v>
      </c>
      <c r="G118" s="48">
        <v>12368.826879537552</v>
      </c>
      <c r="H118" s="49">
        <v>4.7558362118198527E-3</v>
      </c>
      <c r="I118" s="49">
        <v>-3.9015981390431054E-2</v>
      </c>
      <c r="J118" s="49">
        <v>1.7586497166988124E-3</v>
      </c>
    </row>
    <row r="119" spans="1:10" ht="11.25" customHeight="1" x14ac:dyDescent="0.2">
      <c r="A119" s="58">
        <v>44713</v>
      </c>
      <c r="B119" s="48">
        <v>0</v>
      </c>
      <c r="C119" s="48">
        <v>0</v>
      </c>
      <c r="D119" s="48">
        <v>190220.00895999998</v>
      </c>
      <c r="E119" s="48">
        <v>191124.6641668246</v>
      </c>
      <c r="F119" s="48">
        <v>13982.342119999999</v>
      </c>
      <c r="G119" s="48">
        <v>13436.807320051439</v>
      </c>
      <c r="H119" s="49">
        <v>4.7558362118196307E-3</v>
      </c>
      <c r="I119" s="49">
        <v>-3.9015981390431054E-2</v>
      </c>
      <c r="J119" s="49">
        <v>1.7586497166988124E-3</v>
      </c>
    </row>
    <row r="120" spans="1:10" ht="11.25" customHeight="1" x14ac:dyDescent="0.2">
      <c r="A120" s="58">
        <v>44743</v>
      </c>
      <c r="B120" s="48">
        <v>0</v>
      </c>
      <c r="C120" s="48">
        <v>0</v>
      </c>
      <c r="D120" s="48">
        <v>234071.67999999999</v>
      </c>
      <c r="E120" s="48">
        <v>235184.88657190543</v>
      </c>
      <c r="F120" s="48">
        <v>17205.71</v>
      </c>
      <c r="G120" s="48">
        <v>16534.412338830847</v>
      </c>
      <c r="H120" s="49">
        <v>4.7558362118196307E-3</v>
      </c>
      <c r="I120" s="49">
        <v>-3.9015981390430943E-2</v>
      </c>
      <c r="J120" s="49">
        <v>1.7586497166988124E-3</v>
      </c>
    </row>
    <row r="121" spans="1:10" ht="11.25" customHeight="1" x14ac:dyDescent="0.2">
      <c r="A121" s="58">
        <v>44774</v>
      </c>
      <c r="B121" s="48">
        <v>0</v>
      </c>
      <c r="C121" s="48">
        <v>0</v>
      </c>
      <c r="D121" s="48">
        <v>251145.93536000003</v>
      </c>
      <c r="E121" s="48">
        <v>252340.34429383642</v>
      </c>
      <c r="F121" s="48">
        <v>18460.772919999999</v>
      </c>
      <c r="G121" s="48">
        <v>17740.507747300311</v>
      </c>
      <c r="H121" s="49">
        <v>4.7558362118196307E-3</v>
      </c>
      <c r="I121" s="49">
        <v>-3.9015981390430721E-2</v>
      </c>
      <c r="J121" s="49">
        <v>1.7586497166985904E-3</v>
      </c>
    </row>
    <row r="122" spans="1:10" ht="11.25" customHeight="1" x14ac:dyDescent="0.2">
      <c r="A122" s="53" t="s">
        <v>41</v>
      </c>
      <c r="B122" s="48">
        <v>100603.62240000001</v>
      </c>
      <c r="C122" s="48">
        <v>98759.386535214202</v>
      </c>
      <c r="D122" s="48">
        <v>117908.2096704</v>
      </c>
      <c r="E122" s="48">
        <v>137634.79087611692</v>
      </c>
      <c r="F122" s="48">
        <v>87172.009689600018</v>
      </c>
      <c r="G122" s="48">
        <v>83770.908181784107</v>
      </c>
      <c r="H122" s="49">
        <v>8.1836965858991695E-2</v>
      </c>
      <c r="I122" s="49">
        <v>-3.9015981390431054E-2</v>
      </c>
      <c r="J122" s="49">
        <v>4.7373272168192537E-2</v>
      </c>
    </row>
    <row r="123" spans="1:10" ht="11.25" customHeight="1" x14ac:dyDescent="0.2">
      <c r="A123" s="54" t="s">
        <v>25</v>
      </c>
      <c r="B123" s="48">
        <v>100603.62240000001</v>
      </c>
      <c r="C123" s="48">
        <v>98759.386535214202</v>
      </c>
      <c r="D123" s="48">
        <v>117908.2096704</v>
      </c>
      <c r="E123" s="48">
        <v>137634.79087611692</v>
      </c>
      <c r="F123" s="48">
        <v>87172.009689600018</v>
      </c>
      <c r="G123" s="48">
        <v>83770.908181784107</v>
      </c>
      <c r="H123" s="49">
        <v>8.1836965858991695E-2</v>
      </c>
      <c r="I123" s="49">
        <v>-3.9015981390431054E-2</v>
      </c>
      <c r="J123" s="49">
        <v>4.7373272168192537E-2</v>
      </c>
    </row>
    <row r="124" spans="1:10" ht="11.25" customHeight="1" x14ac:dyDescent="0.2">
      <c r="A124" s="55" t="s">
        <v>25</v>
      </c>
      <c r="B124" s="48">
        <v>100603.62240000001</v>
      </c>
      <c r="C124" s="48">
        <v>98759.386535214202</v>
      </c>
      <c r="D124" s="48">
        <v>117908.2096704</v>
      </c>
      <c r="E124" s="48">
        <v>137634.79087611692</v>
      </c>
      <c r="F124" s="48">
        <v>87172.009689600018</v>
      </c>
      <c r="G124" s="48">
        <v>83770.908181784107</v>
      </c>
      <c r="H124" s="49">
        <v>8.1836965858991695E-2</v>
      </c>
      <c r="I124" s="49">
        <v>-3.9015981390431054E-2</v>
      </c>
      <c r="J124" s="49">
        <v>4.7373272168192537E-2</v>
      </c>
    </row>
    <row r="125" spans="1:10" ht="11.25" customHeight="1" x14ac:dyDescent="0.2">
      <c r="A125" s="56" t="s">
        <v>25</v>
      </c>
      <c r="B125" s="48">
        <v>100603.62240000001</v>
      </c>
      <c r="C125" s="48">
        <v>98759.386535214202</v>
      </c>
      <c r="D125" s="48">
        <v>117908.2096704</v>
      </c>
      <c r="E125" s="48">
        <v>137634.79087611692</v>
      </c>
      <c r="F125" s="48">
        <v>87172.009689600018</v>
      </c>
      <c r="G125" s="48">
        <v>83770.908181784107</v>
      </c>
      <c r="H125" s="49">
        <v>8.1836965858991695E-2</v>
      </c>
      <c r="I125" s="49">
        <v>-3.9015981390431054E-2</v>
      </c>
      <c r="J125" s="49">
        <v>4.7373272168192537E-2</v>
      </c>
    </row>
    <row r="126" spans="1:10" ht="11.25" customHeight="1" x14ac:dyDescent="0.2">
      <c r="A126" s="57" t="s">
        <v>38</v>
      </c>
      <c r="B126" s="48">
        <v>0</v>
      </c>
      <c r="C126" s="48">
        <v>0</v>
      </c>
      <c r="D126" s="48">
        <v>38098.283731199997</v>
      </c>
      <c r="E126" s="48">
        <v>57445.30200107261</v>
      </c>
      <c r="F126" s="48">
        <v>81305.4886272</v>
      </c>
      <c r="G126" s="48">
        <v>78133.275195981274</v>
      </c>
      <c r="H126" s="49">
        <v>0.50781863052872067</v>
      </c>
      <c r="I126" s="49">
        <v>-3.9015981390431054E-2</v>
      </c>
      <c r="J126" s="49">
        <v>0.13546309734757722</v>
      </c>
    </row>
    <row r="127" spans="1:10" ht="11.25" customHeight="1" x14ac:dyDescent="0.2">
      <c r="A127" s="58">
        <v>44440</v>
      </c>
      <c r="B127" s="48">
        <v>0</v>
      </c>
      <c r="C127" s="48">
        <v>0</v>
      </c>
      <c r="D127" s="48">
        <v>3885.5988863999992</v>
      </c>
      <c r="E127" s="48">
        <v>5858.7783916755689</v>
      </c>
      <c r="F127" s="48">
        <v>8292.2505983999981</v>
      </c>
      <c r="G127" s="48">
        <v>7968.7203033680344</v>
      </c>
      <c r="H127" s="49">
        <v>0.50781863052872067</v>
      </c>
      <c r="I127" s="49">
        <v>-3.9015981390430943E-2</v>
      </c>
      <c r="J127" s="49">
        <v>0.13546309734757722</v>
      </c>
    </row>
    <row r="128" spans="1:10" ht="11.25" customHeight="1" x14ac:dyDescent="0.2">
      <c r="A128" s="58">
        <v>44470</v>
      </c>
      <c r="B128" s="48">
        <v>0</v>
      </c>
      <c r="C128" s="48">
        <v>0</v>
      </c>
      <c r="D128" s="48">
        <v>2860.6404287999999</v>
      </c>
      <c r="E128" s="48">
        <v>4313.3269337883075</v>
      </c>
      <c r="F128" s="48">
        <v>6104.8883327999993</v>
      </c>
      <c r="G128" s="48">
        <v>5866.7001232168159</v>
      </c>
      <c r="H128" s="49">
        <v>0.50781863052872045</v>
      </c>
      <c r="I128" s="49">
        <v>-3.9015981390430832E-2</v>
      </c>
      <c r="J128" s="49">
        <v>0.13546309734757722</v>
      </c>
    </row>
    <row r="129" spans="1:10" ht="11.25" customHeight="1" x14ac:dyDescent="0.2">
      <c r="A129" s="58">
        <v>44501</v>
      </c>
      <c r="B129" s="48">
        <v>0</v>
      </c>
      <c r="C129" s="48">
        <v>0</v>
      </c>
      <c r="D129" s="48">
        <v>3609.3184511999998</v>
      </c>
      <c r="E129" s="48">
        <v>5442.1976042304268</v>
      </c>
      <c r="F129" s="48">
        <v>7702.6409471999996</v>
      </c>
      <c r="G129" s="48">
        <v>7402.1148513468725</v>
      </c>
      <c r="H129" s="49">
        <v>0.50781863052872067</v>
      </c>
      <c r="I129" s="49">
        <v>-3.9015981390431054E-2</v>
      </c>
      <c r="J129" s="49">
        <v>0.13546309734757722</v>
      </c>
    </row>
    <row r="130" spans="1:10" ht="11.25" customHeight="1" x14ac:dyDescent="0.2">
      <c r="A130" s="58">
        <v>44531</v>
      </c>
      <c r="B130" s="48">
        <v>0</v>
      </c>
      <c r="C130" s="48">
        <v>0</v>
      </c>
      <c r="D130" s="48">
        <v>2733.1166016000002</v>
      </c>
      <c r="E130" s="48">
        <v>4121.0441312998228</v>
      </c>
      <c r="F130" s="48">
        <v>5832.7399296000003</v>
      </c>
      <c r="G130" s="48">
        <v>5605.1698570515027</v>
      </c>
      <c r="H130" s="49">
        <v>0.50781863052872045</v>
      </c>
      <c r="I130" s="49">
        <v>-3.9015981390431054E-2</v>
      </c>
      <c r="J130" s="49">
        <v>0.13546309734757722</v>
      </c>
    </row>
    <row r="131" spans="1:10" ht="11.25" customHeight="1" x14ac:dyDescent="0.2">
      <c r="A131" s="58">
        <v>44562</v>
      </c>
      <c r="B131" s="48">
        <v>0</v>
      </c>
      <c r="C131" s="48">
        <v>0</v>
      </c>
      <c r="D131" s="48">
        <v>3931.560864</v>
      </c>
      <c r="E131" s="48">
        <v>5928.0807177967936</v>
      </c>
      <c r="F131" s="48">
        <v>8390.3379839999998</v>
      </c>
      <c r="G131" s="48">
        <v>8062.9807133568302</v>
      </c>
      <c r="H131" s="49">
        <v>0.50781863052872067</v>
      </c>
      <c r="I131" s="49">
        <v>-3.9015981390430943E-2</v>
      </c>
      <c r="J131" s="49">
        <v>0.135463097347577</v>
      </c>
    </row>
    <row r="132" spans="1:10" ht="11.25" customHeight="1" x14ac:dyDescent="0.2">
      <c r="A132" s="58">
        <v>44593</v>
      </c>
      <c r="B132" s="48">
        <v>0</v>
      </c>
      <c r="C132" s="48">
        <v>0</v>
      </c>
      <c r="D132" s="48">
        <v>3396.0370751999999</v>
      </c>
      <c r="E132" s="48">
        <v>5120.6079719528261</v>
      </c>
      <c r="F132" s="48">
        <v>7247.4774911999993</v>
      </c>
      <c r="G132" s="48">
        <v>6964.7100442757728</v>
      </c>
      <c r="H132" s="49">
        <v>0.50781863052872067</v>
      </c>
      <c r="I132" s="49">
        <v>-3.9015981390430943E-2</v>
      </c>
      <c r="J132" s="49">
        <v>0.13546309734757722</v>
      </c>
    </row>
    <row r="133" spans="1:10" ht="11.25" customHeight="1" x14ac:dyDescent="0.2">
      <c r="A133" s="58">
        <v>44621</v>
      </c>
      <c r="B133" s="48">
        <v>0</v>
      </c>
      <c r="C133" s="48">
        <v>0</v>
      </c>
      <c r="D133" s="48">
        <v>4221.5726783999999</v>
      </c>
      <c r="E133" s="48">
        <v>6365.3659346225504</v>
      </c>
      <c r="F133" s="48">
        <v>9009.2517503999989</v>
      </c>
      <c r="G133" s="48">
        <v>8657.7469517646859</v>
      </c>
      <c r="H133" s="49">
        <v>0.50781863052872045</v>
      </c>
      <c r="I133" s="49">
        <v>-3.9015981390430832E-2</v>
      </c>
      <c r="J133" s="49">
        <v>0.13546309734757722</v>
      </c>
    </row>
    <row r="134" spans="1:10" ht="11.25" customHeight="1" x14ac:dyDescent="0.2">
      <c r="A134" s="58">
        <v>44652</v>
      </c>
      <c r="B134" s="48">
        <v>0</v>
      </c>
      <c r="C134" s="48">
        <v>0</v>
      </c>
      <c r="D134" s="48">
        <v>3620.8248384000003</v>
      </c>
      <c r="E134" s="48">
        <v>5459.5471492206643</v>
      </c>
      <c r="F134" s="48">
        <v>7727.1967103999996</v>
      </c>
      <c r="G134" s="48">
        <v>7425.7125473468341</v>
      </c>
      <c r="H134" s="49">
        <v>0.50781863052872045</v>
      </c>
      <c r="I134" s="49">
        <v>-3.9015981390430943E-2</v>
      </c>
      <c r="J134" s="49">
        <v>0.13546309734757722</v>
      </c>
    </row>
    <row r="135" spans="1:10" ht="11.25" customHeight="1" x14ac:dyDescent="0.2">
      <c r="A135" s="58">
        <v>44682</v>
      </c>
      <c r="B135" s="48">
        <v>0</v>
      </c>
      <c r="C135" s="48">
        <v>0</v>
      </c>
      <c r="D135" s="48">
        <v>2882.2546368000003</v>
      </c>
      <c r="E135" s="48">
        <v>4345.9172392948312</v>
      </c>
      <c r="F135" s="48">
        <v>6151.015180800001</v>
      </c>
      <c r="G135" s="48">
        <v>5911.0272869736491</v>
      </c>
      <c r="H135" s="49">
        <v>0.50781863052872045</v>
      </c>
      <c r="I135" s="49">
        <v>-3.9015981390431054E-2</v>
      </c>
      <c r="J135" s="49">
        <v>0.135463097347577</v>
      </c>
    </row>
    <row r="136" spans="1:10" ht="11.25" customHeight="1" x14ac:dyDescent="0.2">
      <c r="A136" s="58">
        <v>44713</v>
      </c>
      <c r="B136" s="48">
        <v>0</v>
      </c>
      <c r="C136" s="48">
        <v>0</v>
      </c>
      <c r="D136" s="48">
        <v>2367.6457728</v>
      </c>
      <c r="E136" s="48">
        <v>3569.9804067204104</v>
      </c>
      <c r="F136" s="48">
        <v>5052.7891967999994</v>
      </c>
      <c r="G136" s="48">
        <v>4855.6496675278804</v>
      </c>
      <c r="H136" s="49">
        <v>0.50781863052872067</v>
      </c>
      <c r="I136" s="49">
        <v>-3.9015981390430943E-2</v>
      </c>
      <c r="J136" s="49">
        <v>0.13546309734757744</v>
      </c>
    </row>
    <row r="137" spans="1:10" ht="11.25" customHeight="1" x14ac:dyDescent="0.2">
      <c r="A137" s="58">
        <v>44743</v>
      </c>
      <c r="B137" s="48">
        <v>0</v>
      </c>
      <c r="C137" s="48">
        <v>0</v>
      </c>
      <c r="D137" s="48">
        <v>55.434086399999998</v>
      </c>
      <c r="E137" s="48">
        <v>83.584548240258769</v>
      </c>
      <c r="F137" s="48">
        <v>118.3017984</v>
      </c>
      <c r="G137" s="48">
        <v>113.68613763517108</v>
      </c>
      <c r="H137" s="49">
        <v>0.50781863052872045</v>
      </c>
      <c r="I137" s="49">
        <v>-3.9015981390430943E-2</v>
      </c>
      <c r="J137" s="49">
        <v>0.135463097347577</v>
      </c>
    </row>
    <row r="138" spans="1:10" ht="11.25" customHeight="1" x14ac:dyDescent="0.2">
      <c r="A138" s="58">
        <v>44774</v>
      </c>
      <c r="B138" s="48">
        <v>0</v>
      </c>
      <c r="C138" s="48">
        <v>0</v>
      </c>
      <c r="D138" s="48">
        <v>4534.2794112000001</v>
      </c>
      <c r="E138" s="48">
        <v>6836.8709722301573</v>
      </c>
      <c r="F138" s="48">
        <v>9676.5987072000007</v>
      </c>
      <c r="G138" s="48">
        <v>9299.0567121172153</v>
      </c>
      <c r="H138" s="49">
        <v>0.50781863052872045</v>
      </c>
      <c r="I138" s="49">
        <v>-3.9015981390431165E-2</v>
      </c>
      <c r="J138" s="49">
        <v>0.13546309734757722</v>
      </c>
    </row>
    <row r="139" spans="1:10" ht="11.25" customHeight="1" x14ac:dyDescent="0.2">
      <c r="A139" s="57" t="s">
        <v>25</v>
      </c>
      <c r="B139" s="48">
        <v>100603.62240000001</v>
      </c>
      <c r="C139" s="48">
        <v>98759.386535214202</v>
      </c>
      <c r="D139" s="48">
        <v>0</v>
      </c>
      <c r="E139" s="48">
        <v>0</v>
      </c>
      <c r="F139" s="48">
        <v>0</v>
      </c>
      <c r="G139" s="48">
        <v>0</v>
      </c>
      <c r="H139" s="49">
        <v>-1.8331704373955371E-2</v>
      </c>
      <c r="I139" s="49">
        <v>0</v>
      </c>
      <c r="J139" s="49">
        <v>-1.8331704373955371E-2</v>
      </c>
    </row>
    <row r="140" spans="1:10" ht="11.25" customHeight="1" x14ac:dyDescent="0.2">
      <c r="A140" s="58">
        <v>44440</v>
      </c>
      <c r="B140" s="48">
        <v>8720.2944000000007</v>
      </c>
      <c r="C140" s="48">
        <v>8560.4365410053451</v>
      </c>
      <c r="D140" s="48">
        <v>0</v>
      </c>
      <c r="E140" s="48">
        <v>0</v>
      </c>
      <c r="F140" s="48">
        <v>0</v>
      </c>
      <c r="G140" s="48">
        <v>0</v>
      </c>
      <c r="H140" s="49">
        <v>-1.8331704373955038E-2</v>
      </c>
      <c r="I140" s="49">
        <v>0</v>
      </c>
      <c r="J140" s="49">
        <v>-1.8331704373955038E-2</v>
      </c>
    </row>
    <row r="141" spans="1:10" ht="11.25" customHeight="1" x14ac:dyDescent="0.2">
      <c r="A141" s="58">
        <v>44470</v>
      </c>
      <c r="B141" s="48">
        <v>8473.9583999999995</v>
      </c>
      <c r="C141" s="48">
        <v>8318.616299734007</v>
      </c>
      <c r="D141" s="48">
        <v>0</v>
      </c>
      <c r="E141" s="48">
        <v>0</v>
      </c>
      <c r="F141" s="48">
        <v>0</v>
      </c>
      <c r="G141" s="48">
        <v>0</v>
      </c>
      <c r="H141" s="49">
        <v>-1.8331704373954927E-2</v>
      </c>
      <c r="I141" s="49">
        <v>0</v>
      </c>
      <c r="J141" s="49">
        <v>-1.8331704373954927E-2</v>
      </c>
    </row>
    <row r="142" spans="1:10" ht="11.25" customHeight="1" x14ac:dyDescent="0.2">
      <c r="A142" s="58">
        <v>44501</v>
      </c>
      <c r="B142" s="48">
        <v>8597.126400000001</v>
      </c>
      <c r="C142" s="48">
        <v>8439.5264203696752</v>
      </c>
      <c r="D142" s="48">
        <v>0</v>
      </c>
      <c r="E142" s="48">
        <v>0</v>
      </c>
      <c r="F142" s="48">
        <v>0</v>
      </c>
      <c r="G142" s="48">
        <v>0</v>
      </c>
      <c r="H142" s="49">
        <v>-1.833170437395526E-2</v>
      </c>
      <c r="I142" s="49">
        <v>0</v>
      </c>
      <c r="J142" s="49">
        <v>-1.833170437395526E-2</v>
      </c>
    </row>
    <row r="143" spans="1:10" ht="11.25" customHeight="1" x14ac:dyDescent="0.2">
      <c r="A143" s="58">
        <v>44531</v>
      </c>
      <c r="B143" s="48">
        <v>9089.7983999999997</v>
      </c>
      <c r="C143" s="48">
        <v>8923.1669029123514</v>
      </c>
      <c r="D143" s="48">
        <v>0</v>
      </c>
      <c r="E143" s="48">
        <v>0</v>
      </c>
      <c r="F143" s="48">
        <v>0</v>
      </c>
      <c r="G143" s="48">
        <v>0</v>
      </c>
      <c r="H143" s="49">
        <v>-1.8331704373954927E-2</v>
      </c>
      <c r="I143" s="49">
        <v>0</v>
      </c>
      <c r="J143" s="49">
        <v>-1.8331704373954927E-2</v>
      </c>
    </row>
    <row r="144" spans="1:10" ht="11.25" customHeight="1" x14ac:dyDescent="0.2">
      <c r="A144" s="58">
        <v>44562</v>
      </c>
      <c r="B144" s="48">
        <v>8498.5920000000006</v>
      </c>
      <c r="C144" s="48">
        <v>8342.7983238611414</v>
      </c>
      <c r="D144" s="48">
        <v>0</v>
      </c>
      <c r="E144" s="48">
        <v>0</v>
      </c>
      <c r="F144" s="48">
        <v>0</v>
      </c>
      <c r="G144" s="48">
        <v>0</v>
      </c>
      <c r="H144" s="49">
        <v>-1.8331704373955038E-2</v>
      </c>
      <c r="I144" s="49">
        <v>0</v>
      </c>
      <c r="J144" s="49">
        <v>-1.8331704373955038E-2</v>
      </c>
    </row>
    <row r="145" spans="1:10" ht="11.25" customHeight="1" x14ac:dyDescent="0.2">
      <c r="A145" s="58">
        <v>44593</v>
      </c>
      <c r="B145" s="48">
        <v>8843.4624000000003</v>
      </c>
      <c r="C145" s="48">
        <v>8681.3466616410133</v>
      </c>
      <c r="D145" s="48">
        <v>0</v>
      </c>
      <c r="E145" s="48">
        <v>0</v>
      </c>
      <c r="F145" s="48">
        <v>0</v>
      </c>
      <c r="G145" s="48">
        <v>0</v>
      </c>
      <c r="H145" s="49">
        <v>-1.8331704373955038E-2</v>
      </c>
      <c r="I145" s="49">
        <v>0</v>
      </c>
      <c r="J145" s="49">
        <v>-1.8331704373955038E-2</v>
      </c>
    </row>
    <row r="146" spans="1:10" ht="11.25" customHeight="1" x14ac:dyDescent="0.2">
      <c r="A146" s="58">
        <v>44621</v>
      </c>
      <c r="B146" s="48">
        <v>9483.9359999999997</v>
      </c>
      <c r="C146" s="48">
        <v>9310.0792889464901</v>
      </c>
      <c r="D146" s="48">
        <v>0</v>
      </c>
      <c r="E146" s="48">
        <v>0</v>
      </c>
      <c r="F146" s="48">
        <v>0</v>
      </c>
      <c r="G146" s="48">
        <v>0</v>
      </c>
      <c r="H146" s="49">
        <v>-1.8331704373955038E-2</v>
      </c>
      <c r="I146" s="49">
        <v>0</v>
      </c>
      <c r="J146" s="49">
        <v>-1.8331704373955038E-2</v>
      </c>
    </row>
    <row r="147" spans="1:10" ht="11.25" customHeight="1" x14ac:dyDescent="0.2">
      <c r="A147" s="58">
        <v>44652</v>
      </c>
      <c r="B147" s="48">
        <v>8868.0960000000014</v>
      </c>
      <c r="C147" s="48">
        <v>8705.5286857681476</v>
      </c>
      <c r="D147" s="48">
        <v>0</v>
      </c>
      <c r="E147" s="48">
        <v>0</v>
      </c>
      <c r="F147" s="48">
        <v>0</v>
      </c>
      <c r="G147" s="48">
        <v>0</v>
      </c>
      <c r="H147" s="49">
        <v>-1.8331704373955149E-2</v>
      </c>
      <c r="I147" s="49">
        <v>0</v>
      </c>
      <c r="J147" s="49">
        <v>-1.8331704373955149E-2</v>
      </c>
    </row>
    <row r="148" spans="1:10" ht="11.25" customHeight="1" x14ac:dyDescent="0.2">
      <c r="A148" s="58">
        <v>44682</v>
      </c>
      <c r="B148" s="48">
        <v>8375.4239999999991</v>
      </c>
      <c r="C148" s="48">
        <v>8221.8882032254733</v>
      </c>
      <c r="D148" s="48">
        <v>0</v>
      </c>
      <c r="E148" s="48">
        <v>0</v>
      </c>
      <c r="F148" s="48">
        <v>0</v>
      </c>
      <c r="G148" s="48">
        <v>0</v>
      </c>
      <c r="H148" s="49">
        <v>-1.8331704373954816E-2</v>
      </c>
      <c r="I148" s="49">
        <v>0</v>
      </c>
      <c r="J148" s="49">
        <v>-1.8331704373954816E-2</v>
      </c>
    </row>
    <row r="149" spans="1:10" ht="11.25" customHeight="1" x14ac:dyDescent="0.2">
      <c r="A149" s="58">
        <v>44713</v>
      </c>
      <c r="B149" s="48">
        <v>8597.126400000001</v>
      </c>
      <c r="C149" s="48">
        <v>8439.5264203696752</v>
      </c>
      <c r="D149" s="48">
        <v>0</v>
      </c>
      <c r="E149" s="48">
        <v>0</v>
      </c>
      <c r="F149" s="48">
        <v>0</v>
      </c>
      <c r="G149" s="48">
        <v>0</v>
      </c>
      <c r="H149" s="49">
        <v>-1.833170437395526E-2</v>
      </c>
      <c r="I149" s="49">
        <v>0</v>
      </c>
      <c r="J149" s="49">
        <v>-1.833170437395526E-2</v>
      </c>
    </row>
    <row r="150" spans="1:10" ht="11.25" customHeight="1" x14ac:dyDescent="0.2">
      <c r="A150" s="58">
        <v>44743</v>
      </c>
      <c r="B150" s="48">
        <v>4680.384</v>
      </c>
      <c r="C150" s="48">
        <v>4594.584584155411</v>
      </c>
      <c r="D150" s="48">
        <v>0</v>
      </c>
      <c r="E150" s="48">
        <v>0</v>
      </c>
      <c r="F150" s="48">
        <v>0</v>
      </c>
      <c r="G150" s="48">
        <v>0</v>
      </c>
      <c r="H150" s="49">
        <v>-1.8331704373955038E-2</v>
      </c>
      <c r="I150" s="49">
        <v>0</v>
      </c>
      <c r="J150" s="49">
        <v>-1.8331704373955038E-2</v>
      </c>
    </row>
    <row r="151" spans="1:10" ht="11.25" customHeight="1" x14ac:dyDescent="0.2">
      <c r="A151" s="58">
        <v>44774</v>
      </c>
      <c r="B151" s="48">
        <v>8375.4239999999991</v>
      </c>
      <c r="C151" s="48">
        <v>8221.8882032254733</v>
      </c>
      <c r="D151" s="48">
        <v>0</v>
      </c>
      <c r="E151" s="48">
        <v>0</v>
      </c>
      <c r="F151" s="48">
        <v>0</v>
      </c>
      <c r="G151" s="48">
        <v>0</v>
      </c>
      <c r="H151" s="49">
        <v>-1.8331704373954816E-2</v>
      </c>
      <c r="I151" s="49">
        <v>0</v>
      </c>
      <c r="J151" s="49">
        <v>-1.8331704373954816E-2</v>
      </c>
    </row>
    <row r="152" spans="1:10" ht="11.25" customHeight="1" x14ac:dyDescent="0.2">
      <c r="A152" s="57" t="s">
        <v>37</v>
      </c>
      <c r="B152" s="48">
        <v>0</v>
      </c>
      <c r="C152" s="48">
        <v>0</v>
      </c>
      <c r="D152" s="48">
        <v>79809.925939200009</v>
      </c>
      <c r="E152" s="48">
        <v>80189.488875044291</v>
      </c>
      <c r="F152" s="48">
        <v>5866.521062400001</v>
      </c>
      <c r="G152" s="48">
        <v>5637.6329858028303</v>
      </c>
      <c r="H152" s="49">
        <v>4.7558362118196307E-3</v>
      </c>
      <c r="I152" s="49">
        <v>-3.9015981390431165E-2</v>
      </c>
      <c r="J152" s="49">
        <v>1.7586497166985904E-3</v>
      </c>
    </row>
    <row r="153" spans="1:10" ht="11.25" customHeight="1" x14ac:dyDescent="0.2">
      <c r="A153" s="58">
        <v>44440</v>
      </c>
      <c r="B153" s="48">
        <v>0</v>
      </c>
      <c r="C153" s="48">
        <v>0</v>
      </c>
      <c r="D153" s="48">
        <v>8445.7291775999984</v>
      </c>
      <c r="E153" s="48">
        <v>8485.8956822580512</v>
      </c>
      <c r="F153" s="48">
        <v>620.81310719999988</v>
      </c>
      <c r="G153" s="48">
        <v>596.59147456254914</v>
      </c>
      <c r="H153" s="49">
        <v>4.7558362118198527E-3</v>
      </c>
      <c r="I153" s="49">
        <v>-3.9015981390430832E-2</v>
      </c>
      <c r="J153" s="49">
        <v>1.7586497166988124E-3</v>
      </c>
    </row>
    <row r="154" spans="1:10" ht="11.25" customHeight="1" x14ac:dyDescent="0.2">
      <c r="A154" s="58">
        <v>44470</v>
      </c>
      <c r="B154" s="48">
        <v>0</v>
      </c>
      <c r="C154" s="48">
        <v>0</v>
      </c>
      <c r="D154" s="48">
        <v>5605.2621312000001</v>
      </c>
      <c r="E154" s="48">
        <v>5631.9198398203025</v>
      </c>
      <c r="F154" s="48">
        <v>412.02128640000001</v>
      </c>
      <c r="G154" s="48">
        <v>395.94587155735616</v>
      </c>
      <c r="H154" s="49">
        <v>4.7558362118196307E-3</v>
      </c>
      <c r="I154" s="49">
        <v>-3.9015981390431054E-2</v>
      </c>
      <c r="J154" s="49">
        <v>1.7586497166988124E-3</v>
      </c>
    </row>
    <row r="155" spans="1:10" ht="11.25" customHeight="1" x14ac:dyDescent="0.2">
      <c r="A155" s="58">
        <v>44501</v>
      </c>
      <c r="B155" s="48">
        <v>0</v>
      </c>
      <c r="C155" s="48">
        <v>0</v>
      </c>
      <c r="D155" s="48">
        <v>8159.6522495999998</v>
      </c>
      <c r="E155" s="48">
        <v>8198.4582192445032</v>
      </c>
      <c r="F155" s="48">
        <v>599.7846912</v>
      </c>
      <c r="G155" s="48">
        <v>576.38350284987541</v>
      </c>
      <c r="H155" s="49">
        <v>4.7558362118196307E-3</v>
      </c>
      <c r="I155" s="49">
        <v>-3.9015981390430943E-2</v>
      </c>
      <c r="J155" s="49">
        <v>1.7586497166988124E-3</v>
      </c>
    </row>
    <row r="156" spans="1:10" ht="11.25" customHeight="1" x14ac:dyDescent="0.2">
      <c r="A156" s="58">
        <v>44531</v>
      </c>
      <c r="B156" s="48">
        <v>0</v>
      </c>
      <c r="C156" s="48">
        <v>0</v>
      </c>
      <c r="D156" s="48">
        <v>5684.625407999999</v>
      </c>
      <c r="E156" s="48">
        <v>5711.6605553659956</v>
      </c>
      <c r="F156" s="48">
        <v>417.85497599999997</v>
      </c>
      <c r="G156" s="48">
        <v>401.55195403248496</v>
      </c>
      <c r="H156" s="49">
        <v>4.7558362118196307E-3</v>
      </c>
      <c r="I156" s="49">
        <v>-3.9015981390431054E-2</v>
      </c>
      <c r="J156" s="49">
        <v>1.7586497166988124E-3</v>
      </c>
    </row>
    <row r="157" spans="1:10" ht="11.25" customHeight="1" x14ac:dyDescent="0.2">
      <c r="A157" s="58">
        <v>44562</v>
      </c>
      <c r="B157" s="48">
        <v>0</v>
      </c>
      <c r="C157" s="48">
        <v>0</v>
      </c>
      <c r="D157" s="48">
        <v>8742.8800511999998</v>
      </c>
      <c r="E157" s="48">
        <v>8784.4597567430919</v>
      </c>
      <c r="F157" s="48">
        <v>642.65552639999987</v>
      </c>
      <c r="G157" s="48">
        <v>617.58169034152002</v>
      </c>
      <c r="H157" s="49">
        <v>4.7558362118196307E-3</v>
      </c>
      <c r="I157" s="49">
        <v>-3.9015981390430721E-2</v>
      </c>
      <c r="J157" s="49">
        <v>1.7586497166988124E-3</v>
      </c>
    </row>
    <row r="158" spans="1:10" ht="11.25" customHeight="1" x14ac:dyDescent="0.2">
      <c r="A158" s="58">
        <v>44593</v>
      </c>
      <c r="B158" s="48">
        <v>0</v>
      </c>
      <c r="C158" s="48">
        <v>0</v>
      </c>
      <c r="D158" s="48">
        <v>8705.9668992000006</v>
      </c>
      <c r="E158" s="48">
        <v>8747.3710518381195</v>
      </c>
      <c r="F158" s="48">
        <v>639.94218240000009</v>
      </c>
      <c r="G158" s="48">
        <v>614.97421012052973</v>
      </c>
      <c r="H158" s="49">
        <v>4.7558362118196307E-3</v>
      </c>
      <c r="I158" s="49">
        <v>-3.9015981390431276E-2</v>
      </c>
      <c r="J158" s="49">
        <v>1.7586497166988124E-3</v>
      </c>
    </row>
    <row r="159" spans="1:10" ht="11.25" customHeight="1" x14ac:dyDescent="0.2">
      <c r="A159" s="58">
        <v>44621</v>
      </c>
      <c r="B159" s="48">
        <v>0</v>
      </c>
      <c r="C159" s="48">
        <v>0</v>
      </c>
      <c r="D159" s="48">
        <v>10854.312345599999</v>
      </c>
      <c r="E159" s="48">
        <v>10905.933677307605</v>
      </c>
      <c r="F159" s="48">
        <v>797.85880320000001</v>
      </c>
      <c r="G159" s="48">
        <v>766.72955898215719</v>
      </c>
      <c r="H159" s="49">
        <v>4.7558362118196307E-3</v>
      </c>
      <c r="I159" s="49">
        <v>-3.9015981390431054E-2</v>
      </c>
      <c r="J159" s="49">
        <v>1.7586497166985904E-3</v>
      </c>
    </row>
    <row r="160" spans="1:10" ht="11.25" customHeight="1" x14ac:dyDescent="0.2">
      <c r="A160" s="58">
        <v>44652</v>
      </c>
      <c r="B160" s="48">
        <v>0</v>
      </c>
      <c r="C160" s="48">
        <v>0</v>
      </c>
      <c r="D160" s="48">
        <v>8146.7326463999998</v>
      </c>
      <c r="E160" s="48">
        <v>8185.4771725277624</v>
      </c>
      <c r="F160" s="48">
        <v>598.83502079999994</v>
      </c>
      <c r="G160" s="48">
        <v>575.47088477252873</v>
      </c>
      <c r="H160" s="49">
        <v>4.7558362118196307E-3</v>
      </c>
      <c r="I160" s="49">
        <v>-3.9015981390431054E-2</v>
      </c>
      <c r="J160" s="49">
        <v>1.7586497166988124E-3</v>
      </c>
    </row>
    <row r="161" spans="1:10" ht="11.25" customHeight="1" x14ac:dyDescent="0.2">
      <c r="A161" s="58">
        <v>44682</v>
      </c>
      <c r="B161" s="48">
        <v>0</v>
      </c>
      <c r="C161" s="48">
        <v>0</v>
      </c>
      <c r="D161" s="48">
        <v>7541.3569535999995</v>
      </c>
      <c r="E161" s="48">
        <v>7577.2224120861883</v>
      </c>
      <c r="F161" s="48">
        <v>554.33617920000006</v>
      </c>
      <c r="G161" s="48">
        <v>532.70820914829017</v>
      </c>
      <c r="H161" s="49">
        <v>4.7558362118196307E-3</v>
      </c>
      <c r="I161" s="49">
        <v>-3.9015981390431165E-2</v>
      </c>
      <c r="J161" s="49">
        <v>1.7586497166988124E-3</v>
      </c>
    </row>
    <row r="162" spans="1:10" ht="11.25" customHeight="1" x14ac:dyDescent="0.2">
      <c r="A162" s="58">
        <v>44713</v>
      </c>
      <c r="B162" s="48">
        <v>0</v>
      </c>
      <c r="C162" s="48">
        <v>0</v>
      </c>
      <c r="D162" s="48">
        <v>4870.6904064</v>
      </c>
      <c r="E162" s="48">
        <v>4893.8546122113194</v>
      </c>
      <c r="F162" s="48">
        <v>358.02574079999999</v>
      </c>
      <c r="G162" s="48">
        <v>344.05701515965194</v>
      </c>
      <c r="H162" s="49">
        <v>4.7558362118196307E-3</v>
      </c>
      <c r="I162" s="49">
        <v>-3.9015981390430943E-2</v>
      </c>
      <c r="J162" s="49">
        <v>1.7586497166988124E-3</v>
      </c>
    </row>
    <row r="163" spans="1:10" ht="11.25" customHeight="1" x14ac:dyDescent="0.2">
      <c r="A163" s="58">
        <v>44743</v>
      </c>
      <c r="B163" s="48">
        <v>0</v>
      </c>
      <c r="C163" s="48">
        <v>0</v>
      </c>
      <c r="D163" s="48">
        <v>219.63325439999997</v>
      </c>
      <c r="E163" s="48">
        <v>220.67779418459529</v>
      </c>
      <c r="F163" s="48">
        <v>16.144396799999999</v>
      </c>
      <c r="G163" s="48">
        <v>15.514507314891466</v>
      </c>
      <c r="H163" s="49">
        <v>4.7558362118196307E-3</v>
      </c>
      <c r="I163" s="49">
        <v>-3.9015981390430943E-2</v>
      </c>
      <c r="J163" s="49">
        <v>1.7586497166988124E-3</v>
      </c>
    </row>
    <row r="164" spans="1:10" ht="11.25" customHeight="1" x14ac:dyDescent="0.2">
      <c r="A164" s="58">
        <v>44774</v>
      </c>
      <c r="B164" s="48">
        <v>0</v>
      </c>
      <c r="C164" s="48">
        <v>0</v>
      </c>
      <c r="D164" s="48">
        <v>2833.0844160000001</v>
      </c>
      <c r="E164" s="48">
        <v>2846.5581014567547</v>
      </c>
      <c r="F164" s="48">
        <v>208.24915199999998</v>
      </c>
      <c r="G164" s="48">
        <v>200.12410696099496</v>
      </c>
      <c r="H164" s="49">
        <v>4.7558362118196307E-3</v>
      </c>
      <c r="I164" s="49">
        <v>-3.9015981390430943E-2</v>
      </c>
      <c r="J164" s="49">
        <v>1.7586497166988124E-3</v>
      </c>
    </row>
    <row r="165" spans="1:10" ht="11.25" customHeight="1" x14ac:dyDescent="0.2">
      <c r="A165" s="53" t="s">
        <v>46</v>
      </c>
      <c r="B165" s="48">
        <v>22530.762999999995</v>
      </c>
      <c r="C165" s="48">
        <v>22117.735713364356</v>
      </c>
      <c r="D165" s="48">
        <v>85659.902263999975</v>
      </c>
      <c r="E165" s="48">
        <v>96036.051646391323</v>
      </c>
      <c r="F165" s="48">
        <v>47129.524705599993</v>
      </c>
      <c r="G165" s="48">
        <v>45290.72004674645</v>
      </c>
      <c r="H165" s="49">
        <v>9.2088555620249979E-2</v>
      </c>
      <c r="I165" s="49">
        <v>-3.9015981390430943E-2</v>
      </c>
      <c r="J165" s="49">
        <v>5.2306898661998114E-2</v>
      </c>
    </row>
    <row r="166" spans="1:10" ht="11.25" customHeight="1" x14ac:dyDescent="0.2">
      <c r="A166" s="54" t="s">
        <v>47</v>
      </c>
      <c r="B166" s="48">
        <v>22530.762999999995</v>
      </c>
      <c r="C166" s="48">
        <v>22117.735713364356</v>
      </c>
      <c r="D166" s="48">
        <v>85659.902263999975</v>
      </c>
      <c r="E166" s="48">
        <v>96036.051646391323</v>
      </c>
      <c r="F166" s="48">
        <v>47129.524705599993</v>
      </c>
      <c r="G166" s="48">
        <v>45290.72004674645</v>
      </c>
      <c r="H166" s="49">
        <v>9.2088555620249979E-2</v>
      </c>
      <c r="I166" s="49">
        <v>-3.9015981390430943E-2</v>
      </c>
      <c r="J166" s="49">
        <v>5.2306898661998114E-2</v>
      </c>
    </row>
    <row r="167" spans="1:10" ht="11.25" customHeight="1" x14ac:dyDescent="0.2">
      <c r="A167" s="55" t="s">
        <v>25</v>
      </c>
      <c r="B167" s="48">
        <v>22530.762999999995</v>
      </c>
      <c r="C167" s="48">
        <v>22117.735713364356</v>
      </c>
      <c r="D167" s="48">
        <v>85659.902263999975</v>
      </c>
      <c r="E167" s="48">
        <v>96036.051646391323</v>
      </c>
      <c r="F167" s="48">
        <v>47129.524705599993</v>
      </c>
      <c r="G167" s="48">
        <v>45290.72004674645</v>
      </c>
      <c r="H167" s="49">
        <v>9.2088555620249979E-2</v>
      </c>
      <c r="I167" s="49">
        <v>-3.9015981390430943E-2</v>
      </c>
      <c r="J167" s="49">
        <v>5.2306898661998114E-2</v>
      </c>
    </row>
    <row r="168" spans="1:10" ht="11.25" customHeight="1" x14ac:dyDescent="0.2">
      <c r="A168" s="56" t="s">
        <v>25</v>
      </c>
      <c r="B168" s="48">
        <v>22530.762999999995</v>
      </c>
      <c r="C168" s="48">
        <v>22117.735713364356</v>
      </c>
      <c r="D168" s="48">
        <v>85659.902263999975</v>
      </c>
      <c r="E168" s="48">
        <v>96036.051646391323</v>
      </c>
      <c r="F168" s="48">
        <v>47129.524705599993</v>
      </c>
      <c r="G168" s="48">
        <v>45290.72004674645</v>
      </c>
      <c r="H168" s="49">
        <v>9.2088555620249979E-2</v>
      </c>
      <c r="I168" s="49">
        <v>-3.9015981390430943E-2</v>
      </c>
      <c r="J168" s="49">
        <v>5.2306898661998114E-2</v>
      </c>
    </row>
    <row r="169" spans="1:10" ht="11.25" customHeight="1" x14ac:dyDescent="0.2">
      <c r="A169" s="57" t="s">
        <v>38</v>
      </c>
      <c r="B169" s="48">
        <v>0</v>
      </c>
      <c r="C169" s="48">
        <v>0</v>
      </c>
      <c r="D169" s="48">
        <v>19816.144286399998</v>
      </c>
      <c r="E169" s="48">
        <v>29879.151540279177</v>
      </c>
      <c r="F169" s="48">
        <v>42289.602998399998</v>
      </c>
      <c r="G169" s="48">
        <v>40639.632634805705</v>
      </c>
      <c r="H169" s="49">
        <v>0.50781863052872067</v>
      </c>
      <c r="I169" s="49">
        <v>-3.9015981390431054E-2</v>
      </c>
      <c r="J169" s="49">
        <v>0.135463097347577</v>
      </c>
    </row>
    <row r="170" spans="1:10" ht="11.25" customHeight="1" x14ac:dyDescent="0.2">
      <c r="A170" s="58">
        <v>44440</v>
      </c>
      <c r="B170" s="48">
        <v>0</v>
      </c>
      <c r="C170" s="48">
        <v>0</v>
      </c>
      <c r="D170" s="48">
        <v>559.59873199999993</v>
      </c>
      <c r="E170" s="48">
        <v>843.77339372984852</v>
      </c>
      <c r="F170" s="48">
        <v>1194.2387919999999</v>
      </c>
      <c r="G170" s="48">
        <v>1147.6443935155971</v>
      </c>
      <c r="H170" s="49">
        <v>0.50781863052872067</v>
      </c>
      <c r="I170" s="49">
        <v>-3.9015981390430943E-2</v>
      </c>
      <c r="J170" s="49">
        <v>0.13546309734757722</v>
      </c>
    </row>
    <row r="171" spans="1:10" ht="11.25" customHeight="1" x14ac:dyDescent="0.2">
      <c r="A171" s="58">
        <v>44470</v>
      </c>
      <c r="B171" s="48">
        <v>0</v>
      </c>
      <c r="C171" s="48">
        <v>0</v>
      </c>
      <c r="D171" s="48">
        <v>1299.9621712000001</v>
      </c>
      <c r="E171" s="48">
        <v>1960.1071807179264</v>
      </c>
      <c r="F171" s="48">
        <v>2774.2472671999999</v>
      </c>
      <c r="G171" s="48">
        <v>2666.0072874504708</v>
      </c>
      <c r="H171" s="49">
        <v>0.50781863052872067</v>
      </c>
      <c r="I171" s="49">
        <v>-3.9015981390430943E-2</v>
      </c>
      <c r="J171" s="49">
        <v>0.13546309734757722</v>
      </c>
    </row>
    <row r="172" spans="1:10" ht="11.25" customHeight="1" x14ac:dyDescent="0.2">
      <c r="A172" s="58">
        <v>44501</v>
      </c>
      <c r="B172" s="48">
        <v>0</v>
      </c>
      <c r="C172" s="48">
        <v>0</v>
      </c>
      <c r="D172" s="48">
        <v>2636.0274863999998</v>
      </c>
      <c r="E172" s="48">
        <v>3974.6513545797134</v>
      </c>
      <c r="F172" s="48">
        <v>5625.5421983999995</v>
      </c>
      <c r="G172" s="48">
        <v>5406.0561486761408</v>
      </c>
      <c r="H172" s="49">
        <v>0.50781863052872067</v>
      </c>
      <c r="I172" s="49">
        <v>-3.9015981390431054E-2</v>
      </c>
      <c r="J172" s="49">
        <v>0.13546309734757722</v>
      </c>
    </row>
    <row r="173" spans="1:10" ht="11.25" customHeight="1" x14ac:dyDescent="0.2">
      <c r="A173" s="58">
        <v>44531</v>
      </c>
      <c r="B173" s="48">
        <v>0</v>
      </c>
      <c r="C173" s="48">
        <v>0</v>
      </c>
      <c r="D173" s="48">
        <v>2758.2802016000001</v>
      </c>
      <c r="E173" s="48">
        <v>4158.9862761909953</v>
      </c>
      <c r="F173" s="48">
        <v>5886.4415295999997</v>
      </c>
      <c r="G173" s="48">
        <v>5656.7762364252667</v>
      </c>
      <c r="H173" s="49">
        <v>0.50781863052872045</v>
      </c>
      <c r="I173" s="49">
        <v>-3.9015981390430832E-2</v>
      </c>
      <c r="J173" s="49">
        <v>0.13546309734757722</v>
      </c>
    </row>
    <row r="174" spans="1:10" ht="11.25" customHeight="1" x14ac:dyDescent="0.2">
      <c r="A174" s="58">
        <v>44562</v>
      </c>
      <c r="B174" s="48">
        <v>0</v>
      </c>
      <c r="C174" s="48">
        <v>0</v>
      </c>
      <c r="D174" s="48">
        <v>2895.5343956000002</v>
      </c>
      <c r="E174" s="48">
        <v>4365.9407070223988</v>
      </c>
      <c r="F174" s="48">
        <v>6179.3554936</v>
      </c>
      <c r="G174" s="48">
        <v>5938.2618746568451</v>
      </c>
      <c r="H174" s="49">
        <v>0.50781863052872045</v>
      </c>
      <c r="I174" s="49">
        <v>-3.9015981390430943E-2</v>
      </c>
      <c r="J174" s="49">
        <v>0.13546309734757744</v>
      </c>
    </row>
    <row r="175" spans="1:10" ht="11.25" customHeight="1" x14ac:dyDescent="0.2">
      <c r="A175" s="58">
        <v>44593</v>
      </c>
      <c r="B175" s="48">
        <v>0</v>
      </c>
      <c r="C175" s="48">
        <v>0</v>
      </c>
      <c r="D175" s="48">
        <v>2380.1308915999998</v>
      </c>
      <c r="E175" s="48">
        <v>3588.8057014514147</v>
      </c>
      <c r="F175" s="48">
        <v>5079.4336696</v>
      </c>
      <c r="G175" s="48">
        <v>4881.2545800729577</v>
      </c>
      <c r="H175" s="49">
        <v>0.50781863052872067</v>
      </c>
      <c r="I175" s="49">
        <v>-3.9015981390431054E-2</v>
      </c>
      <c r="J175" s="49">
        <v>0.13546309734757722</v>
      </c>
    </row>
    <row r="176" spans="1:10" ht="11.25" customHeight="1" x14ac:dyDescent="0.2">
      <c r="A176" s="58">
        <v>44621</v>
      </c>
      <c r="B176" s="48">
        <v>0</v>
      </c>
      <c r="C176" s="48">
        <v>0</v>
      </c>
      <c r="D176" s="48">
        <v>2582.2462511999997</v>
      </c>
      <c r="E176" s="48">
        <v>3893.5590061723065</v>
      </c>
      <c r="F176" s="48">
        <v>5510.7677471999996</v>
      </c>
      <c r="G176" s="48">
        <v>5295.7597353282572</v>
      </c>
      <c r="H176" s="49">
        <v>0.50781863052872067</v>
      </c>
      <c r="I176" s="49">
        <v>-3.9015981390430943E-2</v>
      </c>
      <c r="J176" s="49">
        <v>0.135463097347577</v>
      </c>
    </row>
    <row r="177" spans="1:10" ht="11.25" customHeight="1" x14ac:dyDescent="0.2">
      <c r="A177" s="58">
        <v>44652</v>
      </c>
      <c r="B177" s="48">
        <v>0</v>
      </c>
      <c r="C177" s="48">
        <v>0</v>
      </c>
      <c r="D177" s="48">
        <v>2178.0155319999999</v>
      </c>
      <c r="E177" s="48">
        <v>3284.0523967305226</v>
      </c>
      <c r="F177" s="48">
        <v>4648.0995919999996</v>
      </c>
      <c r="G177" s="48">
        <v>4466.7494248176581</v>
      </c>
      <c r="H177" s="49">
        <v>0.50781863052872045</v>
      </c>
      <c r="I177" s="49">
        <v>-3.9015981390430943E-2</v>
      </c>
      <c r="J177" s="49">
        <v>0.13546309734757722</v>
      </c>
    </row>
    <row r="178" spans="1:10" ht="11.25" customHeight="1" x14ac:dyDescent="0.2">
      <c r="A178" s="58">
        <v>44682</v>
      </c>
      <c r="B178" s="48">
        <v>0</v>
      </c>
      <c r="C178" s="48">
        <v>0</v>
      </c>
      <c r="D178" s="48">
        <v>421.59757639999998</v>
      </c>
      <c r="E178" s="48">
        <v>635.69268028167562</v>
      </c>
      <c r="F178" s="48">
        <v>899.73073839999995</v>
      </c>
      <c r="G178" s="48">
        <v>864.62686065418688</v>
      </c>
      <c r="H178" s="49">
        <v>0.50781863052872067</v>
      </c>
      <c r="I178" s="49">
        <v>-3.9015981390430943E-2</v>
      </c>
      <c r="J178" s="49">
        <v>0.13546309734757722</v>
      </c>
    </row>
    <row r="179" spans="1:10" ht="11.25" customHeight="1" x14ac:dyDescent="0.2">
      <c r="A179" s="58">
        <v>44743</v>
      </c>
      <c r="B179" s="48">
        <v>0</v>
      </c>
      <c r="C179" s="48">
        <v>0</v>
      </c>
      <c r="D179" s="48">
        <v>476.81048800000002</v>
      </c>
      <c r="E179" s="48">
        <v>718.94373703789097</v>
      </c>
      <c r="F179" s="48">
        <v>1017.560528</v>
      </c>
      <c r="G179" s="48">
        <v>977.85940537591489</v>
      </c>
      <c r="H179" s="49">
        <v>0.50781863052872045</v>
      </c>
      <c r="I179" s="49">
        <v>-3.9015981390430943E-2</v>
      </c>
      <c r="J179" s="49">
        <v>0.135463097347577</v>
      </c>
    </row>
    <row r="180" spans="1:10" ht="11.25" customHeight="1" x14ac:dyDescent="0.2">
      <c r="A180" s="58">
        <v>44774</v>
      </c>
      <c r="B180" s="48">
        <v>0</v>
      </c>
      <c r="C180" s="48">
        <v>0</v>
      </c>
      <c r="D180" s="48">
        <v>1627.9405603999999</v>
      </c>
      <c r="E180" s="48">
        <v>2454.639106364486</v>
      </c>
      <c r="F180" s="48">
        <v>3474.1854423999998</v>
      </c>
      <c r="G180" s="48">
        <v>3338.6366878324152</v>
      </c>
      <c r="H180" s="49">
        <v>0.50781863052872067</v>
      </c>
      <c r="I180" s="49">
        <v>-3.9015981390430943E-2</v>
      </c>
      <c r="J180" s="49">
        <v>0.13546309734757722</v>
      </c>
    </row>
    <row r="181" spans="1:10" ht="11.25" customHeight="1" x14ac:dyDescent="0.2">
      <c r="A181" s="57" t="s">
        <v>25</v>
      </c>
      <c r="B181" s="48">
        <v>22530.762999999995</v>
      </c>
      <c r="C181" s="48">
        <v>22117.735713364356</v>
      </c>
      <c r="D181" s="48">
        <v>0</v>
      </c>
      <c r="E181" s="48">
        <v>0</v>
      </c>
      <c r="F181" s="48">
        <v>0</v>
      </c>
      <c r="G181" s="48">
        <v>0</v>
      </c>
      <c r="H181" s="49">
        <v>-1.8331704373954816E-2</v>
      </c>
      <c r="I181" s="49">
        <v>0</v>
      </c>
      <c r="J181" s="49">
        <v>-1.8331704373954816E-2</v>
      </c>
    </row>
    <row r="182" spans="1:10" ht="11.25" customHeight="1" x14ac:dyDescent="0.2">
      <c r="A182" s="58">
        <v>44440</v>
      </c>
      <c r="B182" s="48">
        <v>1744.88</v>
      </c>
      <c r="C182" s="48">
        <v>1712.8933756719734</v>
      </c>
      <c r="D182" s="48">
        <v>0</v>
      </c>
      <c r="E182" s="48">
        <v>0</v>
      </c>
      <c r="F182" s="48">
        <v>0</v>
      </c>
      <c r="G182" s="48">
        <v>0</v>
      </c>
      <c r="H182" s="49">
        <v>-1.8331704373955038E-2</v>
      </c>
      <c r="I182" s="49">
        <v>0</v>
      </c>
      <c r="J182" s="49">
        <v>-1.8331704373955038E-2</v>
      </c>
    </row>
    <row r="183" spans="1:10" ht="11.25" customHeight="1" x14ac:dyDescent="0.2">
      <c r="A183" s="58">
        <v>44470</v>
      </c>
      <c r="B183" s="48">
        <v>1897.557</v>
      </c>
      <c r="C183" s="48">
        <v>1862.7715460432712</v>
      </c>
      <c r="D183" s="48">
        <v>0</v>
      </c>
      <c r="E183" s="48">
        <v>0</v>
      </c>
      <c r="F183" s="48">
        <v>0</v>
      </c>
      <c r="G183" s="48">
        <v>0</v>
      </c>
      <c r="H183" s="49">
        <v>-1.8331704373954927E-2</v>
      </c>
      <c r="I183" s="49">
        <v>0</v>
      </c>
      <c r="J183" s="49">
        <v>-1.8331704373954927E-2</v>
      </c>
    </row>
    <row r="184" spans="1:10" ht="11.25" customHeight="1" x14ac:dyDescent="0.2">
      <c r="A184" s="58">
        <v>44501</v>
      </c>
      <c r="B184" s="48">
        <v>1941.1789999999999</v>
      </c>
      <c r="C184" s="48">
        <v>1905.5938804350703</v>
      </c>
      <c r="D184" s="48">
        <v>0</v>
      </c>
      <c r="E184" s="48">
        <v>0</v>
      </c>
      <c r="F184" s="48">
        <v>0</v>
      </c>
      <c r="G184" s="48">
        <v>0</v>
      </c>
      <c r="H184" s="49">
        <v>-1.8331704373954927E-2</v>
      </c>
      <c r="I184" s="49">
        <v>0</v>
      </c>
      <c r="J184" s="49">
        <v>-1.8331704373954927E-2</v>
      </c>
    </row>
    <row r="185" spans="1:10" ht="11.25" customHeight="1" x14ac:dyDescent="0.2">
      <c r="A185" s="58">
        <v>44531</v>
      </c>
      <c r="B185" s="48">
        <v>1853.9349999999999</v>
      </c>
      <c r="C185" s="48">
        <v>1819.9492116514718</v>
      </c>
      <c r="D185" s="48">
        <v>0</v>
      </c>
      <c r="E185" s="48">
        <v>0</v>
      </c>
      <c r="F185" s="48">
        <v>0</v>
      </c>
      <c r="G185" s="48">
        <v>0</v>
      </c>
      <c r="H185" s="49">
        <v>-1.8331704373954927E-2</v>
      </c>
      <c r="I185" s="49">
        <v>0</v>
      </c>
      <c r="J185" s="49">
        <v>-1.8331704373954927E-2</v>
      </c>
    </row>
    <row r="186" spans="1:10" ht="11.25" customHeight="1" x14ac:dyDescent="0.2">
      <c r="A186" s="58">
        <v>44562</v>
      </c>
      <c r="B186" s="48">
        <v>1832.1239999999998</v>
      </c>
      <c r="C186" s="48">
        <v>1798.5380444555719</v>
      </c>
      <c r="D186" s="48">
        <v>0</v>
      </c>
      <c r="E186" s="48">
        <v>0</v>
      </c>
      <c r="F186" s="48">
        <v>0</v>
      </c>
      <c r="G186" s="48">
        <v>0</v>
      </c>
      <c r="H186" s="49">
        <v>-1.8331704373954927E-2</v>
      </c>
      <c r="I186" s="49">
        <v>0</v>
      </c>
      <c r="J186" s="49">
        <v>-1.8331704373954927E-2</v>
      </c>
    </row>
    <row r="187" spans="1:10" ht="11.25" customHeight="1" x14ac:dyDescent="0.2">
      <c r="A187" s="58">
        <v>44593</v>
      </c>
      <c r="B187" s="48">
        <v>1832.1239999999998</v>
      </c>
      <c r="C187" s="48">
        <v>1798.5380444555719</v>
      </c>
      <c r="D187" s="48">
        <v>0</v>
      </c>
      <c r="E187" s="48">
        <v>0</v>
      </c>
      <c r="F187" s="48">
        <v>0</v>
      </c>
      <c r="G187" s="48">
        <v>0</v>
      </c>
      <c r="H187" s="49">
        <v>-1.8331704373954927E-2</v>
      </c>
      <c r="I187" s="49">
        <v>0</v>
      </c>
      <c r="J187" s="49">
        <v>-1.8331704373954927E-2</v>
      </c>
    </row>
    <row r="188" spans="1:10" ht="11.25" customHeight="1" x14ac:dyDescent="0.2">
      <c r="A188" s="58">
        <v>44621</v>
      </c>
      <c r="B188" s="48">
        <v>1853.9349999999999</v>
      </c>
      <c r="C188" s="48">
        <v>1819.9492116514718</v>
      </c>
      <c r="D188" s="48">
        <v>0</v>
      </c>
      <c r="E188" s="48">
        <v>0</v>
      </c>
      <c r="F188" s="48">
        <v>0</v>
      </c>
      <c r="G188" s="48">
        <v>0</v>
      </c>
      <c r="H188" s="49">
        <v>-1.8331704373954927E-2</v>
      </c>
      <c r="I188" s="49">
        <v>0</v>
      </c>
      <c r="J188" s="49">
        <v>-1.8331704373954927E-2</v>
      </c>
    </row>
    <row r="189" spans="1:10" ht="11.25" customHeight="1" x14ac:dyDescent="0.2">
      <c r="A189" s="58">
        <v>44652</v>
      </c>
      <c r="B189" s="48">
        <v>1897.557</v>
      </c>
      <c r="C189" s="48">
        <v>1862.7715460432712</v>
      </c>
      <c r="D189" s="48">
        <v>0</v>
      </c>
      <c r="E189" s="48">
        <v>0</v>
      </c>
      <c r="F189" s="48">
        <v>0</v>
      </c>
      <c r="G189" s="48">
        <v>0</v>
      </c>
      <c r="H189" s="49">
        <v>-1.8331704373954927E-2</v>
      </c>
      <c r="I189" s="49">
        <v>0</v>
      </c>
      <c r="J189" s="49">
        <v>-1.8331704373954927E-2</v>
      </c>
    </row>
    <row r="190" spans="1:10" ht="11.25" customHeight="1" x14ac:dyDescent="0.2">
      <c r="A190" s="58">
        <v>44682</v>
      </c>
      <c r="B190" s="48">
        <v>1919.3679999999999</v>
      </c>
      <c r="C190" s="48">
        <v>1884.1827132391707</v>
      </c>
      <c r="D190" s="48">
        <v>0</v>
      </c>
      <c r="E190" s="48">
        <v>0</v>
      </c>
      <c r="F190" s="48">
        <v>0</v>
      </c>
      <c r="G190" s="48">
        <v>0</v>
      </c>
      <c r="H190" s="49">
        <v>-1.8331704373955038E-2</v>
      </c>
      <c r="I190" s="49">
        <v>0</v>
      </c>
      <c r="J190" s="49">
        <v>-1.8331704373955038E-2</v>
      </c>
    </row>
    <row r="191" spans="1:10" ht="11.25" customHeight="1" x14ac:dyDescent="0.2">
      <c r="A191" s="58">
        <v>44713</v>
      </c>
      <c r="B191" s="48">
        <v>1919.3679999999999</v>
      </c>
      <c r="C191" s="48">
        <v>1884.1827132391707</v>
      </c>
      <c r="D191" s="48">
        <v>0</v>
      </c>
      <c r="E191" s="48">
        <v>0</v>
      </c>
      <c r="F191" s="48">
        <v>0</v>
      </c>
      <c r="G191" s="48">
        <v>0</v>
      </c>
      <c r="H191" s="49">
        <v>-1.8331704373955038E-2</v>
      </c>
      <c r="I191" s="49">
        <v>0</v>
      </c>
      <c r="J191" s="49">
        <v>-1.8331704373955038E-2</v>
      </c>
    </row>
    <row r="192" spans="1:10" ht="11.25" customHeight="1" x14ac:dyDescent="0.2">
      <c r="A192" s="58">
        <v>44743</v>
      </c>
      <c r="B192" s="48">
        <v>1919.3679999999999</v>
      </c>
      <c r="C192" s="48">
        <v>1884.1827132391707</v>
      </c>
      <c r="D192" s="48">
        <v>0</v>
      </c>
      <c r="E192" s="48">
        <v>0</v>
      </c>
      <c r="F192" s="48">
        <v>0</v>
      </c>
      <c r="G192" s="48">
        <v>0</v>
      </c>
      <c r="H192" s="49">
        <v>-1.8331704373955038E-2</v>
      </c>
      <c r="I192" s="49">
        <v>0</v>
      </c>
      <c r="J192" s="49">
        <v>-1.8331704373955038E-2</v>
      </c>
    </row>
    <row r="193" spans="1:10" ht="11.25" customHeight="1" x14ac:dyDescent="0.2">
      <c r="A193" s="58">
        <v>44774</v>
      </c>
      <c r="B193" s="48">
        <v>1919.3679999999999</v>
      </c>
      <c r="C193" s="48">
        <v>1884.1827132391707</v>
      </c>
      <c r="D193" s="48">
        <v>0</v>
      </c>
      <c r="E193" s="48">
        <v>0</v>
      </c>
      <c r="F193" s="48">
        <v>0</v>
      </c>
      <c r="G193" s="48">
        <v>0</v>
      </c>
      <c r="H193" s="49">
        <v>-1.8331704373955038E-2</v>
      </c>
      <c r="I193" s="49">
        <v>0</v>
      </c>
      <c r="J193" s="49">
        <v>-1.8331704373955038E-2</v>
      </c>
    </row>
    <row r="194" spans="1:10" ht="11.25" customHeight="1" x14ac:dyDescent="0.2">
      <c r="A194" s="57" t="s">
        <v>37</v>
      </c>
      <c r="B194" s="48">
        <v>0</v>
      </c>
      <c r="C194" s="48">
        <v>0</v>
      </c>
      <c r="D194" s="48">
        <v>65843.757977599991</v>
      </c>
      <c r="E194" s="48">
        <v>66156.900106112153</v>
      </c>
      <c r="F194" s="48">
        <v>4839.9217072000001</v>
      </c>
      <c r="G194" s="48">
        <v>4651.0874119407408</v>
      </c>
      <c r="H194" s="49">
        <v>4.7558362118196307E-3</v>
      </c>
      <c r="I194" s="49">
        <v>-3.9015981390431276E-2</v>
      </c>
      <c r="J194" s="49">
        <v>1.7586497166988124E-3</v>
      </c>
    </row>
    <row r="195" spans="1:10" ht="11.25" customHeight="1" x14ac:dyDescent="0.2">
      <c r="A195" s="58">
        <v>44440</v>
      </c>
      <c r="B195" s="48">
        <v>0</v>
      </c>
      <c r="C195" s="48">
        <v>0</v>
      </c>
      <c r="D195" s="48">
        <v>2090.9378047999999</v>
      </c>
      <c r="E195" s="48">
        <v>2100.8819625287306</v>
      </c>
      <c r="F195" s="48">
        <v>153.6968056</v>
      </c>
      <c r="G195" s="48">
        <v>147.70017389294171</v>
      </c>
      <c r="H195" s="49">
        <v>4.7558362118196307E-3</v>
      </c>
      <c r="I195" s="49">
        <v>-3.9015981390431054E-2</v>
      </c>
      <c r="J195" s="49">
        <v>1.7586497166988124E-3</v>
      </c>
    </row>
    <row r="196" spans="1:10" ht="11.25" customHeight="1" x14ac:dyDescent="0.2">
      <c r="A196" s="58">
        <v>44470</v>
      </c>
      <c r="B196" s="48">
        <v>0</v>
      </c>
      <c r="C196" s="48">
        <v>0</v>
      </c>
      <c r="D196" s="48">
        <v>4498.1367295999999</v>
      </c>
      <c r="E196" s="48">
        <v>4519.529131144347</v>
      </c>
      <c r="F196" s="48">
        <v>330.64075119999995</v>
      </c>
      <c r="G196" s="48">
        <v>317.74047780426264</v>
      </c>
      <c r="H196" s="49">
        <v>4.7558362118196307E-3</v>
      </c>
      <c r="I196" s="49">
        <v>-3.9015981390430943E-2</v>
      </c>
      <c r="J196" s="49">
        <v>1.7586497166988124E-3</v>
      </c>
    </row>
    <row r="197" spans="1:10" ht="11.25" customHeight="1" x14ac:dyDescent="0.2">
      <c r="A197" s="58">
        <v>44501</v>
      </c>
      <c r="B197" s="48">
        <v>0</v>
      </c>
      <c r="C197" s="48">
        <v>0</v>
      </c>
      <c r="D197" s="48">
        <v>8090.8630527999994</v>
      </c>
      <c r="E197" s="48">
        <v>8129.3418722913793</v>
      </c>
      <c r="F197" s="48">
        <v>594.7282616</v>
      </c>
      <c r="G197" s="48">
        <v>571.52435481305099</v>
      </c>
      <c r="H197" s="49">
        <v>4.7558362118196307E-3</v>
      </c>
      <c r="I197" s="49">
        <v>-3.9015981390431054E-2</v>
      </c>
      <c r="J197" s="49">
        <v>1.7586497166988124E-3</v>
      </c>
    </row>
    <row r="198" spans="1:10" ht="11.25" customHeight="1" x14ac:dyDescent="0.2">
      <c r="A198" s="58">
        <v>44531</v>
      </c>
      <c r="B198" s="48">
        <v>0</v>
      </c>
      <c r="C198" s="48">
        <v>0</v>
      </c>
      <c r="D198" s="48">
        <v>10290.233241599999</v>
      </c>
      <c r="E198" s="48">
        <v>10339.171905478472</v>
      </c>
      <c r="F198" s="48">
        <v>756.39551519999998</v>
      </c>
      <c r="G198" s="48">
        <v>726.88400185515127</v>
      </c>
      <c r="H198" s="49">
        <v>4.7558362118198527E-3</v>
      </c>
      <c r="I198" s="49">
        <v>-3.9015981390431054E-2</v>
      </c>
      <c r="J198" s="49">
        <v>1.7586497166988124E-3</v>
      </c>
    </row>
    <row r="199" spans="1:10" ht="11.25" customHeight="1" x14ac:dyDescent="0.2">
      <c r="A199" s="58">
        <v>44562</v>
      </c>
      <c r="B199" s="48">
        <v>0</v>
      </c>
      <c r="C199" s="48">
        <v>0</v>
      </c>
      <c r="D199" s="48">
        <v>8759.5294207999996</v>
      </c>
      <c r="E199" s="48">
        <v>8801.1883080179396</v>
      </c>
      <c r="F199" s="48">
        <v>643.87935760000005</v>
      </c>
      <c r="G199" s="48">
        <v>618.75777256619574</v>
      </c>
      <c r="H199" s="49">
        <v>4.7558362118196307E-3</v>
      </c>
      <c r="I199" s="49">
        <v>-3.9015981390431054E-2</v>
      </c>
      <c r="J199" s="49">
        <v>1.7586497166985904E-3</v>
      </c>
    </row>
    <row r="200" spans="1:10" ht="11.25" customHeight="1" x14ac:dyDescent="0.2">
      <c r="A200" s="58">
        <v>44593</v>
      </c>
      <c r="B200" s="48">
        <v>0</v>
      </c>
      <c r="C200" s="48">
        <v>0</v>
      </c>
      <c r="D200" s="48">
        <v>8723.3852927999997</v>
      </c>
      <c r="E200" s="48">
        <v>8764.8722844651529</v>
      </c>
      <c r="F200" s="48">
        <v>641.22254159999989</v>
      </c>
      <c r="G200" s="48">
        <v>616.20461484980945</v>
      </c>
      <c r="H200" s="49">
        <v>4.7558362118196307E-3</v>
      </c>
      <c r="I200" s="49">
        <v>-3.9015981390430943E-2</v>
      </c>
      <c r="J200" s="49">
        <v>1.7586497166988124E-3</v>
      </c>
    </row>
    <row r="201" spans="1:10" ht="11.25" customHeight="1" x14ac:dyDescent="0.2">
      <c r="A201" s="58">
        <v>44621</v>
      </c>
      <c r="B201" s="48">
        <v>0</v>
      </c>
      <c r="C201" s="48">
        <v>0</v>
      </c>
      <c r="D201" s="48">
        <v>9113.7418751999994</v>
      </c>
      <c r="E201" s="48">
        <v>9157.0853388352534</v>
      </c>
      <c r="F201" s="48">
        <v>669.91615439999998</v>
      </c>
      <c r="G201" s="48">
        <v>643.77871818678057</v>
      </c>
      <c r="H201" s="49">
        <v>4.7558362118196307E-3</v>
      </c>
      <c r="I201" s="49">
        <v>-3.9015981390430832E-2</v>
      </c>
      <c r="J201" s="49">
        <v>1.7586497166988124E-3</v>
      </c>
    </row>
    <row r="202" spans="1:10" ht="11.25" customHeight="1" x14ac:dyDescent="0.2">
      <c r="A202" s="58">
        <v>44652</v>
      </c>
      <c r="B202" s="48">
        <v>0</v>
      </c>
      <c r="C202" s="48">
        <v>0</v>
      </c>
      <c r="D202" s="48">
        <v>6758.9519359999995</v>
      </c>
      <c r="E202" s="48">
        <v>6791.0964043711765</v>
      </c>
      <c r="F202" s="48">
        <v>496.824592</v>
      </c>
      <c r="G202" s="48">
        <v>477.44049296421952</v>
      </c>
      <c r="H202" s="49">
        <v>4.7558362118196307E-3</v>
      </c>
      <c r="I202" s="49">
        <v>-3.9015981390431054E-2</v>
      </c>
      <c r="J202" s="49">
        <v>1.7586497166988124E-3</v>
      </c>
    </row>
    <row r="203" spans="1:10" ht="11.25" customHeight="1" x14ac:dyDescent="0.2">
      <c r="A203" s="58">
        <v>44682</v>
      </c>
      <c r="B203" s="48">
        <v>0</v>
      </c>
      <c r="C203" s="48">
        <v>0</v>
      </c>
      <c r="D203" s="48">
        <v>946.97615359999998</v>
      </c>
      <c r="E203" s="48">
        <v>951.47981708302052</v>
      </c>
      <c r="F203" s="48">
        <v>69.608579199999994</v>
      </c>
      <c r="G203" s="48">
        <v>66.89273216931845</v>
      </c>
      <c r="H203" s="49">
        <v>4.7558362118196307E-3</v>
      </c>
      <c r="I203" s="49">
        <v>-3.9015981390431054E-2</v>
      </c>
      <c r="J203" s="49">
        <v>1.7586497166988124E-3</v>
      </c>
    </row>
    <row r="204" spans="1:10" ht="11.25" customHeight="1" x14ac:dyDescent="0.2">
      <c r="A204" s="58">
        <v>44743</v>
      </c>
      <c r="B204" s="48">
        <v>0</v>
      </c>
      <c r="C204" s="48">
        <v>0</v>
      </c>
      <c r="D204" s="48">
        <v>1402.3921664</v>
      </c>
      <c r="E204" s="48">
        <v>1409.0617138481373</v>
      </c>
      <c r="F204" s="48">
        <v>103.08446079999999</v>
      </c>
      <c r="G204" s="48">
        <v>99.062519395784577</v>
      </c>
      <c r="H204" s="49">
        <v>4.7558362118196307E-3</v>
      </c>
      <c r="I204" s="49">
        <v>-3.9015981390430943E-2</v>
      </c>
      <c r="J204" s="49">
        <v>1.7586497166988124E-3</v>
      </c>
    </row>
    <row r="205" spans="1:10" ht="11.25" customHeight="1" x14ac:dyDescent="0.2">
      <c r="A205" s="58">
        <v>44774</v>
      </c>
      <c r="B205" s="48">
        <v>0</v>
      </c>
      <c r="C205" s="48">
        <v>0</v>
      </c>
      <c r="D205" s="48">
        <v>5168.6103039999998</v>
      </c>
      <c r="E205" s="48">
        <v>5193.1913680485468</v>
      </c>
      <c r="F205" s="48">
        <v>379.924688</v>
      </c>
      <c r="G205" s="48">
        <v>365.10155344322669</v>
      </c>
      <c r="H205" s="49">
        <v>4.7558362118196307E-3</v>
      </c>
      <c r="I205" s="49">
        <v>-3.9015981390431054E-2</v>
      </c>
      <c r="J205" s="49">
        <v>1.7586497166985904E-3</v>
      </c>
    </row>
    <row r="206" spans="1:10" ht="11.25" customHeight="1" x14ac:dyDescent="0.2">
      <c r="A206" s="51" t="s">
        <v>22</v>
      </c>
      <c r="B206" s="48">
        <v>0</v>
      </c>
      <c r="C206" s="48">
        <v>0</v>
      </c>
      <c r="D206" s="48">
        <v>4447158.1207300005</v>
      </c>
      <c r="E206" s="48">
        <v>4899138.4474916998</v>
      </c>
      <c r="F206" s="48">
        <v>1670032.0198310006</v>
      </c>
      <c r="G206" s="48">
        <v>1604874.1439798917</v>
      </c>
      <c r="H206" s="49">
        <v>0.10163351841591473</v>
      </c>
      <c r="I206" s="49">
        <v>-3.9015944052200213E-2</v>
      </c>
      <c r="J206" s="49">
        <v>6.3235315892128385E-2</v>
      </c>
    </row>
    <row r="207" spans="1:10" ht="11.25" customHeight="1" x14ac:dyDescent="0.2">
      <c r="A207" s="52" t="s">
        <v>23</v>
      </c>
      <c r="B207" s="48">
        <v>0</v>
      </c>
      <c r="C207" s="48">
        <v>0</v>
      </c>
      <c r="D207" s="48">
        <v>4447158.1207300005</v>
      </c>
      <c r="E207" s="48">
        <v>4899138.4474916998</v>
      </c>
      <c r="F207" s="48">
        <v>1670032.0198310006</v>
      </c>
      <c r="G207" s="48">
        <v>1604874.1439798917</v>
      </c>
      <c r="H207" s="49">
        <v>0.10163351841591473</v>
      </c>
      <c r="I207" s="49">
        <v>-3.9015944052200213E-2</v>
      </c>
      <c r="J207" s="49">
        <v>6.3235315892128385E-2</v>
      </c>
    </row>
    <row r="208" spans="1:10" ht="11.25" customHeight="1" x14ac:dyDescent="0.2">
      <c r="A208" s="53" t="s">
        <v>24</v>
      </c>
      <c r="B208" s="48">
        <v>0</v>
      </c>
      <c r="C208" s="48">
        <v>0</v>
      </c>
      <c r="D208" s="48">
        <v>4447158.1207300005</v>
      </c>
      <c r="E208" s="48">
        <v>4899138.4474916998</v>
      </c>
      <c r="F208" s="48">
        <v>1670032.0198310006</v>
      </c>
      <c r="G208" s="48">
        <v>1604874.1439798917</v>
      </c>
      <c r="H208" s="49">
        <v>0.10163351841591473</v>
      </c>
      <c r="I208" s="49">
        <v>-3.9015944052200213E-2</v>
      </c>
      <c r="J208" s="49">
        <v>6.3235315892128385E-2</v>
      </c>
    </row>
    <row r="209" spans="1:10" ht="11.25" customHeight="1" x14ac:dyDescent="0.2">
      <c r="A209" s="54" t="s">
        <v>24</v>
      </c>
      <c r="B209" s="48">
        <v>0</v>
      </c>
      <c r="C209" s="48">
        <v>0</v>
      </c>
      <c r="D209" s="48">
        <v>4409045.9917200003</v>
      </c>
      <c r="E209" s="48">
        <v>4861218.5334262149</v>
      </c>
      <c r="F209" s="48">
        <v>1652705.1790399998</v>
      </c>
      <c r="G209" s="48">
        <v>1588223.2645307062</v>
      </c>
      <c r="H209" s="49">
        <v>0.10255564186796318</v>
      </c>
      <c r="I209" s="49">
        <v>-3.9015981390431165E-2</v>
      </c>
      <c r="J209" s="49">
        <v>6.3956869273522843E-2</v>
      </c>
    </row>
    <row r="210" spans="1:10" ht="11.25" customHeight="1" x14ac:dyDescent="0.2">
      <c r="A210" s="55" t="s">
        <v>25</v>
      </c>
      <c r="B210" s="48">
        <v>0</v>
      </c>
      <c r="C210" s="48">
        <v>0</v>
      </c>
      <c r="D210" s="48">
        <v>4409045.9917200003</v>
      </c>
      <c r="E210" s="48">
        <v>4861218.5334262149</v>
      </c>
      <c r="F210" s="48">
        <v>1652705.1790399998</v>
      </c>
      <c r="G210" s="48">
        <v>1588223.2645307062</v>
      </c>
      <c r="H210" s="49">
        <v>0.10255564186796318</v>
      </c>
      <c r="I210" s="49">
        <v>-3.9015981390431165E-2</v>
      </c>
      <c r="J210" s="49">
        <v>6.3956869273522843E-2</v>
      </c>
    </row>
    <row r="211" spans="1:10" ht="11.25" customHeight="1" x14ac:dyDescent="0.2">
      <c r="A211" s="56" t="s">
        <v>25</v>
      </c>
      <c r="B211" s="48">
        <v>0</v>
      </c>
      <c r="C211" s="48">
        <v>0</v>
      </c>
      <c r="D211" s="48">
        <v>4409045.9917200003</v>
      </c>
      <c r="E211" s="48">
        <v>4861218.5334262149</v>
      </c>
      <c r="F211" s="48">
        <v>1652705.1790399998</v>
      </c>
      <c r="G211" s="48">
        <v>1588223.2645307062</v>
      </c>
      <c r="H211" s="49">
        <v>0.10255564186796318</v>
      </c>
      <c r="I211" s="49">
        <v>-3.9015981390431165E-2</v>
      </c>
      <c r="J211" s="49">
        <v>6.3956869273522843E-2</v>
      </c>
    </row>
    <row r="212" spans="1:10" ht="11.25" customHeight="1" x14ac:dyDescent="0.2">
      <c r="A212" s="57" t="s">
        <v>25</v>
      </c>
      <c r="B212" s="48">
        <v>0</v>
      </c>
      <c r="C212" s="48">
        <v>0</v>
      </c>
      <c r="D212" s="48">
        <v>4409045.9917200003</v>
      </c>
      <c r="E212" s="48">
        <v>4861218.5334262149</v>
      </c>
      <c r="F212" s="48">
        <v>1652705.1790399998</v>
      </c>
      <c r="G212" s="48">
        <v>1588223.2645307062</v>
      </c>
      <c r="H212" s="49">
        <v>0.10255564186796318</v>
      </c>
      <c r="I212" s="49">
        <v>-3.9015981390431165E-2</v>
      </c>
      <c r="J212" s="49">
        <v>6.3956869273522843E-2</v>
      </c>
    </row>
    <row r="213" spans="1:10" ht="11.25" customHeight="1" x14ac:dyDescent="0.2">
      <c r="A213" s="58">
        <v>44440</v>
      </c>
      <c r="B213" s="48">
        <v>0</v>
      </c>
      <c r="C213" s="48">
        <v>0</v>
      </c>
      <c r="D213" s="48">
        <v>287842.98788999999</v>
      </c>
      <c r="E213" s="48">
        <v>317362.91027025122</v>
      </c>
      <c r="F213" s="48">
        <v>107896.26548</v>
      </c>
      <c r="G213" s="48">
        <v>103686.58679393532</v>
      </c>
      <c r="H213" s="49">
        <v>0.10255564186796295</v>
      </c>
      <c r="I213" s="49">
        <v>-3.9015981390430943E-2</v>
      </c>
      <c r="J213" s="49">
        <v>6.3956869273522621E-2</v>
      </c>
    </row>
    <row r="214" spans="1:10" ht="11.25" customHeight="1" x14ac:dyDescent="0.2">
      <c r="A214" s="58">
        <v>44470</v>
      </c>
      <c r="B214" s="48">
        <v>0</v>
      </c>
      <c r="C214" s="48">
        <v>0</v>
      </c>
      <c r="D214" s="48">
        <v>299092.58928000001</v>
      </c>
      <c r="E214" s="48">
        <v>329766.22175156145</v>
      </c>
      <c r="F214" s="48">
        <v>112113.11296</v>
      </c>
      <c r="G214" s="48">
        <v>107738.90983112936</v>
      </c>
      <c r="H214" s="49">
        <v>0.10255564186796295</v>
      </c>
      <c r="I214" s="49">
        <v>-3.9015981390430832E-2</v>
      </c>
      <c r="J214" s="49">
        <v>6.3956869273522843E-2</v>
      </c>
    </row>
    <row r="215" spans="1:10" ht="11.25" customHeight="1" x14ac:dyDescent="0.2">
      <c r="A215" s="58">
        <v>44501</v>
      </c>
      <c r="B215" s="48">
        <v>0</v>
      </c>
      <c r="C215" s="48">
        <v>0</v>
      </c>
      <c r="D215" s="48">
        <v>294741.51687000005</v>
      </c>
      <c r="E215" s="48">
        <v>324968.92231773993</v>
      </c>
      <c r="F215" s="48">
        <v>110482.13883999999</v>
      </c>
      <c r="G215" s="48">
        <v>106171.56976704355</v>
      </c>
      <c r="H215" s="49">
        <v>0.10255564186796295</v>
      </c>
      <c r="I215" s="49">
        <v>-3.9015981390430832E-2</v>
      </c>
      <c r="J215" s="49">
        <v>6.3956869273522843E-2</v>
      </c>
    </row>
    <row r="216" spans="1:10" ht="11.25" customHeight="1" x14ac:dyDescent="0.2">
      <c r="A216" s="58">
        <v>44531</v>
      </c>
      <c r="B216" s="48">
        <v>0</v>
      </c>
      <c r="C216" s="48">
        <v>0</v>
      </c>
      <c r="D216" s="48">
        <v>409603.64552999998</v>
      </c>
      <c r="E216" s="48">
        <v>451610.81030878675</v>
      </c>
      <c r="F216" s="48">
        <v>153537.53795999999</v>
      </c>
      <c r="G216" s="48">
        <v>147547.12023622004</v>
      </c>
      <c r="H216" s="49">
        <v>0.10255564186796318</v>
      </c>
      <c r="I216" s="49">
        <v>-3.9015981390430943E-2</v>
      </c>
      <c r="J216" s="49">
        <v>6.3956869273522621E-2</v>
      </c>
    </row>
    <row r="217" spans="1:10" ht="11.25" customHeight="1" x14ac:dyDescent="0.2">
      <c r="A217" s="58">
        <v>44562</v>
      </c>
      <c r="B217" s="48">
        <v>0</v>
      </c>
      <c r="C217" s="48">
        <v>0</v>
      </c>
      <c r="D217" s="48">
        <v>452494.56518999999</v>
      </c>
      <c r="E217" s="48">
        <v>498900.43576482532</v>
      </c>
      <c r="F217" s="48">
        <v>169614.94907999999</v>
      </c>
      <c r="G217" s="48">
        <v>162997.25538315583</v>
      </c>
      <c r="H217" s="49">
        <v>0.10255564186796318</v>
      </c>
      <c r="I217" s="49">
        <v>-3.9015981390430832E-2</v>
      </c>
      <c r="J217" s="49">
        <v>6.3956869273523065E-2</v>
      </c>
    </row>
    <row r="218" spans="1:10" ht="11.25" customHeight="1" x14ac:dyDescent="0.2">
      <c r="A218" s="58">
        <v>44593</v>
      </c>
      <c r="B218" s="48">
        <v>0</v>
      </c>
      <c r="C218" s="48">
        <v>0</v>
      </c>
      <c r="D218" s="48">
        <v>445582.84086</v>
      </c>
      <c r="E218" s="48">
        <v>491279.87510974769</v>
      </c>
      <c r="F218" s="48">
        <v>167024.12951999999</v>
      </c>
      <c r="G218" s="48">
        <v>160507.51919089473</v>
      </c>
      <c r="H218" s="49">
        <v>0.10255564186796295</v>
      </c>
      <c r="I218" s="49">
        <v>-3.9015981390431054E-2</v>
      </c>
      <c r="J218" s="49">
        <v>6.3956869273522621E-2</v>
      </c>
    </row>
    <row r="219" spans="1:10" ht="11.25" customHeight="1" x14ac:dyDescent="0.2">
      <c r="A219" s="58">
        <v>44621</v>
      </c>
      <c r="B219" s="48">
        <v>0</v>
      </c>
      <c r="C219" s="48">
        <v>0</v>
      </c>
      <c r="D219" s="48">
        <v>408315.77937</v>
      </c>
      <c r="E219" s="48">
        <v>450190.86620810791</v>
      </c>
      <c r="F219" s="48">
        <v>153054.78883999996</v>
      </c>
      <c r="G219" s="48">
        <v>147083.2060469022</v>
      </c>
      <c r="H219" s="49">
        <v>0.10255564186796295</v>
      </c>
      <c r="I219" s="49">
        <v>-3.9015981390430943E-2</v>
      </c>
      <c r="J219" s="49">
        <v>6.3956869273522843E-2</v>
      </c>
    </row>
    <row r="220" spans="1:10" ht="11.25" customHeight="1" x14ac:dyDescent="0.2">
      <c r="A220" s="58">
        <v>44652</v>
      </c>
      <c r="B220" s="48">
        <v>0</v>
      </c>
      <c r="C220" s="48">
        <v>0</v>
      </c>
      <c r="D220" s="48">
        <v>372007.45431</v>
      </c>
      <c r="E220" s="48">
        <v>410158.91756642901</v>
      </c>
      <c r="F220" s="48">
        <v>139444.82492000001</v>
      </c>
      <c r="G220" s="48">
        <v>134004.24822592939</v>
      </c>
      <c r="H220" s="49">
        <v>0.10255564186796318</v>
      </c>
      <c r="I220" s="49">
        <v>-3.9015981390430943E-2</v>
      </c>
      <c r="J220" s="49">
        <v>6.3956869273522843E-2</v>
      </c>
    </row>
    <row r="221" spans="1:10" ht="11.25" customHeight="1" x14ac:dyDescent="0.2">
      <c r="A221" s="58">
        <v>44682</v>
      </c>
      <c r="B221" s="48">
        <v>0</v>
      </c>
      <c r="C221" s="48">
        <v>0</v>
      </c>
      <c r="D221" s="48">
        <v>361609.14149999997</v>
      </c>
      <c r="E221" s="48">
        <v>398694.19911185553</v>
      </c>
      <c r="F221" s="48">
        <v>135547.07800000001</v>
      </c>
      <c r="G221" s="48">
        <v>130258.5757272247</v>
      </c>
      <c r="H221" s="49">
        <v>0.10255564186796295</v>
      </c>
      <c r="I221" s="49">
        <v>-3.9015981390431054E-2</v>
      </c>
      <c r="J221" s="49">
        <v>6.3956869273522621E-2</v>
      </c>
    </row>
    <row r="222" spans="1:10" ht="11.25" customHeight="1" x14ac:dyDescent="0.2">
      <c r="A222" s="58">
        <v>44713</v>
      </c>
      <c r="B222" s="48">
        <v>0</v>
      </c>
      <c r="C222" s="48">
        <v>0</v>
      </c>
      <c r="D222" s="48">
        <v>368549.89559999999</v>
      </c>
      <c r="E222" s="48">
        <v>406346.76670362876</v>
      </c>
      <c r="F222" s="48">
        <v>138148.77919999999</v>
      </c>
      <c r="G222" s="48">
        <v>132758.76900162204</v>
      </c>
      <c r="H222" s="49">
        <v>0.10255564186796295</v>
      </c>
      <c r="I222" s="49">
        <v>-3.9015981390430943E-2</v>
      </c>
      <c r="J222" s="49">
        <v>6.3956869273522843E-2</v>
      </c>
    </row>
    <row r="223" spans="1:10" ht="11.25" customHeight="1" x14ac:dyDescent="0.2">
      <c r="A223" s="58">
        <v>44743</v>
      </c>
      <c r="B223" s="48">
        <v>0</v>
      </c>
      <c r="C223" s="48">
        <v>0</v>
      </c>
      <c r="D223" s="48">
        <v>363380.33448000002</v>
      </c>
      <c r="E223" s="48">
        <v>400647.03792479151</v>
      </c>
      <c r="F223" s="48">
        <v>136210.99935999999</v>
      </c>
      <c r="G223" s="48">
        <v>130896.59354379824</v>
      </c>
      <c r="H223" s="49">
        <v>0.10255564186796295</v>
      </c>
      <c r="I223" s="49">
        <v>-3.9015981390430832E-2</v>
      </c>
      <c r="J223" s="49">
        <v>6.3956869273522843E-2</v>
      </c>
    </row>
    <row r="224" spans="1:10" ht="11.25" customHeight="1" x14ac:dyDescent="0.2">
      <c r="A224" s="58">
        <v>44774</v>
      </c>
      <c r="B224" s="48">
        <v>0</v>
      </c>
      <c r="C224" s="48">
        <v>0</v>
      </c>
      <c r="D224" s="48">
        <v>345825.24083999998</v>
      </c>
      <c r="E224" s="48">
        <v>381291.57038848911</v>
      </c>
      <c r="F224" s="48">
        <v>129630.57488</v>
      </c>
      <c r="G224" s="48">
        <v>124572.91078285105</v>
      </c>
      <c r="H224" s="49">
        <v>0.10255564186796318</v>
      </c>
      <c r="I224" s="49">
        <v>-3.9015981390431054E-2</v>
      </c>
      <c r="J224" s="49">
        <v>6.3956869273522843E-2</v>
      </c>
    </row>
    <row r="225" spans="1:10" ht="11.25" customHeight="1" x14ac:dyDescent="0.2">
      <c r="A225" s="54" t="s">
        <v>29</v>
      </c>
      <c r="B225" s="48">
        <v>0</v>
      </c>
      <c r="C225" s="48">
        <v>0</v>
      </c>
      <c r="D225" s="48">
        <v>3305.6540799999998</v>
      </c>
      <c r="E225" s="48">
        <v>3288.8685497047322</v>
      </c>
      <c r="F225" s="48">
        <v>1502.7357609999999</v>
      </c>
      <c r="G225" s="48">
        <v>1444.1634453806685</v>
      </c>
      <c r="H225" s="49">
        <v>-5.0778242033322485E-3</v>
      </c>
      <c r="I225" s="49">
        <v>-3.8977122352072624E-2</v>
      </c>
      <c r="J225" s="49">
        <v>-1.5672158124959368E-2</v>
      </c>
    </row>
    <row r="226" spans="1:10" ht="11.25" customHeight="1" x14ac:dyDescent="0.2">
      <c r="A226" s="55" t="s">
        <v>25</v>
      </c>
      <c r="B226" s="48">
        <v>0</v>
      </c>
      <c r="C226" s="48">
        <v>0</v>
      </c>
      <c r="D226" s="48">
        <v>3305.6540799999998</v>
      </c>
      <c r="E226" s="48">
        <v>3288.8685497047322</v>
      </c>
      <c r="F226" s="48">
        <v>1502.7357609999999</v>
      </c>
      <c r="G226" s="48">
        <v>1444.1634453806685</v>
      </c>
      <c r="H226" s="49">
        <v>-5.0778242033322485E-3</v>
      </c>
      <c r="I226" s="49">
        <v>-3.8977122352072624E-2</v>
      </c>
      <c r="J226" s="49">
        <v>-1.5672158124959368E-2</v>
      </c>
    </row>
    <row r="227" spans="1:10" ht="11.25" customHeight="1" x14ac:dyDescent="0.2">
      <c r="A227" s="56" t="s">
        <v>25</v>
      </c>
      <c r="B227" s="48">
        <v>0</v>
      </c>
      <c r="C227" s="48">
        <v>0</v>
      </c>
      <c r="D227" s="48">
        <v>3305.6540799999998</v>
      </c>
      <c r="E227" s="48">
        <v>3288.8685497047322</v>
      </c>
      <c r="F227" s="48">
        <v>1502.7357609999999</v>
      </c>
      <c r="G227" s="48">
        <v>1444.1634453806685</v>
      </c>
      <c r="H227" s="49">
        <v>-5.0778242033322485E-3</v>
      </c>
      <c r="I227" s="49">
        <v>-3.8977122352072624E-2</v>
      </c>
      <c r="J227" s="49">
        <v>-1.5672158124959368E-2</v>
      </c>
    </row>
    <row r="228" spans="1:10" ht="11.25" customHeight="1" x14ac:dyDescent="0.2">
      <c r="A228" s="57" t="s">
        <v>25</v>
      </c>
      <c r="B228" s="48">
        <v>0</v>
      </c>
      <c r="C228" s="48">
        <v>0</v>
      </c>
      <c r="D228" s="48">
        <v>3305.6540799999998</v>
      </c>
      <c r="E228" s="48">
        <v>3288.8685497047322</v>
      </c>
      <c r="F228" s="48">
        <v>1502.7357609999999</v>
      </c>
      <c r="G228" s="48">
        <v>1444.1634453806685</v>
      </c>
      <c r="H228" s="49">
        <v>-5.0778242033322485E-3</v>
      </c>
      <c r="I228" s="49">
        <v>-3.8977122352072624E-2</v>
      </c>
      <c r="J228" s="49">
        <v>-1.5672158124959368E-2</v>
      </c>
    </row>
    <row r="229" spans="1:10" ht="11.25" customHeight="1" x14ac:dyDescent="0.2">
      <c r="A229" s="58">
        <v>44440</v>
      </c>
      <c r="B229" s="48">
        <v>0</v>
      </c>
      <c r="C229" s="48">
        <v>0</v>
      </c>
      <c r="D229" s="48">
        <v>111.51999999999998</v>
      </c>
      <c r="E229" s="48">
        <v>110.95372104484437</v>
      </c>
      <c r="F229" s="48">
        <v>50.696499999999993</v>
      </c>
      <c r="G229" s="48">
        <v>48.720496316678158</v>
      </c>
      <c r="H229" s="49">
        <v>-5.0778242033322485E-3</v>
      </c>
      <c r="I229" s="49">
        <v>-3.8977122352072291E-2</v>
      </c>
      <c r="J229" s="49">
        <v>-1.5672158124959257E-2</v>
      </c>
    </row>
    <row r="230" spans="1:10" ht="11.25" customHeight="1" x14ac:dyDescent="0.2">
      <c r="A230" s="58">
        <v>44470</v>
      </c>
      <c r="B230" s="48">
        <v>0</v>
      </c>
      <c r="C230" s="48">
        <v>0</v>
      </c>
      <c r="D230" s="48">
        <v>114.24</v>
      </c>
      <c r="E230" s="48">
        <v>113.65990936301132</v>
      </c>
      <c r="F230" s="48">
        <v>51.933</v>
      </c>
      <c r="G230" s="48">
        <v>49.908801104889825</v>
      </c>
      <c r="H230" s="49">
        <v>-5.0778242033322485E-3</v>
      </c>
      <c r="I230" s="49">
        <v>-3.8977122352072402E-2</v>
      </c>
      <c r="J230" s="49">
        <v>-1.5672158124959257E-2</v>
      </c>
    </row>
    <row r="231" spans="1:10" ht="11.25" customHeight="1" x14ac:dyDescent="0.2">
      <c r="A231" s="58">
        <v>44501</v>
      </c>
      <c r="B231" s="48">
        <v>0</v>
      </c>
      <c r="C231" s="48">
        <v>0</v>
      </c>
      <c r="D231" s="48">
        <v>124.03199999999998</v>
      </c>
      <c r="E231" s="48">
        <v>123.40218730841228</v>
      </c>
      <c r="F231" s="48">
        <v>56.384399999999999</v>
      </c>
      <c r="G231" s="48">
        <v>54.186698342451805</v>
      </c>
      <c r="H231" s="49">
        <v>-5.0778242033322485E-3</v>
      </c>
      <c r="I231" s="49">
        <v>-3.8977122352072402E-2</v>
      </c>
      <c r="J231" s="49">
        <v>-1.5672158124959257E-2</v>
      </c>
    </row>
    <row r="232" spans="1:10" ht="11.25" customHeight="1" x14ac:dyDescent="0.2">
      <c r="A232" s="58">
        <v>44531</v>
      </c>
      <c r="B232" s="48">
        <v>0</v>
      </c>
      <c r="C232" s="48">
        <v>0</v>
      </c>
      <c r="D232" s="48">
        <v>124.03199999999998</v>
      </c>
      <c r="E232" s="48">
        <v>123.40218730841228</v>
      </c>
      <c r="F232" s="48">
        <v>56.384399999999999</v>
      </c>
      <c r="G232" s="48">
        <v>54.186698342451805</v>
      </c>
      <c r="H232" s="49">
        <v>-5.0778242033322485E-3</v>
      </c>
      <c r="I232" s="49">
        <v>-3.8977122352072402E-2</v>
      </c>
      <c r="J232" s="49">
        <v>-1.5672158124959257E-2</v>
      </c>
    </row>
    <row r="233" spans="1:10" ht="11.25" customHeight="1" x14ac:dyDescent="0.2">
      <c r="A233" s="58">
        <v>44562</v>
      </c>
      <c r="B233" s="48">
        <v>0</v>
      </c>
      <c r="C233" s="48">
        <v>0</v>
      </c>
      <c r="D233" s="48">
        <v>127.29599999999999</v>
      </c>
      <c r="E233" s="48">
        <v>126.64961329021261</v>
      </c>
      <c r="F233" s="48">
        <v>57.868199999999995</v>
      </c>
      <c r="G233" s="48">
        <v>55.612664088305799</v>
      </c>
      <c r="H233" s="49">
        <v>-5.0778242033322485E-3</v>
      </c>
      <c r="I233" s="49">
        <v>-3.8977122352072402E-2</v>
      </c>
      <c r="J233" s="49">
        <v>-1.5672158124959257E-2</v>
      </c>
    </row>
    <row r="234" spans="1:10" ht="11.25" customHeight="1" x14ac:dyDescent="0.2">
      <c r="A234" s="58">
        <v>44593</v>
      </c>
      <c r="B234" s="48">
        <v>0</v>
      </c>
      <c r="C234" s="48">
        <v>0</v>
      </c>
      <c r="D234" s="48">
        <v>245.18079999999998</v>
      </c>
      <c r="E234" s="48">
        <v>243.93581499956764</v>
      </c>
      <c r="F234" s="48">
        <v>111.45810999999999</v>
      </c>
      <c r="G234" s="48">
        <v>107.11379360939925</v>
      </c>
      <c r="H234" s="49">
        <v>-5.0778242033321375E-3</v>
      </c>
      <c r="I234" s="49">
        <v>-3.8977122352072402E-2</v>
      </c>
      <c r="J234" s="49">
        <v>-1.5672158124959146E-2</v>
      </c>
    </row>
    <row r="235" spans="1:10" ht="11.25" customHeight="1" x14ac:dyDescent="0.2">
      <c r="A235" s="58">
        <v>44621</v>
      </c>
      <c r="B235" s="48">
        <v>0</v>
      </c>
      <c r="C235" s="48">
        <v>0</v>
      </c>
      <c r="D235" s="48">
        <v>254.59199999999998</v>
      </c>
      <c r="E235" s="48">
        <v>253.29922658042523</v>
      </c>
      <c r="F235" s="48">
        <v>115.73639999999999</v>
      </c>
      <c r="G235" s="48">
        <v>111.2253281766116</v>
      </c>
      <c r="H235" s="49">
        <v>-5.0778242033322485E-3</v>
      </c>
      <c r="I235" s="49">
        <v>-3.8977122352072402E-2</v>
      </c>
      <c r="J235" s="49">
        <v>-1.5672158124959257E-2</v>
      </c>
    </row>
    <row r="236" spans="1:10" ht="11.25" customHeight="1" x14ac:dyDescent="0.2">
      <c r="A236" s="58">
        <v>44652</v>
      </c>
      <c r="B236" s="48">
        <v>0</v>
      </c>
      <c r="C236" s="48">
        <v>0</v>
      </c>
      <c r="D236" s="48">
        <v>443.904</v>
      </c>
      <c r="E236" s="48">
        <v>441.64993352484402</v>
      </c>
      <c r="F236" s="48">
        <v>201.79680000000002</v>
      </c>
      <c r="G236" s="48">
        <v>193.93134143614333</v>
      </c>
      <c r="H236" s="49">
        <v>-5.0778242033322485E-3</v>
      </c>
      <c r="I236" s="49">
        <v>-3.8977122352072402E-2</v>
      </c>
      <c r="J236" s="49">
        <v>-1.5672158124959257E-2</v>
      </c>
    </row>
    <row r="237" spans="1:10" ht="11.25" customHeight="1" x14ac:dyDescent="0.2">
      <c r="A237" s="58">
        <v>44682</v>
      </c>
      <c r="B237" s="48">
        <v>0</v>
      </c>
      <c r="C237" s="48">
        <v>0</v>
      </c>
      <c r="D237" s="48">
        <v>450.85087999999996</v>
      </c>
      <c r="E237" s="48">
        <v>448.56153848944228</v>
      </c>
      <c r="F237" s="48">
        <v>204.95482099999998</v>
      </c>
      <c r="G237" s="48">
        <v>196.96627186523588</v>
      </c>
      <c r="H237" s="49">
        <v>-5.0778242033323595E-3</v>
      </c>
      <c r="I237" s="49">
        <v>-3.8977122352072402E-2</v>
      </c>
      <c r="J237" s="49">
        <v>-1.5672158124959368E-2</v>
      </c>
    </row>
    <row r="238" spans="1:10" ht="11.25" customHeight="1" x14ac:dyDescent="0.2">
      <c r="A238" s="58">
        <v>44713</v>
      </c>
      <c r="B238" s="48">
        <v>0</v>
      </c>
      <c r="C238" s="48">
        <v>0</v>
      </c>
      <c r="D238" s="48">
        <v>458.10239999999999</v>
      </c>
      <c r="E238" s="48">
        <v>455.77623654567543</v>
      </c>
      <c r="F238" s="48">
        <v>208.25133</v>
      </c>
      <c r="G238" s="48">
        <v>200.13429243060821</v>
      </c>
      <c r="H238" s="49">
        <v>-5.0778242033321375E-3</v>
      </c>
      <c r="I238" s="49">
        <v>-3.8977122352072291E-2</v>
      </c>
      <c r="J238" s="49">
        <v>-1.5672158124959146E-2</v>
      </c>
    </row>
    <row r="239" spans="1:10" ht="11.25" customHeight="1" x14ac:dyDescent="0.2">
      <c r="A239" s="58">
        <v>44743</v>
      </c>
      <c r="B239" s="48">
        <v>0</v>
      </c>
      <c r="C239" s="48">
        <v>0</v>
      </c>
      <c r="D239" s="48">
        <v>424.32</v>
      </c>
      <c r="E239" s="48">
        <v>422.1653776340421</v>
      </c>
      <c r="F239" s="48">
        <v>192.89400000000001</v>
      </c>
      <c r="G239" s="48">
        <v>185.37554696101935</v>
      </c>
      <c r="H239" s="49">
        <v>-5.0778242033321375E-3</v>
      </c>
      <c r="I239" s="49">
        <v>-3.8977122352072402E-2</v>
      </c>
      <c r="J239" s="49">
        <v>-1.5672158124959035E-2</v>
      </c>
    </row>
    <row r="240" spans="1:10" ht="11.25" customHeight="1" x14ac:dyDescent="0.2">
      <c r="A240" s="58">
        <v>44774</v>
      </c>
      <c r="B240" s="48">
        <v>0</v>
      </c>
      <c r="C240" s="48">
        <v>0</v>
      </c>
      <c r="D240" s="48">
        <v>427.584</v>
      </c>
      <c r="E240" s="48">
        <v>425.41280361584239</v>
      </c>
      <c r="F240" s="48">
        <v>194.37780000000001</v>
      </c>
      <c r="G240" s="48">
        <v>186.80151270687335</v>
      </c>
      <c r="H240" s="49">
        <v>-5.0778242033322485E-3</v>
      </c>
      <c r="I240" s="49">
        <v>-3.8977122352072402E-2</v>
      </c>
      <c r="J240" s="49">
        <v>-1.5672158124959368E-2</v>
      </c>
    </row>
    <row r="241" spans="1:10" ht="11.25" customHeight="1" x14ac:dyDescent="0.2">
      <c r="A241" s="54" t="s">
        <v>30</v>
      </c>
      <c r="B241" s="48">
        <v>0</v>
      </c>
      <c r="C241" s="48">
        <v>0</v>
      </c>
      <c r="D241" s="48">
        <v>11364.986850000001</v>
      </c>
      <c r="E241" s="48">
        <v>11307.537268628726</v>
      </c>
      <c r="F241" s="48">
        <v>5166.6786500000007</v>
      </c>
      <c r="G241" s="48">
        <v>4965.2127270636111</v>
      </c>
      <c r="H241" s="49">
        <v>-5.0549624147848693E-3</v>
      </c>
      <c r="I241" s="49">
        <v>-3.8993313999969748E-2</v>
      </c>
      <c r="J241" s="49">
        <v>-1.566179186892358E-2</v>
      </c>
    </row>
    <row r="242" spans="1:10" ht="11.25" customHeight="1" x14ac:dyDescent="0.2">
      <c r="A242" s="55" t="s">
        <v>25</v>
      </c>
      <c r="B242" s="48">
        <v>0</v>
      </c>
      <c r="C242" s="48">
        <v>0</v>
      </c>
      <c r="D242" s="48">
        <v>11364.986850000001</v>
      </c>
      <c r="E242" s="48">
        <v>11307.537268628726</v>
      </c>
      <c r="F242" s="48">
        <v>5166.6786500000007</v>
      </c>
      <c r="G242" s="48">
        <v>4965.2127270636111</v>
      </c>
      <c r="H242" s="49">
        <v>-5.0549624147848693E-3</v>
      </c>
      <c r="I242" s="49">
        <v>-3.8993313999969748E-2</v>
      </c>
      <c r="J242" s="49">
        <v>-1.566179186892358E-2</v>
      </c>
    </row>
    <row r="243" spans="1:10" ht="11.25" customHeight="1" x14ac:dyDescent="0.2">
      <c r="A243" s="56" t="s">
        <v>25</v>
      </c>
      <c r="B243" s="48">
        <v>0</v>
      </c>
      <c r="C243" s="48">
        <v>0</v>
      </c>
      <c r="D243" s="48">
        <v>11364.986850000001</v>
      </c>
      <c r="E243" s="48">
        <v>11307.537268628726</v>
      </c>
      <c r="F243" s="48">
        <v>5166.6786500000007</v>
      </c>
      <c r="G243" s="48">
        <v>4965.2127270636111</v>
      </c>
      <c r="H243" s="49">
        <v>-5.0549624147848693E-3</v>
      </c>
      <c r="I243" s="49">
        <v>-3.8993313999969748E-2</v>
      </c>
      <c r="J243" s="49">
        <v>-1.566179186892358E-2</v>
      </c>
    </row>
    <row r="244" spans="1:10" ht="11.25" customHeight="1" x14ac:dyDescent="0.2">
      <c r="A244" s="57" t="s">
        <v>25</v>
      </c>
      <c r="B244" s="48">
        <v>0</v>
      </c>
      <c r="C244" s="48">
        <v>0</v>
      </c>
      <c r="D244" s="48">
        <v>11364.986850000001</v>
      </c>
      <c r="E244" s="48">
        <v>11307.537268628726</v>
      </c>
      <c r="F244" s="48">
        <v>5166.6786500000007</v>
      </c>
      <c r="G244" s="48">
        <v>4965.2127270636111</v>
      </c>
      <c r="H244" s="49">
        <v>-5.0549624147848693E-3</v>
      </c>
      <c r="I244" s="49">
        <v>-3.8993313999969748E-2</v>
      </c>
      <c r="J244" s="49">
        <v>-1.566179186892358E-2</v>
      </c>
    </row>
    <row r="245" spans="1:10" ht="11.25" customHeight="1" x14ac:dyDescent="0.2">
      <c r="A245" s="58">
        <v>44440</v>
      </c>
      <c r="B245" s="48">
        <v>0</v>
      </c>
      <c r="C245" s="48">
        <v>0</v>
      </c>
      <c r="D245" s="48">
        <v>386.07569999999993</v>
      </c>
      <c r="E245" s="48">
        <v>384.12410184723825</v>
      </c>
      <c r="F245" s="48">
        <v>175.5153</v>
      </c>
      <c r="G245" s="48">
        <v>168.67137679530111</v>
      </c>
      <c r="H245" s="49">
        <v>-5.0549624147846473E-3</v>
      </c>
      <c r="I245" s="49">
        <v>-3.8993313999969748E-2</v>
      </c>
      <c r="J245" s="49">
        <v>-1.5661791868923358E-2</v>
      </c>
    </row>
    <row r="246" spans="1:10" ht="11.25" customHeight="1" x14ac:dyDescent="0.2">
      <c r="A246" s="58">
        <v>44470</v>
      </c>
      <c r="B246" s="48">
        <v>0</v>
      </c>
      <c r="C246" s="48">
        <v>0</v>
      </c>
      <c r="D246" s="48">
        <v>418.52844000000005</v>
      </c>
      <c r="E246" s="48">
        <v>416.41279446628153</v>
      </c>
      <c r="F246" s="48">
        <v>190.26876000000004</v>
      </c>
      <c r="G246" s="48">
        <v>182.84955049693514</v>
      </c>
      <c r="H246" s="49">
        <v>-5.0549624147847583E-3</v>
      </c>
      <c r="I246" s="49">
        <v>-3.8993313999969859E-2</v>
      </c>
      <c r="J246" s="49">
        <v>-1.5661791868923469E-2</v>
      </c>
    </row>
    <row r="247" spans="1:10" ht="11.25" customHeight="1" x14ac:dyDescent="0.2">
      <c r="A247" s="58">
        <v>44501</v>
      </c>
      <c r="B247" s="48">
        <v>0</v>
      </c>
      <c r="C247" s="48">
        <v>0</v>
      </c>
      <c r="D247" s="48">
        <v>467.20754999999997</v>
      </c>
      <c r="E247" s="48">
        <v>464.8458333948463</v>
      </c>
      <c r="F247" s="48">
        <v>212.39895000000001</v>
      </c>
      <c r="G247" s="48">
        <v>204.11681104938614</v>
      </c>
      <c r="H247" s="49">
        <v>-5.0549624147847583E-3</v>
      </c>
      <c r="I247" s="49">
        <v>-3.8993313999969748E-2</v>
      </c>
      <c r="J247" s="49">
        <v>-1.5661791868923469E-2</v>
      </c>
    </row>
    <row r="248" spans="1:10" ht="11.25" customHeight="1" x14ac:dyDescent="0.2">
      <c r="A248" s="58">
        <v>44531</v>
      </c>
      <c r="B248" s="48">
        <v>0</v>
      </c>
      <c r="C248" s="48">
        <v>0</v>
      </c>
      <c r="D248" s="48">
        <v>455.83043999999995</v>
      </c>
      <c r="E248" s="48">
        <v>453.52623425828517</v>
      </c>
      <c r="F248" s="48">
        <v>207.22676000000001</v>
      </c>
      <c r="G248" s="48">
        <v>199.14630187812364</v>
      </c>
      <c r="H248" s="49">
        <v>-5.0549624147847583E-3</v>
      </c>
      <c r="I248" s="49">
        <v>-3.8993313999969748E-2</v>
      </c>
      <c r="J248" s="49">
        <v>-1.5661791868923469E-2</v>
      </c>
    </row>
    <row r="249" spans="1:10" ht="11.25" customHeight="1" x14ac:dyDescent="0.2">
      <c r="A249" s="58">
        <v>44562</v>
      </c>
      <c r="B249" s="48">
        <v>0</v>
      </c>
      <c r="C249" s="48">
        <v>0</v>
      </c>
      <c r="D249" s="48">
        <v>470.56473</v>
      </c>
      <c r="E249" s="48">
        <v>468.18604297612666</v>
      </c>
      <c r="F249" s="48">
        <v>213.92517000000004</v>
      </c>
      <c r="G249" s="48">
        <v>205.58351867369311</v>
      </c>
      <c r="H249" s="49">
        <v>-5.0549624147847583E-3</v>
      </c>
      <c r="I249" s="49">
        <v>-3.8993313999969859E-2</v>
      </c>
      <c r="J249" s="49">
        <v>-1.566179186892358E-2</v>
      </c>
    </row>
    <row r="250" spans="1:10" ht="11.25" customHeight="1" x14ac:dyDescent="0.2">
      <c r="A250" s="58">
        <v>44593</v>
      </c>
      <c r="B250" s="48">
        <v>0</v>
      </c>
      <c r="C250" s="48">
        <v>0</v>
      </c>
      <c r="D250" s="48">
        <v>891.14477999999986</v>
      </c>
      <c r="E250" s="48">
        <v>886.64007663096822</v>
      </c>
      <c r="F250" s="48">
        <v>405.12662</v>
      </c>
      <c r="G250" s="48">
        <v>389.32939049659359</v>
      </c>
      <c r="H250" s="49">
        <v>-5.0549624147847583E-3</v>
      </c>
      <c r="I250" s="49">
        <v>-3.8993313999969748E-2</v>
      </c>
      <c r="J250" s="49">
        <v>-1.5661791868923469E-2</v>
      </c>
    </row>
    <row r="251" spans="1:10" ht="11.25" customHeight="1" x14ac:dyDescent="0.2">
      <c r="A251" s="58">
        <v>44621</v>
      </c>
      <c r="B251" s="48">
        <v>0</v>
      </c>
      <c r="C251" s="48">
        <v>0</v>
      </c>
      <c r="D251" s="48">
        <v>903.45443999999998</v>
      </c>
      <c r="E251" s="48">
        <v>898.88751176232961</v>
      </c>
      <c r="F251" s="48">
        <v>410.72276000000005</v>
      </c>
      <c r="G251" s="48">
        <v>394.70731845238583</v>
      </c>
      <c r="H251" s="49">
        <v>-5.0549624147847583E-3</v>
      </c>
      <c r="I251" s="49">
        <v>-3.8993313999969748E-2</v>
      </c>
      <c r="J251" s="49">
        <v>-1.566179186892358E-2</v>
      </c>
    </row>
    <row r="252" spans="1:10" ht="11.25" customHeight="1" x14ac:dyDescent="0.2">
      <c r="A252" s="58">
        <v>44652</v>
      </c>
      <c r="B252" s="48">
        <v>0</v>
      </c>
      <c r="C252" s="48">
        <v>0</v>
      </c>
      <c r="D252" s="48">
        <v>1512.22308</v>
      </c>
      <c r="E252" s="48">
        <v>1504.57884916783</v>
      </c>
      <c r="F252" s="48">
        <v>687.47732000000008</v>
      </c>
      <c r="G252" s="48">
        <v>660.6703009933824</v>
      </c>
      <c r="H252" s="49">
        <v>-5.0549624147847583E-3</v>
      </c>
      <c r="I252" s="49">
        <v>-3.8993313999969748E-2</v>
      </c>
      <c r="J252" s="49">
        <v>-1.566179186892358E-2</v>
      </c>
    </row>
    <row r="253" spans="1:10" ht="11.25" customHeight="1" x14ac:dyDescent="0.2">
      <c r="A253" s="58">
        <v>44682</v>
      </c>
      <c r="B253" s="48">
        <v>0</v>
      </c>
      <c r="C253" s="48">
        <v>0</v>
      </c>
      <c r="D253" s="48">
        <v>1524.3462299999999</v>
      </c>
      <c r="E253" s="48">
        <v>1516.6407171002311</v>
      </c>
      <c r="F253" s="48">
        <v>692.98867000000007</v>
      </c>
      <c r="G253" s="48">
        <v>665.9667451922686</v>
      </c>
      <c r="H253" s="49">
        <v>-5.0549624147847583E-3</v>
      </c>
      <c r="I253" s="49">
        <v>-3.8993313999969859E-2</v>
      </c>
      <c r="J253" s="49">
        <v>-1.5661791868923358E-2</v>
      </c>
    </row>
    <row r="254" spans="1:10" ht="11.25" customHeight="1" x14ac:dyDescent="0.2">
      <c r="A254" s="58">
        <v>44713</v>
      </c>
      <c r="B254" s="48">
        <v>0</v>
      </c>
      <c r="C254" s="48">
        <v>0</v>
      </c>
      <c r="D254" s="48">
        <v>1549.5250799999999</v>
      </c>
      <c r="E254" s="48">
        <v>1541.6922889598336</v>
      </c>
      <c r="F254" s="48">
        <v>704.43532000000005</v>
      </c>
      <c r="G254" s="48">
        <v>676.96705237457081</v>
      </c>
      <c r="H254" s="49">
        <v>-5.0549624147847583E-3</v>
      </c>
      <c r="I254" s="49">
        <v>-3.8993313999969859E-2</v>
      </c>
      <c r="J254" s="49">
        <v>-1.5661791868923469E-2</v>
      </c>
    </row>
    <row r="255" spans="1:10" ht="11.25" customHeight="1" x14ac:dyDescent="0.2">
      <c r="A255" s="58">
        <v>44743</v>
      </c>
      <c r="B255" s="48">
        <v>0</v>
      </c>
      <c r="C255" s="48">
        <v>0</v>
      </c>
      <c r="D255" s="48">
        <v>1373.64615</v>
      </c>
      <c r="E255" s="48">
        <v>1366.7024203405363</v>
      </c>
      <c r="F255" s="48">
        <v>624.47835000000009</v>
      </c>
      <c r="G255" s="48">
        <v>600.12786961226709</v>
      </c>
      <c r="H255" s="49">
        <v>-5.0549624147847583E-3</v>
      </c>
      <c r="I255" s="49">
        <v>-3.8993313999969748E-2</v>
      </c>
      <c r="J255" s="49">
        <v>-1.5661791868923358E-2</v>
      </c>
    </row>
    <row r="256" spans="1:10" ht="11.25" customHeight="1" x14ac:dyDescent="0.2">
      <c r="A256" s="58">
        <v>44774</v>
      </c>
      <c r="B256" s="48">
        <v>0</v>
      </c>
      <c r="C256" s="48">
        <v>0</v>
      </c>
      <c r="D256" s="48">
        <v>1412.4402299999999</v>
      </c>
      <c r="E256" s="48">
        <v>1405.3003977242201</v>
      </c>
      <c r="F256" s="48">
        <v>642.11467000000005</v>
      </c>
      <c r="G256" s="48">
        <v>617.07649104870313</v>
      </c>
      <c r="H256" s="49">
        <v>-5.0549624147846473E-3</v>
      </c>
      <c r="I256" s="49">
        <v>-3.8993313999969637E-2</v>
      </c>
      <c r="J256" s="49">
        <v>-1.5661791868923358E-2</v>
      </c>
    </row>
    <row r="257" spans="1:10" ht="11.25" customHeight="1" x14ac:dyDescent="0.2">
      <c r="A257" s="54" t="s">
        <v>31</v>
      </c>
      <c r="B257" s="48">
        <v>0</v>
      </c>
      <c r="C257" s="48">
        <v>0</v>
      </c>
      <c r="D257" s="48">
        <v>16470.590240000001</v>
      </c>
      <c r="E257" s="48">
        <v>16387.624907358193</v>
      </c>
      <c r="F257" s="48">
        <v>7488.1840599999996</v>
      </c>
      <c r="G257" s="48">
        <v>7195.9120561206946</v>
      </c>
      <c r="H257" s="49">
        <v>-5.0371802972987156E-3</v>
      </c>
      <c r="I257" s="49">
        <v>-3.9031092390016009E-2</v>
      </c>
      <c r="J257" s="49">
        <v>-1.5661791868923469E-2</v>
      </c>
    </row>
    <row r="258" spans="1:10" ht="11.25" customHeight="1" x14ac:dyDescent="0.2">
      <c r="A258" s="55" t="s">
        <v>25</v>
      </c>
      <c r="B258" s="48">
        <v>0</v>
      </c>
      <c r="C258" s="48">
        <v>0</v>
      </c>
      <c r="D258" s="48">
        <v>16470.590240000001</v>
      </c>
      <c r="E258" s="48">
        <v>16387.624907358193</v>
      </c>
      <c r="F258" s="48">
        <v>7488.1840599999996</v>
      </c>
      <c r="G258" s="48">
        <v>7195.9120561206946</v>
      </c>
      <c r="H258" s="49">
        <v>-5.0371802972987156E-3</v>
      </c>
      <c r="I258" s="49">
        <v>-3.9031092390016009E-2</v>
      </c>
      <c r="J258" s="49">
        <v>-1.5661791868923469E-2</v>
      </c>
    </row>
    <row r="259" spans="1:10" ht="11.25" customHeight="1" x14ac:dyDescent="0.2">
      <c r="A259" s="56" t="s">
        <v>25</v>
      </c>
      <c r="B259" s="48">
        <v>0</v>
      </c>
      <c r="C259" s="48">
        <v>0</v>
      </c>
      <c r="D259" s="48">
        <v>16470.590240000001</v>
      </c>
      <c r="E259" s="48">
        <v>16387.624907358193</v>
      </c>
      <c r="F259" s="48">
        <v>7488.1840599999996</v>
      </c>
      <c r="G259" s="48">
        <v>7195.9120561206946</v>
      </c>
      <c r="H259" s="49">
        <v>-5.0371802972987156E-3</v>
      </c>
      <c r="I259" s="49">
        <v>-3.9031092390016009E-2</v>
      </c>
      <c r="J259" s="49">
        <v>-1.5661791868923469E-2</v>
      </c>
    </row>
    <row r="260" spans="1:10" ht="11.25" customHeight="1" x14ac:dyDescent="0.2">
      <c r="A260" s="57" t="s">
        <v>25</v>
      </c>
      <c r="B260" s="48">
        <v>0</v>
      </c>
      <c r="C260" s="48">
        <v>0</v>
      </c>
      <c r="D260" s="48">
        <v>16470.590240000001</v>
      </c>
      <c r="E260" s="48">
        <v>16387.624907358193</v>
      </c>
      <c r="F260" s="48">
        <v>7488.1840599999996</v>
      </c>
      <c r="G260" s="48">
        <v>7195.9120561206946</v>
      </c>
      <c r="H260" s="49">
        <v>-5.0371802972987156E-3</v>
      </c>
      <c r="I260" s="49">
        <v>-3.9031092390016009E-2</v>
      </c>
      <c r="J260" s="49">
        <v>-1.5661791868923469E-2</v>
      </c>
    </row>
    <row r="261" spans="1:10" ht="11.25" customHeight="1" x14ac:dyDescent="0.2">
      <c r="A261" s="58">
        <v>44440</v>
      </c>
      <c r="B261" s="48">
        <v>0</v>
      </c>
      <c r="C261" s="48">
        <v>0</v>
      </c>
      <c r="D261" s="48">
        <v>585.53768000000002</v>
      </c>
      <c r="E261" s="48">
        <v>582.58822113497808</v>
      </c>
      <c r="F261" s="48">
        <v>266.20866999999998</v>
      </c>
      <c r="G261" s="48">
        <v>255.81825480620671</v>
      </c>
      <c r="H261" s="49">
        <v>-5.0371802972986046E-3</v>
      </c>
      <c r="I261" s="49">
        <v>-3.9031092390016009E-2</v>
      </c>
      <c r="J261" s="49">
        <v>-1.5661791868923469E-2</v>
      </c>
    </row>
    <row r="262" spans="1:10" ht="11.25" customHeight="1" x14ac:dyDescent="0.2">
      <c r="A262" s="58">
        <v>44470</v>
      </c>
      <c r="B262" s="48">
        <v>0</v>
      </c>
      <c r="C262" s="48">
        <v>0</v>
      </c>
      <c r="D262" s="48">
        <v>616.03152</v>
      </c>
      <c r="E262" s="48">
        <v>612.92845816494105</v>
      </c>
      <c r="F262" s="48">
        <v>280.07238000000001</v>
      </c>
      <c r="G262" s="48">
        <v>269.14084906032832</v>
      </c>
      <c r="H262" s="49">
        <v>-5.0371802972987156E-3</v>
      </c>
      <c r="I262" s="49">
        <v>-3.903109239001612E-2</v>
      </c>
      <c r="J262" s="49">
        <v>-1.566179186892358E-2</v>
      </c>
    </row>
    <row r="263" spans="1:10" ht="11.25" customHeight="1" x14ac:dyDescent="0.2">
      <c r="A263" s="58">
        <v>44501</v>
      </c>
      <c r="B263" s="48">
        <v>0</v>
      </c>
      <c r="C263" s="48">
        <v>0</v>
      </c>
      <c r="D263" s="48">
        <v>630.57903999999996</v>
      </c>
      <c r="E263" s="48">
        <v>627.40269968382256</v>
      </c>
      <c r="F263" s="48">
        <v>286.68626</v>
      </c>
      <c r="G263" s="48">
        <v>275.49658209899184</v>
      </c>
      <c r="H263" s="49">
        <v>-5.0371802972984936E-3</v>
      </c>
      <c r="I263" s="49">
        <v>-3.903109239001612E-2</v>
      </c>
      <c r="J263" s="49">
        <v>-1.5661791868923469E-2</v>
      </c>
    </row>
    <row r="264" spans="1:10" ht="11.25" customHeight="1" x14ac:dyDescent="0.2">
      <c r="A264" s="58">
        <v>44531</v>
      </c>
      <c r="B264" s="48">
        <v>0</v>
      </c>
      <c r="C264" s="48">
        <v>0</v>
      </c>
      <c r="D264" s="48">
        <v>727.65575999999999</v>
      </c>
      <c r="E264" s="48">
        <v>723.99042674251211</v>
      </c>
      <c r="F264" s="48">
        <v>330.82119</v>
      </c>
      <c r="G264" s="48">
        <v>317.90887756853493</v>
      </c>
      <c r="H264" s="49">
        <v>-5.0371802972986046E-3</v>
      </c>
      <c r="I264" s="49">
        <v>-3.903109239001612E-2</v>
      </c>
      <c r="J264" s="49">
        <v>-1.566179186892358E-2</v>
      </c>
    </row>
    <row r="265" spans="1:10" ht="11.25" customHeight="1" x14ac:dyDescent="0.2">
      <c r="A265" s="58">
        <v>44562</v>
      </c>
      <c r="B265" s="48">
        <v>0</v>
      </c>
      <c r="C265" s="48">
        <v>0</v>
      </c>
      <c r="D265" s="48">
        <v>698.00120000000004</v>
      </c>
      <c r="E265" s="48">
        <v>694.48524210786923</v>
      </c>
      <c r="F265" s="48">
        <v>317.33904999999999</v>
      </c>
      <c r="G265" s="48">
        <v>304.95296022049013</v>
      </c>
      <c r="H265" s="49">
        <v>-5.0371802972986046E-3</v>
      </c>
      <c r="I265" s="49">
        <v>-3.9031092390015898E-2</v>
      </c>
      <c r="J265" s="49">
        <v>-1.5661791868923358E-2</v>
      </c>
    </row>
    <row r="266" spans="1:10" ht="11.25" customHeight="1" x14ac:dyDescent="0.2">
      <c r="A266" s="58">
        <v>44593</v>
      </c>
      <c r="B266" s="48">
        <v>0</v>
      </c>
      <c r="C266" s="48">
        <v>0</v>
      </c>
      <c r="D266" s="48">
        <v>1188.98</v>
      </c>
      <c r="E266" s="48">
        <v>1182.9908933701179</v>
      </c>
      <c r="F266" s="48">
        <v>540.5575</v>
      </c>
      <c r="G266" s="48">
        <v>519.45895027538393</v>
      </c>
      <c r="H266" s="49">
        <v>-5.0371802972986046E-3</v>
      </c>
      <c r="I266" s="49">
        <v>-3.9031092390016009E-2</v>
      </c>
      <c r="J266" s="49">
        <v>-1.5661791868923358E-2</v>
      </c>
    </row>
    <row r="267" spans="1:10" ht="11.25" customHeight="1" x14ac:dyDescent="0.2">
      <c r="A267" s="58">
        <v>44621</v>
      </c>
      <c r="B267" s="48">
        <v>0</v>
      </c>
      <c r="C267" s="48">
        <v>0</v>
      </c>
      <c r="D267" s="48">
        <v>1179.7479199999998</v>
      </c>
      <c r="E267" s="48">
        <v>1173.8053170215969</v>
      </c>
      <c r="F267" s="48">
        <v>536.36022999999989</v>
      </c>
      <c r="G267" s="48">
        <v>515.42550430853976</v>
      </c>
      <c r="H267" s="49">
        <v>-5.0371802972984936E-3</v>
      </c>
      <c r="I267" s="49">
        <v>-3.9031092390015787E-2</v>
      </c>
      <c r="J267" s="49">
        <v>-1.5661791868923247E-2</v>
      </c>
    </row>
    <row r="268" spans="1:10" ht="11.25" customHeight="1" x14ac:dyDescent="0.2">
      <c r="A268" s="58">
        <v>44652</v>
      </c>
      <c r="B268" s="48">
        <v>0</v>
      </c>
      <c r="C268" s="48">
        <v>0</v>
      </c>
      <c r="D268" s="48">
        <v>2231.3657600000001</v>
      </c>
      <c r="E268" s="48">
        <v>2220.1259683576613</v>
      </c>
      <c r="F268" s="48">
        <v>1014.46744</v>
      </c>
      <c r="G268" s="48">
        <v>974.87166762269692</v>
      </c>
      <c r="H268" s="49">
        <v>-5.0371802972986046E-3</v>
      </c>
      <c r="I268" s="49">
        <v>-3.903109239001612E-2</v>
      </c>
      <c r="J268" s="49">
        <v>-1.5661791868923469E-2</v>
      </c>
    </row>
    <row r="269" spans="1:10" ht="11.25" customHeight="1" x14ac:dyDescent="0.2">
      <c r="A269" s="58">
        <v>44682</v>
      </c>
      <c r="B269" s="48">
        <v>0</v>
      </c>
      <c r="C269" s="48">
        <v>0</v>
      </c>
      <c r="D269" s="48">
        <v>2214.0206399999997</v>
      </c>
      <c r="E269" s="48">
        <v>2202.8682188543794</v>
      </c>
      <c r="F269" s="48">
        <v>1006.5816599999999</v>
      </c>
      <c r="G269" s="48">
        <v>967.29367823044424</v>
      </c>
      <c r="H269" s="49">
        <v>-5.0371802972986046E-3</v>
      </c>
      <c r="I269" s="49">
        <v>-3.9031092390016009E-2</v>
      </c>
      <c r="J269" s="49">
        <v>-1.5661791868923358E-2</v>
      </c>
    </row>
    <row r="270" spans="1:10" ht="11.25" customHeight="1" x14ac:dyDescent="0.2">
      <c r="A270" s="58">
        <v>44713</v>
      </c>
      <c r="B270" s="48">
        <v>0</v>
      </c>
      <c r="C270" s="48">
        <v>0</v>
      </c>
      <c r="D270" s="48">
        <v>2217.6575199999997</v>
      </c>
      <c r="E270" s="48">
        <v>2206.4867792340997</v>
      </c>
      <c r="F270" s="48">
        <v>1008.2351299999999</v>
      </c>
      <c r="G270" s="48">
        <v>968.88261149011009</v>
      </c>
      <c r="H270" s="49">
        <v>-5.0371802972986046E-3</v>
      </c>
      <c r="I270" s="49">
        <v>-3.9031092390016009E-2</v>
      </c>
      <c r="J270" s="49">
        <v>-1.566179186892358E-2</v>
      </c>
    </row>
    <row r="271" spans="1:10" ht="11.25" customHeight="1" x14ac:dyDescent="0.2">
      <c r="A271" s="58">
        <v>44743</v>
      </c>
      <c r="B271" s="48">
        <v>0</v>
      </c>
      <c r="C271" s="48">
        <v>0</v>
      </c>
      <c r="D271" s="48">
        <v>2153.03296</v>
      </c>
      <c r="E271" s="48">
        <v>2142.1877447944535</v>
      </c>
      <c r="F271" s="48">
        <v>978.85424</v>
      </c>
      <c r="G271" s="48">
        <v>940.64848972220102</v>
      </c>
      <c r="H271" s="49">
        <v>-5.0371802972986046E-3</v>
      </c>
      <c r="I271" s="49">
        <v>-3.903109239001612E-2</v>
      </c>
      <c r="J271" s="49">
        <v>-1.566179186892358E-2</v>
      </c>
    </row>
    <row r="272" spans="1:10" ht="11.25" customHeight="1" x14ac:dyDescent="0.2">
      <c r="A272" s="58">
        <v>44774</v>
      </c>
      <c r="B272" s="48">
        <v>0</v>
      </c>
      <c r="C272" s="48">
        <v>0</v>
      </c>
      <c r="D272" s="48">
        <v>2027.9802399999999</v>
      </c>
      <c r="E272" s="48">
        <v>2017.7649378917611</v>
      </c>
      <c r="F272" s="48">
        <v>922.0003099999999</v>
      </c>
      <c r="G272" s="48">
        <v>886.01363071676656</v>
      </c>
      <c r="H272" s="49">
        <v>-5.0371802972986046E-3</v>
      </c>
      <c r="I272" s="49">
        <v>-3.9031092390015898E-2</v>
      </c>
      <c r="J272" s="49">
        <v>-1.5661791868923358E-2</v>
      </c>
    </row>
    <row r="273" spans="1:10" ht="11.25" customHeight="1" x14ac:dyDescent="0.2">
      <c r="A273" s="54" t="s">
        <v>32</v>
      </c>
      <c r="B273" s="48">
        <v>0</v>
      </c>
      <c r="C273" s="48">
        <v>0</v>
      </c>
      <c r="D273" s="48">
        <v>6970.8978399999996</v>
      </c>
      <c r="E273" s="48">
        <v>6935.8833397956241</v>
      </c>
      <c r="F273" s="48">
        <v>3169.2423199999994</v>
      </c>
      <c r="G273" s="48">
        <v>3045.5912206211133</v>
      </c>
      <c r="H273" s="49">
        <v>-5.0229541456564553E-3</v>
      </c>
      <c r="I273" s="49">
        <v>-3.9015981390430832E-2</v>
      </c>
      <c r="J273" s="49">
        <v>-1.5647278743656012E-2</v>
      </c>
    </row>
    <row r="274" spans="1:10" ht="11.25" customHeight="1" x14ac:dyDescent="0.2">
      <c r="A274" s="55" t="s">
        <v>25</v>
      </c>
      <c r="B274" s="48">
        <v>0</v>
      </c>
      <c r="C274" s="48">
        <v>0</v>
      </c>
      <c r="D274" s="48">
        <v>6970.8978399999996</v>
      </c>
      <c r="E274" s="48">
        <v>6935.8833397956241</v>
      </c>
      <c r="F274" s="48">
        <v>3169.2423199999994</v>
      </c>
      <c r="G274" s="48">
        <v>3045.5912206211133</v>
      </c>
      <c r="H274" s="49">
        <v>-5.0229541456564553E-3</v>
      </c>
      <c r="I274" s="49">
        <v>-3.9015981390430832E-2</v>
      </c>
      <c r="J274" s="49">
        <v>-1.5647278743656012E-2</v>
      </c>
    </row>
    <row r="275" spans="1:10" ht="11.25" customHeight="1" x14ac:dyDescent="0.2">
      <c r="A275" s="56" t="s">
        <v>25</v>
      </c>
      <c r="B275" s="48">
        <v>0</v>
      </c>
      <c r="C275" s="48">
        <v>0</v>
      </c>
      <c r="D275" s="48">
        <v>6970.8978399999996</v>
      </c>
      <c r="E275" s="48">
        <v>6935.8833397956241</v>
      </c>
      <c r="F275" s="48">
        <v>3169.2423199999994</v>
      </c>
      <c r="G275" s="48">
        <v>3045.5912206211133</v>
      </c>
      <c r="H275" s="49">
        <v>-5.0229541456564553E-3</v>
      </c>
      <c r="I275" s="49">
        <v>-3.9015981390430832E-2</v>
      </c>
      <c r="J275" s="49">
        <v>-1.5647278743656012E-2</v>
      </c>
    </row>
    <row r="276" spans="1:10" ht="11.25" customHeight="1" x14ac:dyDescent="0.2">
      <c r="A276" s="57" t="s">
        <v>25</v>
      </c>
      <c r="B276" s="48">
        <v>0</v>
      </c>
      <c r="C276" s="48">
        <v>0</v>
      </c>
      <c r="D276" s="48">
        <v>6970.8978399999996</v>
      </c>
      <c r="E276" s="48">
        <v>6935.8833397956241</v>
      </c>
      <c r="F276" s="48">
        <v>3169.2423199999994</v>
      </c>
      <c r="G276" s="48">
        <v>3045.5912206211133</v>
      </c>
      <c r="H276" s="49">
        <v>-5.0229541456564553E-3</v>
      </c>
      <c r="I276" s="49">
        <v>-3.9015981390430832E-2</v>
      </c>
      <c r="J276" s="49">
        <v>-1.5647278743656012E-2</v>
      </c>
    </row>
    <row r="277" spans="1:10" ht="11.25" customHeight="1" x14ac:dyDescent="0.2">
      <c r="A277" s="58">
        <v>44440</v>
      </c>
      <c r="B277" s="48">
        <v>0</v>
      </c>
      <c r="C277" s="48">
        <v>0</v>
      </c>
      <c r="D277" s="48">
        <v>181.53055999999998</v>
      </c>
      <c r="E277" s="48">
        <v>180.61874032108466</v>
      </c>
      <c r="F277" s="48">
        <v>82.530879999999996</v>
      </c>
      <c r="G277" s="48">
        <v>79.310856721784106</v>
      </c>
      <c r="H277" s="49">
        <v>-5.0229541456563442E-3</v>
      </c>
      <c r="I277" s="49">
        <v>-3.9015981390430943E-2</v>
      </c>
      <c r="J277" s="49">
        <v>-1.5647278743656012E-2</v>
      </c>
    </row>
    <row r="278" spans="1:10" ht="11.25" customHeight="1" x14ac:dyDescent="0.2">
      <c r="A278" s="58">
        <v>44470</v>
      </c>
      <c r="B278" s="48">
        <v>0</v>
      </c>
      <c r="C278" s="48">
        <v>0</v>
      </c>
      <c r="D278" s="48">
        <v>186.81483999999998</v>
      </c>
      <c r="E278" s="48">
        <v>185.87647762495186</v>
      </c>
      <c r="F278" s="48">
        <v>84.933319999999995</v>
      </c>
      <c r="G278" s="48">
        <v>81.619563167452469</v>
      </c>
      <c r="H278" s="49">
        <v>-5.0229541456562332E-3</v>
      </c>
      <c r="I278" s="49">
        <v>-3.9015981390431054E-2</v>
      </c>
      <c r="J278" s="49">
        <v>-1.5647278743656234E-2</v>
      </c>
    </row>
    <row r="279" spans="1:10" ht="11.25" customHeight="1" x14ac:dyDescent="0.2">
      <c r="A279" s="58">
        <v>44501</v>
      </c>
      <c r="B279" s="48">
        <v>0</v>
      </c>
      <c r="C279" s="48">
        <v>0</v>
      </c>
      <c r="D279" s="48">
        <v>208.57363999999998</v>
      </c>
      <c r="E279" s="48">
        <v>207.52598417028736</v>
      </c>
      <c r="F279" s="48">
        <v>94.825720000000004</v>
      </c>
      <c r="G279" s="48">
        <v>91.126001473145777</v>
      </c>
      <c r="H279" s="49">
        <v>-5.0229541456563442E-3</v>
      </c>
      <c r="I279" s="49">
        <v>-3.9015981390431054E-2</v>
      </c>
      <c r="J279" s="49">
        <v>-1.5647278743656123E-2</v>
      </c>
    </row>
    <row r="280" spans="1:10" ht="11.25" customHeight="1" x14ac:dyDescent="0.2">
      <c r="A280" s="58">
        <v>44531</v>
      </c>
      <c r="B280" s="48">
        <v>0</v>
      </c>
      <c r="C280" s="48">
        <v>0</v>
      </c>
      <c r="D280" s="48">
        <v>398.80771999999996</v>
      </c>
      <c r="E280" s="48">
        <v>396.80452710950618</v>
      </c>
      <c r="F280" s="48">
        <v>181.31355999999997</v>
      </c>
      <c r="G280" s="48">
        <v>174.2394335172072</v>
      </c>
      <c r="H280" s="49">
        <v>-5.0229541456564553E-3</v>
      </c>
      <c r="I280" s="49">
        <v>-3.9015981390430832E-2</v>
      </c>
      <c r="J280" s="49">
        <v>-1.5647278743656012E-2</v>
      </c>
    </row>
    <row r="281" spans="1:10" ht="11.25" customHeight="1" x14ac:dyDescent="0.2">
      <c r="A281" s="58">
        <v>44562</v>
      </c>
      <c r="B281" s="48">
        <v>0</v>
      </c>
      <c r="C281" s="48">
        <v>0</v>
      </c>
      <c r="D281" s="48">
        <v>342.54568</v>
      </c>
      <c r="E281" s="48">
        <v>340.82508875656731</v>
      </c>
      <c r="F281" s="48">
        <v>155.73464000000001</v>
      </c>
      <c r="G281" s="48">
        <v>149.65850018391453</v>
      </c>
      <c r="H281" s="49">
        <v>-5.0229541456564553E-3</v>
      </c>
      <c r="I281" s="49">
        <v>-3.9015981390431054E-2</v>
      </c>
      <c r="J281" s="49">
        <v>-1.5647278743656234E-2</v>
      </c>
    </row>
    <row r="282" spans="1:10" ht="11.25" customHeight="1" x14ac:dyDescent="0.2">
      <c r="A282" s="58">
        <v>44593</v>
      </c>
      <c r="B282" s="48">
        <v>0</v>
      </c>
      <c r="C282" s="48">
        <v>0</v>
      </c>
      <c r="D282" s="48">
        <v>459.42151999999993</v>
      </c>
      <c r="E282" s="48">
        <v>457.11386677151222</v>
      </c>
      <c r="F282" s="48">
        <v>208.87096</v>
      </c>
      <c r="G282" s="48">
        <v>200.72165451163855</v>
      </c>
      <c r="H282" s="49">
        <v>-5.0229541456562332E-3</v>
      </c>
      <c r="I282" s="49">
        <v>-3.9015981390430943E-2</v>
      </c>
      <c r="J282" s="49">
        <v>-1.5647278743656012E-2</v>
      </c>
    </row>
    <row r="283" spans="1:10" ht="11.25" customHeight="1" x14ac:dyDescent="0.2">
      <c r="A283" s="58">
        <v>44621</v>
      </c>
      <c r="B283" s="48">
        <v>0</v>
      </c>
      <c r="C283" s="48">
        <v>0</v>
      </c>
      <c r="D283" s="48">
        <v>661.77835999999991</v>
      </c>
      <c r="E283" s="48">
        <v>658.45427764313229</v>
      </c>
      <c r="F283" s="48">
        <v>300.87027999999998</v>
      </c>
      <c r="G283" s="48">
        <v>289.13153075458621</v>
      </c>
      <c r="H283" s="49">
        <v>-5.0229541456563442E-3</v>
      </c>
      <c r="I283" s="49">
        <v>-3.9015981390431054E-2</v>
      </c>
      <c r="J283" s="49">
        <v>-1.5647278743656123E-2</v>
      </c>
    </row>
    <row r="284" spans="1:10" ht="11.25" customHeight="1" x14ac:dyDescent="0.2">
      <c r="A284" s="58">
        <v>44652</v>
      </c>
      <c r="B284" s="48">
        <v>0</v>
      </c>
      <c r="C284" s="48">
        <v>0</v>
      </c>
      <c r="D284" s="48">
        <v>948.68367999999998</v>
      </c>
      <c r="E284" s="48">
        <v>943.91848537662736</v>
      </c>
      <c r="F284" s="48">
        <v>431.30863999999997</v>
      </c>
      <c r="G284" s="48">
        <v>414.48071012822788</v>
      </c>
      <c r="H284" s="49">
        <v>-5.0229541456564553E-3</v>
      </c>
      <c r="I284" s="49">
        <v>-3.9015981390430943E-2</v>
      </c>
      <c r="J284" s="49">
        <v>-1.5647278743656012E-2</v>
      </c>
    </row>
    <row r="285" spans="1:10" ht="11.25" customHeight="1" x14ac:dyDescent="0.2">
      <c r="A285" s="58">
        <v>44682</v>
      </c>
      <c r="B285" s="48">
        <v>0</v>
      </c>
      <c r="C285" s="48">
        <v>0</v>
      </c>
      <c r="D285" s="48">
        <v>817.82003999999984</v>
      </c>
      <c r="E285" s="48">
        <v>813.71216743968102</v>
      </c>
      <c r="F285" s="48">
        <v>371.81291999999996</v>
      </c>
      <c r="G285" s="48">
        <v>357.30627403255818</v>
      </c>
      <c r="H285" s="49">
        <v>-5.0229541456563442E-3</v>
      </c>
      <c r="I285" s="49">
        <v>-3.9015981390430943E-2</v>
      </c>
      <c r="J285" s="49">
        <v>-1.5647278743656123E-2</v>
      </c>
    </row>
    <row r="286" spans="1:10" ht="11.25" customHeight="1" x14ac:dyDescent="0.2">
      <c r="A286" s="58">
        <v>44713</v>
      </c>
      <c r="B286" s="48">
        <v>0</v>
      </c>
      <c r="C286" s="48">
        <v>0</v>
      </c>
      <c r="D286" s="48">
        <v>1183.3678799999998</v>
      </c>
      <c r="E286" s="48">
        <v>1177.4238774013172</v>
      </c>
      <c r="F286" s="48">
        <v>538.00523999999996</v>
      </c>
      <c r="G286" s="48">
        <v>517.01443756820561</v>
      </c>
      <c r="H286" s="49">
        <v>-5.0229541456563442E-3</v>
      </c>
      <c r="I286" s="49">
        <v>-3.9015981390430943E-2</v>
      </c>
      <c r="J286" s="49">
        <v>-1.5647278743656123E-2</v>
      </c>
    </row>
    <row r="287" spans="1:10" ht="11.25" customHeight="1" x14ac:dyDescent="0.2">
      <c r="A287" s="58">
        <v>44743</v>
      </c>
      <c r="B287" s="48">
        <v>0</v>
      </c>
      <c r="C287" s="48">
        <v>0</v>
      </c>
      <c r="D287" s="48">
        <v>750.36775999999998</v>
      </c>
      <c r="E287" s="48">
        <v>746.59869714914112</v>
      </c>
      <c r="F287" s="48">
        <v>341.14648</v>
      </c>
      <c r="G287" s="48">
        <v>327.83631528490895</v>
      </c>
      <c r="H287" s="49">
        <v>-5.0229541456563442E-3</v>
      </c>
      <c r="I287" s="49">
        <v>-3.9015981390431054E-2</v>
      </c>
      <c r="J287" s="49">
        <v>-1.5647278743656012E-2</v>
      </c>
    </row>
    <row r="288" spans="1:10" ht="11.25" customHeight="1" x14ac:dyDescent="0.2">
      <c r="A288" s="58">
        <v>44774</v>
      </c>
      <c r="B288" s="48">
        <v>0</v>
      </c>
      <c r="C288" s="48">
        <v>0</v>
      </c>
      <c r="D288" s="48">
        <v>831.18615999999986</v>
      </c>
      <c r="E288" s="48">
        <v>827.01115003181576</v>
      </c>
      <c r="F288" s="48">
        <v>377.88968</v>
      </c>
      <c r="G288" s="48">
        <v>363.14594327748404</v>
      </c>
      <c r="H288" s="49">
        <v>-5.0229541456562332E-3</v>
      </c>
      <c r="I288" s="49">
        <v>-3.9015981390431054E-2</v>
      </c>
      <c r="J288" s="49">
        <v>-1.5647278743656123E-2</v>
      </c>
    </row>
    <row r="289" spans="1:10" ht="11.25" customHeight="1" x14ac:dyDescent="0.2">
      <c r="A289" s="51" t="s">
        <v>40</v>
      </c>
      <c r="B289" s="48">
        <v>0</v>
      </c>
      <c r="C289" s="48">
        <v>0</v>
      </c>
      <c r="D289" s="48">
        <v>13257307.643993996</v>
      </c>
      <c r="E289" s="48">
        <v>15613471.002045734</v>
      </c>
      <c r="F289" s="48">
        <v>4969342.5523920003</v>
      </c>
      <c r="G289" s="48">
        <v>5101123.8674034784</v>
      </c>
      <c r="H289" s="49">
        <v>0.17772563037104749</v>
      </c>
      <c r="I289" s="49">
        <v>2.6518863133724757E-2</v>
      </c>
      <c r="J289" s="49">
        <v>0.13650037973277884</v>
      </c>
    </row>
    <row r="290" spans="1:10" ht="11.25" customHeight="1" x14ac:dyDescent="0.2">
      <c r="A290" s="52" t="s">
        <v>23</v>
      </c>
      <c r="B290" s="48">
        <v>0</v>
      </c>
      <c r="C290" s="48">
        <v>0</v>
      </c>
      <c r="D290" s="48">
        <v>13257307.643993996</v>
      </c>
      <c r="E290" s="48">
        <v>15613471.002045734</v>
      </c>
      <c r="F290" s="48">
        <v>4969342.5523920003</v>
      </c>
      <c r="G290" s="48">
        <v>5101123.8674034784</v>
      </c>
      <c r="H290" s="49">
        <v>0.17772563037104749</v>
      </c>
      <c r="I290" s="49">
        <v>2.6518863133724757E-2</v>
      </c>
      <c r="J290" s="49">
        <v>0.13650037973277884</v>
      </c>
    </row>
    <row r="291" spans="1:10" ht="11.25" customHeight="1" x14ac:dyDescent="0.2">
      <c r="A291" s="53" t="s">
        <v>41</v>
      </c>
      <c r="B291" s="48">
        <v>0</v>
      </c>
      <c r="C291" s="48">
        <v>0</v>
      </c>
      <c r="D291" s="48">
        <v>13257307.643993996</v>
      </c>
      <c r="E291" s="48">
        <v>15613471.002045734</v>
      </c>
      <c r="F291" s="48">
        <v>4969342.5523920003</v>
      </c>
      <c r="G291" s="48">
        <v>5101123.8674034784</v>
      </c>
      <c r="H291" s="49">
        <v>0.17772563037104749</v>
      </c>
      <c r="I291" s="49">
        <v>2.6518863133724757E-2</v>
      </c>
      <c r="J291" s="49">
        <v>0.13650037973277884</v>
      </c>
    </row>
    <row r="292" spans="1:10" ht="11.25" customHeight="1" x14ac:dyDescent="0.2">
      <c r="A292" s="54" t="s">
        <v>49</v>
      </c>
      <c r="B292" s="48">
        <v>0</v>
      </c>
      <c r="C292" s="48">
        <v>0</v>
      </c>
      <c r="D292" s="48">
        <v>18973.196406000003</v>
      </c>
      <c r="E292" s="48">
        <v>22345.219697410033</v>
      </c>
      <c r="F292" s="48">
        <v>7111.8748079999996</v>
      </c>
      <c r="G292" s="48">
        <v>7300.4736426575391</v>
      </c>
      <c r="H292" s="49">
        <v>0.17772563037104661</v>
      </c>
      <c r="I292" s="49">
        <v>2.6518863133725423E-2</v>
      </c>
      <c r="J292" s="49">
        <v>0.13650037973277862</v>
      </c>
    </row>
    <row r="293" spans="1:10" ht="11.25" customHeight="1" x14ac:dyDescent="0.2">
      <c r="A293" s="55" t="s">
        <v>50</v>
      </c>
      <c r="B293" s="48">
        <v>0</v>
      </c>
      <c r="C293" s="48">
        <v>0</v>
      </c>
      <c r="D293" s="48">
        <v>14253.170969999999</v>
      </c>
      <c r="E293" s="48">
        <v>16786.324765429556</v>
      </c>
      <c r="F293" s="48">
        <v>5342.6299599999984</v>
      </c>
      <c r="G293" s="48">
        <v>5484.3104326833782</v>
      </c>
      <c r="H293" s="49">
        <v>0.17772563037104727</v>
      </c>
      <c r="I293" s="49">
        <v>2.6518863133724979E-2</v>
      </c>
      <c r="J293" s="49">
        <v>0.13650037973277884</v>
      </c>
    </row>
    <row r="294" spans="1:10" ht="11.25" customHeight="1" x14ac:dyDescent="0.2">
      <c r="A294" s="56" t="s">
        <v>25</v>
      </c>
      <c r="B294" s="48">
        <v>0</v>
      </c>
      <c r="C294" s="48">
        <v>0</v>
      </c>
      <c r="D294" s="48">
        <v>14253.170969999999</v>
      </c>
      <c r="E294" s="48">
        <v>16786.324765429556</v>
      </c>
      <c r="F294" s="48">
        <v>5342.6299599999984</v>
      </c>
      <c r="G294" s="48">
        <v>5484.3104326833782</v>
      </c>
      <c r="H294" s="49">
        <v>0.17772563037104727</v>
      </c>
      <c r="I294" s="49">
        <v>2.6518863133724979E-2</v>
      </c>
      <c r="J294" s="49">
        <v>0.13650037973277884</v>
      </c>
    </row>
    <row r="295" spans="1:10" ht="11.25" customHeight="1" x14ac:dyDescent="0.2">
      <c r="A295" s="57" t="s">
        <v>25</v>
      </c>
      <c r="B295" s="48">
        <v>0</v>
      </c>
      <c r="C295" s="48">
        <v>0</v>
      </c>
      <c r="D295" s="48">
        <v>14253.170969999999</v>
      </c>
      <c r="E295" s="48">
        <v>16786.324765429556</v>
      </c>
      <c r="F295" s="48">
        <v>5342.6299599999984</v>
      </c>
      <c r="G295" s="48">
        <v>5484.3104326833782</v>
      </c>
      <c r="H295" s="49">
        <v>0.17772563037104727</v>
      </c>
      <c r="I295" s="49">
        <v>2.6518863133724979E-2</v>
      </c>
      <c r="J295" s="49">
        <v>0.13650037973277884</v>
      </c>
    </row>
    <row r="296" spans="1:10" ht="11.25" customHeight="1" x14ac:dyDescent="0.2">
      <c r="A296" s="58">
        <v>44440</v>
      </c>
      <c r="B296" s="48">
        <v>0</v>
      </c>
      <c r="C296" s="48">
        <v>0</v>
      </c>
      <c r="D296" s="48">
        <v>1469.0775599999999</v>
      </c>
      <c r="E296" s="48">
        <v>1730.1702954149594</v>
      </c>
      <c r="F296" s="48">
        <v>550.66607999999997</v>
      </c>
      <c r="G296" s="48">
        <v>565.26911840790467</v>
      </c>
      <c r="H296" s="49">
        <v>0.17772563037104683</v>
      </c>
      <c r="I296" s="49">
        <v>2.6518863133724757E-2</v>
      </c>
      <c r="J296" s="49">
        <v>0.1365003797327784</v>
      </c>
    </row>
    <row r="297" spans="1:10" ht="11.25" customHeight="1" x14ac:dyDescent="0.2">
      <c r="A297" s="58">
        <v>44470</v>
      </c>
      <c r="B297" s="48">
        <v>0</v>
      </c>
      <c r="C297" s="48">
        <v>0</v>
      </c>
      <c r="D297" s="48">
        <v>1064.31816</v>
      </c>
      <c r="E297" s="48">
        <v>1253.4747759013528</v>
      </c>
      <c r="F297" s="48">
        <v>398.94688000000002</v>
      </c>
      <c r="G297" s="48">
        <v>409.52649770834654</v>
      </c>
      <c r="H297" s="49">
        <v>0.17772563037104683</v>
      </c>
      <c r="I297" s="49">
        <v>2.6518863133724757E-2</v>
      </c>
      <c r="J297" s="49">
        <v>0.13650037973277862</v>
      </c>
    </row>
    <row r="298" spans="1:10" ht="11.25" customHeight="1" x14ac:dyDescent="0.2">
      <c r="A298" s="58">
        <v>44501</v>
      </c>
      <c r="B298" s="48">
        <v>0</v>
      </c>
      <c r="C298" s="48">
        <v>0</v>
      </c>
      <c r="D298" s="48">
        <v>1172.8069499999999</v>
      </c>
      <c r="E298" s="48">
        <v>1381.2448044922949</v>
      </c>
      <c r="F298" s="48">
        <v>439.61260000000004</v>
      </c>
      <c r="G298" s="48">
        <v>451.27062637126096</v>
      </c>
      <c r="H298" s="49">
        <v>0.17772563037104705</v>
      </c>
      <c r="I298" s="49">
        <v>2.6518863133724757E-2</v>
      </c>
      <c r="J298" s="49">
        <v>0.1365003797327784</v>
      </c>
    </row>
    <row r="299" spans="1:10" ht="11.25" customHeight="1" x14ac:dyDescent="0.2">
      <c r="A299" s="58">
        <v>44531</v>
      </c>
      <c r="B299" s="48">
        <v>0</v>
      </c>
      <c r="C299" s="48">
        <v>0</v>
      </c>
      <c r="D299" s="48">
        <v>1239.49272</v>
      </c>
      <c r="E299" s="48">
        <v>1459.7823450023236</v>
      </c>
      <c r="F299" s="48">
        <v>464.60896000000002</v>
      </c>
      <c r="G299" s="48">
        <v>476.9298614209423</v>
      </c>
      <c r="H299" s="49">
        <v>0.17772563037104705</v>
      </c>
      <c r="I299" s="49">
        <v>2.6518863133724979E-2</v>
      </c>
      <c r="J299" s="49">
        <v>0.13650037973277862</v>
      </c>
    </row>
    <row r="300" spans="1:10" ht="11.25" customHeight="1" x14ac:dyDescent="0.2">
      <c r="A300" s="58">
        <v>44562</v>
      </c>
      <c r="B300" s="48">
        <v>0</v>
      </c>
      <c r="C300" s="48">
        <v>0</v>
      </c>
      <c r="D300" s="48">
        <v>1571.2627199999997</v>
      </c>
      <c r="E300" s="48">
        <v>1850.516377390526</v>
      </c>
      <c r="F300" s="48">
        <v>588.96895999999992</v>
      </c>
      <c r="G300" s="48">
        <v>604.58774724025227</v>
      </c>
      <c r="H300" s="49">
        <v>0.17772563037104727</v>
      </c>
      <c r="I300" s="49">
        <v>2.6518863133724979E-2</v>
      </c>
      <c r="J300" s="49">
        <v>0.13650037973277862</v>
      </c>
    </row>
    <row r="301" spans="1:10" ht="11.25" customHeight="1" x14ac:dyDescent="0.2">
      <c r="A301" s="58">
        <v>44593</v>
      </c>
      <c r="B301" s="48">
        <v>0</v>
      </c>
      <c r="C301" s="48">
        <v>0</v>
      </c>
      <c r="D301" s="48">
        <v>1589.1782999999998</v>
      </c>
      <c r="E301" s="48">
        <v>1871.6160151394888</v>
      </c>
      <c r="F301" s="48">
        <v>595.68439999999998</v>
      </c>
      <c r="G301" s="48">
        <v>611.48127307449499</v>
      </c>
      <c r="H301" s="49">
        <v>0.17772563037104705</v>
      </c>
      <c r="I301" s="49">
        <v>2.6518863133724757E-2</v>
      </c>
      <c r="J301" s="49">
        <v>0.13650037973277884</v>
      </c>
    </row>
    <row r="302" spans="1:10" ht="11.25" customHeight="1" x14ac:dyDescent="0.2">
      <c r="A302" s="58">
        <v>44621</v>
      </c>
      <c r="B302" s="48">
        <v>0</v>
      </c>
      <c r="C302" s="48">
        <v>0</v>
      </c>
      <c r="D302" s="48">
        <v>1350.6356699999999</v>
      </c>
      <c r="E302" s="48">
        <v>1590.6782458523712</v>
      </c>
      <c r="F302" s="48">
        <v>506.26956000000001</v>
      </c>
      <c r="G302" s="48">
        <v>519.69525317041109</v>
      </c>
      <c r="H302" s="49">
        <v>0.17772563037104705</v>
      </c>
      <c r="I302" s="49">
        <v>2.6518863133724757E-2</v>
      </c>
      <c r="J302" s="49">
        <v>0.1365003797327784</v>
      </c>
    </row>
    <row r="303" spans="1:10" ht="11.25" customHeight="1" x14ac:dyDescent="0.2">
      <c r="A303" s="58">
        <v>44652</v>
      </c>
      <c r="B303" s="48">
        <v>0</v>
      </c>
      <c r="C303" s="48">
        <v>0</v>
      </c>
      <c r="D303" s="48">
        <v>1102.4717099999998</v>
      </c>
      <c r="E303" s="48">
        <v>1298.4091896259961</v>
      </c>
      <c r="F303" s="48">
        <v>413.24827999999997</v>
      </c>
      <c r="G303" s="48">
        <v>424.20715457756722</v>
      </c>
      <c r="H303" s="49">
        <v>0.17772563037104727</v>
      </c>
      <c r="I303" s="49">
        <v>2.6518863133724979E-2</v>
      </c>
      <c r="J303" s="49">
        <v>0.13650037973277862</v>
      </c>
    </row>
    <row r="304" spans="1:10" ht="11.25" customHeight="1" x14ac:dyDescent="0.2">
      <c r="A304" s="58">
        <v>44682</v>
      </c>
      <c r="B304" s="48">
        <v>0</v>
      </c>
      <c r="C304" s="48">
        <v>0</v>
      </c>
      <c r="D304" s="48">
        <v>834.40154999999993</v>
      </c>
      <c r="E304" s="48">
        <v>982.69609145632876</v>
      </c>
      <c r="F304" s="48">
        <v>312.7654</v>
      </c>
      <c r="G304" s="48">
        <v>321.0595828355647</v>
      </c>
      <c r="H304" s="49">
        <v>0.17772563037104727</v>
      </c>
      <c r="I304" s="49">
        <v>2.6518863133724757E-2</v>
      </c>
      <c r="J304" s="49">
        <v>0.13650037973277884</v>
      </c>
    </row>
    <row r="305" spans="1:10" ht="11.25" customHeight="1" x14ac:dyDescent="0.2">
      <c r="A305" s="58">
        <v>44713</v>
      </c>
      <c r="B305" s="48">
        <v>0</v>
      </c>
      <c r="C305" s="48">
        <v>0</v>
      </c>
      <c r="D305" s="48">
        <v>1025.50107</v>
      </c>
      <c r="E305" s="48">
        <v>1207.7588941119332</v>
      </c>
      <c r="F305" s="48">
        <v>384.39676000000003</v>
      </c>
      <c r="G305" s="48">
        <v>394.59052506748731</v>
      </c>
      <c r="H305" s="49">
        <v>0.17772563037104683</v>
      </c>
      <c r="I305" s="49">
        <v>2.6518863133724757E-2</v>
      </c>
      <c r="J305" s="49">
        <v>0.1365003797327784</v>
      </c>
    </row>
    <row r="306" spans="1:10" ht="11.25" customHeight="1" x14ac:dyDescent="0.2">
      <c r="A306" s="58">
        <v>44743</v>
      </c>
      <c r="B306" s="48">
        <v>0</v>
      </c>
      <c r="C306" s="48">
        <v>0</v>
      </c>
      <c r="D306" s="48">
        <v>869.23739999999987</v>
      </c>
      <c r="E306" s="48">
        <v>1023.7231648570898</v>
      </c>
      <c r="F306" s="48">
        <v>325.82319999999999</v>
      </c>
      <c r="G306" s="48">
        <v>334.46366084659223</v>
      </c>
      <c r="H306" s="49">
        <v>0.17772563037104705</v>
      </c>
      <c r="I306" s="49">
        <v>2.6518863133724757E-2</v>
      </c>
      <c r="J306" s="49">
        <v>0.13650037973277884</v>
      </c>
    </row>
    <row r="307" spans="1:10" ht="11.25" customHeight="1" x14ac:dyDescent="0.2">
      <c r="A307" s="58">
        <v>44774</v>
      </c>
      <c r="B307" s="48">
        <v>0</v>
      </c>
      <c r="C307" s="48">
        <v>0</v>
      </c>
      <c r="D307" s="48">
        <v>964.78715999999986</v>
      </c>
      <c r="E307" s="48">
        <v>1136.2545661848922</v>
      </c>
      <c r="F307" s="48">
        <v>361.63887999999997</v>
      </c>
      <c r="G307" s="48">
        <v>371.22913196255354</v>
      </c>
      <c r="H307" s="49">
        <v>0.17772563037104705</v>
      </c>
      <c r="I307" s="49">
        <v>2.6518863133724979E-2</v>
      </c>
      <c r="J307" s="49">
        <v>0.13650037973277862</v>
      </c>
    </row>
    <row r="308" spans="1:10" ht="11.25" customHeight="1" x14ac:dyDescent="0.2">
      <c r="A308" s="55" t="s">
        <v>51</v>
      </c>
      <c r="B308" s="48">
        <v>0</v>
      </c>
      <c r="C308" s="48">
        <v>0</v>
      </c>
      <c r="D308" s="48">
        <v>4720.025435999999</v>
      </c>
      <c r="E308" s="48">
        <v>5558.8949319804769</v>
      </c>
      <c r="F308" s="48">
        <v>1769.2448479999998</v>
      </c>
      <c r="G308" s="48">
        <v>1816.1632099741601</v>
      </c>
      <c r="H308" s="49">
        <v>0.17772563037104705</v>
      </c>
      <c r="I308" s="49">
        <v>2.6518863133724757E-2</v>
      </c>
      <c r="J308" s="49">
        <v>0.13650037973277862</v>
      </c>
    </row>
    <row r="309" spans="1:10" ht="11.25" customHeight="1" x14ac:dyDescent="0.2">
      <c r="A309" s="56" t="s">
        <v>25</v>
      </c>
      <c r="B309" s="48">
        <v>0</v>
      </c>
      <c r="C309" s="48">
        <v>0</v>
      </c>
      <c r="D309" s="48">
        <v>4720.025435999999</v>
      </c>
      <c r="E309" s="48">
        <v>5558.8949319804769</v>
      </c>
      <c r="F309" s="48">
        <v>1769.2448479999998</v>
      </c>
      <c r="G309" s="48">
        <v>1816.1632099741601</v>
      </c>
      <c r="H309" s="49">
        <v>0.17772563037104705</v>
      </c>
      <c r="I309" s="49">
        <v>2.6518863133724757E-2</v>
      </c>
      <c r="J309" s="49">
        <v>0.13650037973277862</v>
      </c>
    </row>
    <row r="310" spans="1:10" ht="11.25" customHeight="1" x14ac:dyDescent="0.2">
      <c r="A310" s="57" t="s">
        <v>25</v>
      </c>
      <c r="B310" s="48">
        <v>0</v>
      </c>
      <c r="C310" s="48">
        <v>0</v>
      </c>
      <c r="D310" s="48">
        <v>4720.025435999999</v>
      </c>
      <c r="E310" s="48">
        <v>5558.8949319804769</v>
      </c>
      <c r="F310" s="48">
        <v>1769.2448479999998</v>
      </c>
      <c r="G310" s="48">
        <v>1816.1632099741601</v>
      </c>
      <c r="H310" s="49">
        <v>0.17772563037104705</v>
      </c>
      <c r="I310" s="49">
        <v>2.6518863133724757E-2</v>
      </c>
      <c r="J310" s="49">
        <v>0.13650037973277862</v>
      </c>
    </row>
    <row r="311" spans="1:10" ht="11.25" customHeight="1" x14ac:dyDescent="0.2">
      <c r="A311" s="58">
        <v>44440</v>
      </c>
      <c r="B311" s="48">
        <v>0</v>
      </c>
      <c r="C311" s="48">
        <v>0</v>
      </c>
      <c r="D311" s="48">
        <v>595.32808799999998</v>
      </c>
      <c r="E311" s="48">
        <v>701.13314771739022</v>
      </c>
      <c r="F311" s="48">
        <v>223.15158399999999</v>
      </c>
      <c r="G311" s="48">
        <v>229.06931031416991</v>
      </c>
      <c r="H311" s="49">
        <v>0.17772563037104727</v>
      </c>
      <c r="I311" s="49">
        <v>2.6518863133724979E-2</v>
      </c>
      <c r="J311" s="49">
        <v>0.13650037973277884</v>
      </c>
    </row>
    <row r="312" spans="1:10" ht="11.25" customHeight="1" x14ac:dyDescent="0.2">
      <c r="A312" s="58">
        <v>44470</v>
      </c>
      <c r="B312" s="48">
        <v>0</v>
      </c>
      <c r="C312" s="48">
        <v>0</v>
      </c>
      <c r="D312" s="48">
        <v>247.63312799999997</v>
      </c>
      <c r="E312" s="48">
        <v>291.64388177455413</v>
      </c>
      <c r="F312" s="48">
        <v>92.822304000000003</v>
      </c>
      <c r="G312" s="48">
        <v>95.283845975532998</v>
      </c>
      <c r="H312" s="49">
        <v>0.17772563037104705</v>
      </c>
      <c r="I312" s="49">
        <v>2.6518863133724757E-2</v>
      </c>
      <c r="J312" s="49">
        <v>0.1365003797327784</v>
      </c>
    </row>
    <row r="313" spans="1:10" ht="11.25" customHeight="1" x14ac:dyDescent="0.2">
      <c r="A313" s="58">
        <v>44501</v>
      </c>
      <c r="B313" s="48">
        <v>0</v>
      </c>
      <c r="C313" s="48">
        <v>0</v>
      </c>
      <c r="D313" s="48">
        <v>350.08370400000001</v>
      </c>
      <c r="E313" s="48">
        <v>412.30255097603106</v>
      </c>
      <c r="F313" s="48">
        <v>131.224672</v>
      </c>
      <c r="G313" s="48">
        <v>134.70460111653594</v>
      </c>
      <c r="H313" s="49">
        <v>0.17772563037104705</v>
      </c>
      <c r="I313" s="49">
        <v>2.6518863133724979E-2</v>
      </c>
      <c r="J313" s="49">
        <v>0.13650037973277862</v>
      </c>
    </row>
    <row r="314" spans="1:10" ht="11.25" customHeight="1" x14ac:dyDescent="0.2">
      <c r="A314" s="58">
        <v>44531</v>
      </c>
      <c r="B314" s="48">
        <v>0</v>
      </c>
      <c r="C314" s="48">
        <v>0</v>
      </c>
      <c r="D314" s="48">
        <v>665.79603599999996</v>
      </c>
      <c r="E314" s="48">
        <v>784.12505619664432</v>
      </c>
      <c r="F314" s="48">
        <v>249.56564800000001</v>
      </c>
      <c r="G314" s="48">
        <v>256.18384526219137</v>
      </c>
      <c r="H314" s="49">
        <v>0.17772563037104705</v>
      </c>
      <c r="I314" s="49">
        <v>2.6518863133724979E-2</v>
      </c>
      <c r="J314" s="49">
        <v>0.13650037973277862</v>
      </c>
    </row>
    <row r="315" spans="1:10" ht="11.25" customHeight="1" x14ac:dyDescent="0.2">
      <c r="A315" s="58">
        <v>44562</v>
      </c>
      <c r="B315" s="48">
        <v>0</v>
      </c>
      <c r="C315" s="48">
        <v>0</v>
      </c>
      <c r="D315" s="48">
        <v>1167.697692</v>
      </c>
      <c r="E315" s="48">
        <v>1375.2275003935167</v>
      </c>
      <c r="F315" s="48">
        <v>437.69745599999999</v>
      </c>
      <c r="G315" s="48">
        <v>449.30469492964357</v>
      </c>
      <c r="H315" s="49">
        <v>0.17772563037104705</v>
      </c>
      <c r="I315" s="49">
        <v>2.6518863133724979E-2</v>
      </c>
      <c r="J315" s="49">
        <v>0.13650037973277862</v>
      </c>
    </row>
    <row r="316" spans="1:10" ht="11.25" customHeight="1" x14ac:dyDescent="0.2">
      <c r="A316" s="58">
        <v>44593</v>
      </c>
      <c r="B316" s="48">
        <v>0</v>
      </c>
      <c r="C316" s="48">
        <v>0</v>
      </c>
      <c r="D316" s="48">
        <v>620.67531600000007</v>
      </c>
      <c r="E316" s="48">
        <v>730.98522779184884</v>
      </c>
      <c r="F316" s="48">
        <v>232.65268800000001</v>
      </c>
      <c r="G316" s="48">
        <v>238.8223727907652</v>
      </c>
      <c r="H316" s="49">
        <v>0.17772563037104705</v>
      </c>
      <c r="I316" s="49">
        <v>2.6518863133724757E-2</v>
      </c>
      <c r="J316" s="49">
        <v>0.1365003797327784</v>
      </c>
    </row>
    <row r="317" spans="1:10" ht="11.25" customHeight="1" x14ac:dyDescent="0.2">
      <c r="A317" s="58">
        <v>44621</v>
      </c>
      <c r="B317" s="48">
        <v>0</v>
      </c>
      <c r="C317" s="48">
        <v>0</v>
      </c>
      <c r="D317" s="48">
        <v>474.69651599999997</v>
      </c>
      <c r="E317" s="48">
        <v>559.06225354103981</v>
      </c>
      <c r="F317" s="48">
        <v>177.93428799999998</v>
      </c>
      <c r="G317" s="48">
        <v>182.65290303026879</v>
      </c>
      <c r="H317" s="49">
        <v>0.17772563037104705</v>
      </c>
      <c r="I317" s="49">
        <v>2.6518863133724979E-2</v>
      </c>
      <c r="J317" s="49">
        <v>0.13650037973277884</v>
      </c>
    </row>
    <row r="318" spans="1:10" ht="11.25" customHeight="1" x14ac:dyDescent="0.2">
      <c r="A318" s="58">
        <v>44652</v>
      </c>
      <c r="B318" s="48">
        <v>0</v>
      </c>
      <c r="C318" s="48">
        <v>0</v>
      </c>
      <c r="D318" s="48">
        <v>207.68801999999999</v>
      </c>
      <c r="E318" s="48">
        <v>244.5995042750146</v>
      </c>
      <c r="F318" s="48">
        <v>77.849360000000004</v>
      </c>
      <c r="G318" s="48">
        <v>79.913836522888076</v>
      </c>
      <c r="H318" s="49">
        <v>0.17772563037104683</v>
      </c>
      <c r="I318" s="49">
        <v>2.6518863133724757E-2</v>
      </c>
      <c r="J318" s="49">
        <v>0.13650037973277862</v>
      </c>
    </row>
    <row r="319" spans="1:10" ht="11.25" customHeight="1" x14ac:dyDescent="0.2">
      <c r="A319" s="58">
        <v>44682</v>
      </c>
      <c r="B319" s="48">
        <v>0</v>
      </c>
      <c r="C319" s="48">
        <v>0</v>
      </c>
      <c r="D319" s="48">
        <v>87.587279999999993</v>
      </c>
      <c r="E319" s="48">
        <v>103.1537845504854</v>
      </c>
      <c r="F319" s="48">
        <v>32.831040000000002</v>
      </c>
      <c r="G319" s="48">
        <v>33.701681856297846</v>
      </c>
      <c r="H319" s="49">
        <v>0.17772563037104705</v>
      </c>
      <c r="I319" s="49">
        <v>2.6518863133724757E-2</v>
      </c>
      <c r="J319" s="49">
        <v>0.13650037973277862</v>
      </c>
    </row>
    <row r="320" spans="1:10" ht="11.25" customHeight="1" x14ac:dyDescent="0.2">
      <c r="A320" s="58">
        <v>44713</v>
      </c>
      <c r="B320" s="48">
        <v>0</v>
      </c>
      <c r="C320" s="48">
        <v>0</v>
      </c>
      <c r="D320" s="48">
        <v>111.20930399999999</v>
      </c>
      <c r="E320" s="48">
        <v>130.97404765652539</v>
      </c>
      <c r="F320" s="48">
        <v>41.685471999999997</v>
      </c>
      <c r="G320" s="48">
        <v>42.790923326632722</v>
      </c>
      <c r="H320" s="49">
        <v>0.17772563037104705</v>
      </c>
      <c r="I320" s="49">
        <v>2.6518863133724979E-2</v>
      </c>
      <c r="J320" s="49">
        <v>0.13650037973277862</v>
      </c>
    </row>
    <row r="321" spans="1:10" ht="11.25" customHeight="1" x14ac:dyDescent="0.2">
      <c r="A321" s="58">
        <v>44743</v>
      </c>
      <c r="B321" s="48">
        <v>0</v>
      </c>
      <c r="C321" s="48">
        <v>0</v>
      </c>
      <c r="D321" s="48">
        <v>88.516236000000006</v>
      </c>
      <c r="E321" s="48">
        <v>104.24783984117235</v>
      </c>
      <c r="F321" s="48">
        <v>33.179248000000001</v>
      </c>
      <c r="G321" s="48">
        <v>34.059123936591917</v>
      </c>
      <c r="H321" s="49">
        <v>0.17772563037104683</v>
      </c>
      <c r="I321" s="49">
        <v>2.6518863133724979E-2</v>
      </c>
      <c r="J321" s="49">
        <v>0.13650037973277862</v>
      </c>
    </row>
    <row r="322" spans="1:10" ht="11.25" customHeight="1" x14ac:dyDescent="0.2">
      <c r="A322" s="58">
        <v>44774</v>
      </c>
      <c r="B322" s="48">
        <v>0</v>
      </c>
      <c r="C322" s="48">
        <v>0</v>
      </c>
      <c r="D322" s="48">
        <v>103.114116</v>
      </c>
      <c r="E322" s="48">
        <v>121.44013726625327</v>
      </c>
      <c r="F322" s="48">
        <v>38.651088000000001</v>
      </c>
      <c r="G322" s="48">
        <v>39.676070912641556</v>
      </c>
      <c r="H322" s="49">
        <v>0.17772563037104705</v>
      </c>
      <c r="I322" s="49">
        <v>2.6518863133724757E-2</v>
      </c>
      <c r="J322" s="49">
        <v>0.13650037973277862</v>
      </c>
    </row>
    <row r="323" spans="1:10" ht="11.25" customHeight="1" x14ac:dyDescent="0.2">
      <c r="A323" s="54" t="s">
        <v>52</v>
      </c>
      <c r="B323" s="48">
        <v>0</v>
      </c>
      <c r="C323" s="48">
        <v>0</v>
      </c>
      <c r="D323" s="48">
        <v>45098.955887999997</v>
      </c>
      <c r="E323" s="48">
        <v>53114.196252270835</v>
      </c>
      <c r="F323" s="48">
        <v>16904.801984000002</v>
      </c>
      <c r="G323" s="48">
        <v>17353.098114116419</v>
      </c>
      <c r="H323" s="49">
        <v>0.17772563037104794</v>
      </c>
      <c r="I323" s="49">
        <v>2.6518863133724979E-2</v>
      </c>
      <c r="J323" s="49">
        <v>0.13650037973277929</v>
      </c>
    </row>
    <row r="324" spans="1:10" ht="11.25" customHeight="1" x14ac:dyDescent="0.2">
      <c r="A324" s="55" t="s">
        <v>50</v>
      </c>
      <c r="B324" s="48">
        <v>0</v>
      </c>
      <c r="C324" s="48">
        <v>0</v>
      </c>
      <c r="D324" s="48">
        <v>28069.069080000001</v>
      </c>
      <c r="E324" s="48">
        <v>33057.662076171458</v>
      </c>
      <c r="F324" s="48">
        <v>10521.353439999999</v>
      </c>
      <c r="G324" s="48">
        <v>10800.367771856905</v>
      </c>
      <c r="H324" s="49">
        <v>0.17772563037104749</v>
      </c>
      <c r="I324" s="49">
        <v>2.6518863133725201E-2</v>
      </c>
      <c r="J324" s="49">
        <v>0.13650037973277884</v>
      </c>
    </row>
    <row r="325" spans="1:10" ht="11.25" customHeight="1" x14ac:dyDescent="0.2">
      <c r="A325" s="56" t="s">
        <v>25</v>
      </c>
      <c r="B325" s="48">
        <v>0</v>
      </c>
      <c r="C325" s="48">
        <v>0</v>
      </c>
      <c r="D325" s="48">
        <v>28069.069080000001</v>
      </c>
      <c r="E325" s="48">
        <v>33057.662076171458</v>
      </c>
      <c r="F325" s="48">
        <v>10521.353439999999</v>
      </c>
      <c r="G325" s="48">
        <v>10800.367771856905</v>
      </c>
      <c r="H325" s="49">
        <v>0.17772563037104749</v>
      </c>
      <c r="I325" s="49">
        <v>2.6518863133725201E-2</v>
      </c>
      <c r="J325" s="49">
        <v>0.13650037973277884</v>
      </c>
    </row>
    <row r="326" spans="1:10" ht="11.25" customHeight="1" x14ac:dyDescent="0.2">
      <c r="A326" s="57" t="s">
        <v>25</v>
      </c>
      <c r="B326" s="48">
        <v>0</v>
      </c>
      <c r="C326" s="48">
        <v>0</v>
      </c>
      <c r="D326" s="48">
        <v>28069.069080000001</v>
      </c>
      <c r="E326" s="48">
        <v>33057.662076171458</v>
      </c>
      <c r="F326" s="48">
        <v>10521.353439999999</v>
      </c>
      <c r="G326" s="48">
        <v>10800.367771856905</v>
      </c>
      <c r="H326" s="49">
        <v>0.17772563037104749</v>
      </c>
      <c r="I326" s="49">
        <v>2.6518863133725201E-2</v>
      </c>
      <c r="J326" s="49">
        <v>0.13650037973277884</v>
      </c>
    </row>
    <row r="327" spans="1:10" ht="11.25" customHeight="1" x14ac:dyDescent="0.2">
      <c r="A327" s="58">
        <v>44440</v>
      </c>
      <c r="B327" s="48">
        <v>0</v>
      </c>
      <c r="C327" s="48">
        <v>0</v>
      </c>
      <c r="D327" s="48">
        <v>2593.1143199999997</v>
      </c>
      <c r="E327" s="48">
        <v>3053.9771971461887</v>
      </c>
      <c r="F327" s="48">
        <v>971.99775999999997</v>
      </c>
      <c r="G327" s="48">
        <v>997.77403556372713</v>
      </c>
      <c r="H327" s="49">
        <v>0.17772563037104705</v>
      </c>
      <c r="I327" s="49">
        <v>2.6518863133724979E-2</v>
      </c>
      <c r="J327" s="49">
        <v>0.13650037973277862</v>
      </c>
    </row>
    <row r="328" spans="1:10" ht="11.25" customHeight="1" x14ac:dyDescent="0.2">
      <c r="A328" s="58">
        <v>44470</v>
      </c>
      <c r="B328" s="48">
        <v>0</v>
      </c>
      <c r="C328" s="48">
        <v>0</v>
      </c>
      <c r="D328" s="48">
        <v>2474.0088899999996</v>
      </c>
      <c r="E328" s="48">
        <v>2913.7036795188242</v>
      </c>
      <c r="F328" s="48">
        <v>927.35251999999991</v>
      </c>
      <c r="G328" s="48">
        <v>951.94485455459483</v>
      </c>
      <c r="H328" s="49">
        <v>0.17772563037104705</v>
      </c>
      <c r="I328" s="49">
        <v>2.6518863133724979E-2</v>
      </c>
      <c r="J328" s="49">
        <v>0.13650037973277862</v>
      </c>
    </row>
    <row r="329" spans="1:10" ht="11.25" customHeight="1" x14ac:dyDescent="0.2">
      <c r="A329" s="58">
        <v>44501</v>
      </c>
      <c r="B329" s="48">
        <v>0</v>
      </c>
      <c r="C329" s="48">
        <v>0</v>
      </c>
      <c r="D329" s="48">
        <v>2110.7207399999998</v>
      </c>
      <c r="E329" s="48">
        <v>2485.8499140537424</v>
      </c>
      <c r="F329" s="48">
        <v>791.17831999999999</v>
      </c>
      <c r="G329" s="48">
        <v>812.15946958245036</v>
      </c>
      <c r="H329" s="49">
        <v>0.17772563037104705</v>
      </c>
      <c r="I329" s="49">
        <v>2.6518863133724757E-2</v>
      </c>
      <c r="J329" s="49">
        <v>0.13650037973277862</v>
      </c>
    </row>
    <row r="330" spans="1:10" ht="11.25" customHeight="1" x14ac:dyDescent="0.2">
      <c r="A330" s="58">
        <v>44531</v>
      </c>
      <c r="B330" s="48">
        <v>0</v>
      </c>
      <c r="C330" s="48">
        <v>0</v>
      </c>
      <c r="D330" s="48">
        <v>1933.55556</v>
      </c>
      <c r="E330" s="48">
        <v>2277.1979407584431</v>
      </c>
      <c r="F330" s="48">
        <v>724.77008000000001</v>
      </c>
      <c r="G330" s="48">
        <v>743.99015855493883</v>
      </c>
      <c r="H330" s="49">
        <v>0.17772563037104705</v>
      </c>
      <c r="I330" s="49">
        <v>2.6518863133724757E-2</v>
      </c>
      <c r="J330" s="49">
        <v>0.13650037973277862</v>
      </c>
    </row>
    <row r="331" spans="1:10" ht="11.25" customHeight="1" x14ac:dyDescent="0.2">
      <c r="A331" s="58">
        <v>44562</v>
      </c>
      <c r="B331" s="48">
        <v>0</v>
      </c>
      <c r="C331" s="48">
        <v>0</v>
      </c>
      <c r="D331" s="48">
        <v>3224.4726299999993</v>
      </c>
      <c r="E331" s="48">
        <v>3797.5440607809373</v>
      </c>
      <c r="F331" s="48">
        <v>1208.6548399999999</v>
      </c>
      <c r="G331" s="48">
        <v>1240.706992277874</v>
      </c>
      <c r="H331" s="49">
        <v>0.17772563037104705</v>
      </c>
      <c r="I331" s="49">
        <v>2.6518863133724757E-2</v>
      </c>
      <c r="J331" s="49">
        <v>0.13650037973277862</v>
      </c>
    </row>
    <row r="332" spans="1:10" ht="11.25" customHeight="1" x14ac:dyDescent="0.2">
      <c r="A332" s="58">
        <v>44593</v>
      </c>
      <c r="B332" s="48">
        <v>0</v>
      </c>
      <c r="C332" s="48">
        <v>0</v>
      </c>
      <c r="D332" s="48">
        <v>4187.6009399999994</v>
      </c>
      <c r="E332" s="48">
        <v>4931.8449568038886</v>
      </c>
      <c r="F332" s="48">
        <v>1569.6719199999998</v>
      </c>
      <c r="G332" s="48">
        <v>1611.2978348113311</v>
      </c>
      <c r="H332" s="49">
        <v>0.17772563037104705</v>
      </c>
      <c r="I332" s="49">
        <v>2.6518863133724979E-2</v>
      </c>
      <c r="J332" s="49">
        <v>0.13650037973277862</v>
      </c>
    </row>
    <row r="333" spans="1:10" ht="11.25" customHeight="1" x14ac:dyDescent="0.2">
      <c r="A333" s="58">
        <v>44621</v>
      </c>
      <c r="B333" s="48">
        <v>0</v>
      </c>
      <c r="C333" s="48">
        <v>0</v>
      </c>
      <c r="D333" s="48">
        <v>2953.4165400000002</v>
      </c>
      <c r="E333" s="48">
        <v>3478.3143563197764</v>
      </c>
      <c r="F333" s="48">
        <v>1107.0527199999999</v>
      </c>
      <c r="G333" s="48">
        <v>1136.4104995634978</v>
      </c>
      <c r="H333" s="49">
        <v>0.17772563037104683</v>
      </c>
      <c r="I333" s="49">
        <v>2.6518863133724979E-2</v>
      </c>
      <c r="J333" s="49">
        <v>0.13650037973277862</v>
      </c>
    </row>
    <row r="334" spans="1:10" ht="11.25" customHeight="1" x14ac:dyDescent="0.2">
      <c r="A334" s="58">
        <v>44652</v>
      </c>
      <c r="B334" s="48">
        <v>0</v>
      </c>
      <c r="C334" s="48">
        <v>0</v>
      </c>
      <c r="D334" s="48">
        <v>2666.1037200000001</v>
      </c>
      <c r="E334" s="48">
        <v>3139.938684271593</v>
      </c>
      <c r="F334" s="48">
        <v>999.35695999999996</v>
      </c>
      <c r="G334" s="48">
        <v>1025.8587704439753</v>
      </c>
      <c r="H334" s="49">
        <v>0.17772563037104683</v>
      </c>
      <c r="I334" s="49">
        <v>2.6518863133724979E-2</v>
      </c>
      <c r="J334" s="49">
        <v>0.1365003797327784</v>
      </c>
    </row>
    <row r="335" spans="1:10" ht="11.25" customHeight="1" x14ac:dyDescent="0.2">
      <c r="A335" s="58">
        <v>44682</v>
      </c>
      <c r="B335" s="48">
        <v>0</v>
      </c>
      <c r="C335" s="48">
        <v>0</v>
      </c>
      <c r="D335" s="48">
        <v>1714.5873599999998</v>
      </c>
      <c r="E335" s="48">
        <v>2019.3134793822292</v>
      </c>
      <c r="F335" s="48">
        <v>642.69247999999993</v>
      </c>
      <c r="G335" s="48">
        <v>659.73595391419417</v>
      </c>
      <c r="H335" s="49">
        <v>0.17772563037104705</v>
      </c>
      <c r="I335" s="49">
        <v>2.6518863133724979E-2</v>
      </c>
      <c r="J335" s="49">
        <v>0.13650037973277884</v>
      </c>
    </row>
    <row r="336" spans="1:10" ht="11.25" customHeight="1" x14ac:dyDescent="0.2">
      <c r="A336" s="58">
        <v>44713</v>
      </c>
      <c r="B336" s="48">
        <v>0</v>
      </c>
      <c r="C336" s="48">
        <v>0</v>
      </c>
      <c r="D336" s="48">
        <v>1739.8018799999998</v>
      </c>
      <c r="E336" s="48">
        <v>2049.0092658437325</v>
      </c>
      <c r="F336" s="48">
        <v>652.14383999999995</v>
      </c>
      <c r="G336" s="48">
        <v>669.43795323646179</v>
      </c>
      <c r="H336" s="49">
        <v>0.17772563037104705</v>
      </c>
      <c r="I336" s="49">
        <v>2.6518863133724979E-2</v>
      </c>
      <c r="J336" s="49">
        <v>0.13650037973277862</v>
      </c>
    </row>
    <row r="337" spans="1:10" ht="11.25" customHeight="1" x14ac:dyDescent="0.2">
      <c r="A337" s="58">
        <v>44743</v>
      </c>
      <c r="B337" s="48">
        <v>0</v>
      </c>
      <c r="C337" s="48">
        <v>0</v>
      </c>
      <c r="D337" s="48">
        <v>1174.79757</v>
      </c>
      <c r="E337" s="48">
        <v>1383.5892086866243</v>
      </c>
      <c r="F337" s="48">
        <v>440.35876000000002</v>
      </c>
      <c r="G337" s="48">
        <v>452.03657368617678</v>
      </c>
      <c r="H337" s="49">
        <v>0.17772563037104705</v>
      </c>
      <c r="I337" s="49">
        <v>2.6518863133724757E-2</v>
      </c>
      <c r="J337" s="49">
        <v>0.13650037973277862</v>
      </c>
    </row>
    <row r="338" spans="1:10" ht="11.25" customHeight="1" x14ac:dyDescent="0.2">
      <c r="A338" s="58">
        <v>44774</v>
      </c>
      <c r="B338" s="48">
        <v>0</v>
      </c>
      <c r="C338" s="48">
        <v>0</v>
      </c>
      <c r="D338" s="48">
        <v>1296.8889300000001</v>
      </c>
      <c r="E338" s="48">
        <v>1527.3793326054827</v>
      </c>
      <c r="F338" s="48">
        <v>486.12324000000001</v>
      </c>
      <c r="G338" s="48">
        <v>499.01467566768287</v>
      </c>
      <c r="H338" s="49">
        <v>0.17772563037104705</v>
      </c>
      <c r="I338" s="49">
        <v>2.6518863133724757E-2</v>
      </c>
      <c r="J338" s="49">
        <v>0.13650037973277862</v>
      </c>
    </row>
    <row r="339" spans="1:10" ht="11.25" customHeight="1" x14ac:dyDescent="0.2">
      <c r="A339" s="55" t="s">
        <v>51</v>
      </c>
      <c r="B339" s="48">
        <v>0</v>
      </c>
      <c r="C339" s="48">
        <v>0</v>
      </c>
      <c r="D339" s="48">
        <v>17029.886807999999</v>
      </c>
      <c r="E339" s="48">
        <v>20056.534176099376</v>
      </c>
      <c r="F339" s="48">
        <v>6383.4485439999999</v>
      </c>
      <c r="G339" s="48">
        <v>6552.7303422595123</v>
      </c>
      <c r="H339" s="49">
        <v>0.17772563037104749</v>
      </c>
      <c r="I339" s="49">
        <v>2.6518863133724979E-2</v>
      </c>
      <c r="J339" s="49">
        <v>0.13650037973277884</v>
      </c>
    </row>
    <row r="340" spans="1:10" ht="11.25" customHeight="1" x14ac:dyDescent="0.2">
      <c r="A340" s="56" t="s">
        <v>25</v>
      </c>
      <c r="B340" s="48">
        <v>0</v>
      </c>
      <c r="C340" s="48">
        <v>0</v>
      </c>
      <c r="D340" s="48">
        <v>17029.886807999999</v>
      </c>
      <c r="E340" s="48">
        <v>20056.534176099376</v>
      </c>
      <c r="F340" s="48">
        <v>6383.4485439999999</v>
      </c>
      <c r="G340" s="48">
        <v>6552.7303422595123</v>
      </c>
      <c r="H340" s="49">
        <v>0.17772563037104749</v>
      </c>
      <c r="I340" s="49">
        <v>2.6518863133724979E-2</v>
      </c>
      <c r="J340" s="49">
        <v>0.13650037973277884</v>
      </c>
    </row>
    <row r="341" spans="1:10" ht="11.25" customHeight="1" x14ac:dyDescent="0.2">
      <c r="A341" s="57" t="s">
        <v>25</v>
      </c>
      <c r="B341" s="48">
        <v>0</v>
      </c>
      <c r="C341" s="48">
        <v>0</v>
      </c>
      <c r="D341" s="48">
        <v>17029.886807999999</v>
      </c>
      <c r="E341" s="48">
        <v>20056.534176099376</v>
      </c>
      <c r="F341" s="48">
        <v>6383.4485439999999</v>
      </c>
      <c r="G341" s="48">
        <v>6552.7303422595123</v>
      </c>
      <c r="H341" s="49">
        <v>0.17772563037104749</v>
      </c>
      <c r="I341" s="49">
        <v>2.6518863133724979E-2</v>
      </c>
      <c r="J341" s="49">
        <v>0.13650037973277884</v>
      </c>
    </row>
    <row r="342" spans="1:10" ht="11.25" customHeight="1" x14ac:dyDescent="0.2">
      <c r="A342" s="58">
        <v>44440</v>
      </c>
      <c r="B342" s="48">
        <v>0</v>
      </c>
      <c r="C342" s="48">
        <v>0</v>
      </c>
      <c r="D342" s="48">
        <v>1393.4339999999997</v>
      </c>
      <c r="E342" s="48">
        <v>1641.0829360304494</v>
      </c>
      <c r="F342" s="48">
        <v>522.31200000000001</v>
      </c>
      <c r="G342" s="48">
        <v>536.16312044110202</v>
      </c>
      <c r="H342" s="49">
        <v>0.17772563037104727</v>
      </c>
      <c r="I342" s="49">
        <v>2.6518863133724757E-2</v>
      </c>
      <c r="J342" s="49">
        <v>0.13650037973277884</v>
      </c>
    </row>
    <row r="343" spans="1:10" ht="11.25" customHeight="1" x14ac:dyDescent="0.2">
      <c r="A343" s="58">
        <v>44470</v>
      </c>
      <c r="B343" s="48">
        <v>0</v>
      </c>
      <c r="C343" s="48">
        <v>0</v>
      </c>
      <c r="D343" s="48">
        <v>1344.597456</v>
      </c>
      <c r="E343" s="48">
        <v>1583.566886462906</v>
      </c>
      <c r="F343" s="48">
        <v>504.00620800000002</v>
      </c>
      <c r="G343" s="48">
        <v>517.37187964849966</v>
      </c>
      <c r="H343" s="49">
        <v>0.17772563037104705</v>
      </c>
      <c r="I343" s="49">
        <v>2.6518863133724757E-2</v>
      </c>
      <c r="J343" s="49">
        <v>0.1365003797327784</v>
      </c>
    </row>
    <row r="344" spans="1:10" ht="11.25" customHeight="1" x14ac:dyDescent="0.2">
      <c r="A344" s="58">
        <v>44501</v>
      </c>
      <c r="B344" s="48">
        <v>0</v>
      </c>
      <c r="C344" s="48">
        <v>0</v>
      </c>
      <c r="D344" s="48">
        <v>1664.9545680000001</v>
      </c>
      <c r="E344" s="48">
        <v>1960.859668136954</v>
      </c>
      <c r="F344" s="48">
        <v>624.08822400000008</v>
      </c>
      <c r="G344" s="48">
        <v>640.63833419562548</v>
      </c>
      <c r="H344" s="49">
        <v>0.17772563037104683</v>
      </c>
      <c r="I344" s="49">
        <v>2.6518863133724757E-2</v>
      </c>
      <c r="J344" s="49">
        <v>0.1365003797327784</v>
      </c>
    </row>
    <row r="345" spans="1:10" ht="11.25" customHeight="1" x14ac:dyDescent="0.2">
      <c r="A345" s="58">
        <v>44531</v>
      </c>
      <c r="B345" s="48">
        <v>0</v>
      </c>
      <c r="C345" s="48">
        <v>0</v>
      </c>
      <c r="D345" s="48">
        <v>1591.5670439999999</v>
      </c>
      <c r="E345" s="48">
        <v>1874.429300172684</v>
      </c>
      <c r="F345" s="48">
        <v>596.579792</v>
      </c>
      <c r="G345" s="48">
        <v>612.40040985239409</v>
      </c>
      <c r="H345" s="49">
        <v>0.17772563037104705</v>
      </c>
      <c r="I345" s="49">
        <v>2.6518863133724979E-2</v>
      </c>
      <c r="J345" s="49">
        <v>0.13650037973277862</v>
      </c>
    </row>
    <row r="346" spans="1:10" ht="11.25" customHeight="1" x14ac:dyDescent="0.2">
      <c r="A346" s="58">
        <v>44562</v>
      </c>
      <c r="B346" s="48">
        <v>0</v>
      </c>
      <c r="C346" s="48">
        <v>0</v>
      </c>
      <c r="D346" s="48">
        <v>2209.7209080000002</v>
      </c>
      <c r="E346" s="48">
        <v>2602.4449493183824</v>
      </c>
      <c r="F346" s="48">
        <v>828.28734400000008</v>
      </c>
      <c r="G346" s="48">
        <v>850.25258271093253</v>
      </c>
      <c r="H346" s="49">
        <v>0.17772563037104683</v>
      </c>
      <c r="I346" s="49">
        <v>2.6518863133724757E-2</v>
      </c>
      <c r="J346" s="49">
        <v>0.1365003797327784</v>
      </c>
    </row>
    <row r="347" spans="1:10" ht="11.25" customHeight="1" x14ac:dyDescent="0.2">
      <c r="A347" s="58">
        <v>44593</v>
      </c>
      <c r="B347" s="48">
        <v>0</v>
      </c>
      <c r="C347" s="48">
        <v>0</v>
      </c>
      <c r="D347" s="48">
        <v>2348.1353520000002</v>
      </c>
      <c r="E347" s="48">
        <v>2765.4591876307404</v>
      </c>
      <c r="F347" s="48">
        <v>880.17033600000002</v>
      </c>
      <c r="G347" s="48">
        <v>903.51145267474863</v>
      </c>
      <c r="H347" s="49">
        <v>0.17772563037104683</v>
      </c>
      <c r="I347" s="49">
        <v>2.6518863133724757E-2</v>
      </c>
      <c r="J347" s="49">
        <v>0.1365003797327784</v>
      </c>
    </row>
    <row r="348" spans="1:10" ht="11.25" customHeight="1" x14ac:dyDescent="0.2">
      <c r="A348" s="58">
        <v>44621</v>
      </c>
      <c r="B348" s="48">
        <v>0</v>
      </c>
      <c r="C348" s="48">
        <v>0</v>
      </c>
      <c r="D348" s="48">
        <v>2005.0851720000001</v>
      </c>
      <c r="E348" s="48">
        <v>2361.4401981413394</v>
      </c>
      <c r="F348" s="48">
        <v>751.58209599999998</v>
      </c>
      <c r="G348" s="48">
        <v>771.51319873758212</v>
      </c>
      <c r="H348" s="49">
        <v>0.17772563037104705</v>
      </c>
      <c r="I348" s="49">
        <v>2.6518863133724979E-2</v>
      </c>
      <c r="J348" s="49">
        <v>0.13650037973277862</v>
      </c>
    </row>
    <row r="349" spans="1:10" ht="11.25" customHeight="1" x14ac:dyDescent="0.2">
      <c r="A349" s="58">
        <v>44652</v>
      </c>
      <c r="B349" s="48">
        <v>0</v>
      </c>
      <c r="C349" s="48">
        <v>0</v>
      </c>
      <c r="D349" s="48">
        <v>1635.6261</v>
      </c>
      <c r="E349" s="48">
        <v>1926.3187796738371</v>
      </c>
      <c r="F349" s="48">
        <v>613.09480000000008</v>
      </c>
      <c r="G349" s="48">
        <v>629.35337708919849</v>
      </c>
      <c r="H349" s="49">
        <v>0.17772563037104705</v>
      </c>
      <c r="I349" s="49">
        <v>2.6518863133724757E-2</v>
      </c>
      <c r="J349" s="49">
        <v>0.1365003797327784</v>
      </c>
    </row>
    <row r="350" spans="1:10" ht="11.25" customHeight="1" x14ac:dyDescent="0.2">
      <c r="A350" s="58">
        <v>44682</v>
      </c>
      <c r="B350" s="48">
        <v>0</v>
      </c>
      <c r="C350" s="48">
        <v>0</v>
      </c>
      <c r="D350" s="48">
        <v>833.538948</v>
      </c>
      <c r="E350" s="48">
        <v>981.68018297211938</v>
      </c>
      <c r="F350" s="48">
        <v>312.44206400000002</v>
      </c>
      <c r="G350" s="48">
        <v>320.72767233243451</v>
      </c>
      <c r="H350" s="49">
        <v>0.17772563037104705</v>
      </c>
      <c r="I350" s="49">
        <v>2.6518863133724757E-2</v>
      </c>
      <c r="J350" s="49">
        <v>0.13650037973277862</v>
      </c>
    </row>
    <row r="351" spans="1:10" ht="11.25" customHeight="1" x14ac:dyDescent="0.2">
      <c r="A351" s="58">
        <v>44713</v>
      </c>
      <c r="B351" s="48">
        <v>0</v>
      </c>
      <c r="C351" s="48">
        <v>0</v>
      </c>
      <c r="D351" s="48">
        <v>749.13666000000001</v>
      </c>
      <c r="E351" s="48">
        <v>882.27744513256073</v>
      </c>
      <c r="F351" s="48">
        <v>280.80488000000003</v>
      </c>
      <c r="G351" s="48">
        <v>288.25150618000202</v>
      </c>
      <c r="H351" s="49">
        <v>0.17772563037104705</v>
      </c>
      <c r="I351" s="49">
        <v>2.6518863133724757E-2</v>
      </c>
      <c r="J351" s="49">
        <v>0.1365003797327784</v>
      </c>
    </row>
    <row r="352" spans="1:10" ht="11.25" customHeight="1" x14ac:dyDescent="0.2">
      <c r="A352" s="58">
        <v>44743</v>
      </c>
      <c r="B352" s="48">
        <v>0</v>
      </c>
      <c r="C352" s="48">
        <v>0</v>
      </c>
      <c r="D352" s="48">
        <v>590.41789199999994</v>
      </c>
      <c r="E352" s="48">
        <v>695.35028403804472</v>
      </c>
      <c r="F352" s="48">
        <v>221.31105600000001</v>
      </c>
      <c r="G352" s="48">
        <v>227.17997360404414</v>
      </c>
      <c r="H352" s="49">
        <v>0.17772563037104705</v>
      </c>
      <c r="I352" s="49">
        <v>2.6518863133724979E-2</v>
      </c>
      <c r="J352" s="49">
        <v>0.13650037973277862</v>
      </c>
    </row>
    <row r="353" spans="1:10" ht="11.25" customHeight="1" x14ac:dyDescent="0.2">
      <c r="A353" s="58">
        <v>44774</v>
      </c>
      <c r="B353" s="48">
        <v>0</v>
      </c>
      <c r="C353" s="48">
        <v>0</v>
      </c>
      <c r="D353" s="48">
        <v>663.67270799999994</v>
      </c>
      <c r="E353" s="48">
        <v>781.62435838935971</v>
      </c>
      <c r="F353" s="48">
        <v>248.769744</v>
      </c>
      <c r="G353" s="48">
        <v>255.36683479294777</v>
      </c>
      <c r="H353" s="49">
        <v>0.17772563037104705</v>
      </c>
      <c r="I353" s="49">
        <v>2.6518863133724757E-2</v>
      </c>
      <c r="J353" s="49">
        <v>0.13650037973277862</v>
      </c>
    </row>
    <row r="354" spans="1:10" ht="11.25" customHeight="1" x14ac:dyDescent="0.2">
      <c r="A354" s="54" t="s">
        <v>25</v>
      </c>
      <c r="B354" s="48">
        <v>0</v>
      </c>
      <c r="C354" s="48">
        <v>0</v>
      </c>
      <c r="D354" s="48">
        <v>13193235.491699997</v>
      </c>
      <c r="E354" s="48">
        <v>15538011.586096054</v>
      </c>
      <c r="F354" s="48">
        <v>4945325.8755999999</v>
      </c>
      <c r="G354" s="48">
        <v>5076470.2956467047</v>
      </c>
      <c r="H354" s="49">
        <v>0.17772563037104749</v>
      </c>
      <c r="I354" s="49">
        <v>2.6518863133724757E-2</v>
      </c>
      <c r="J354" s="49">
        <v>0.13650037973277906</v>
      </c>
    </row>
    <row r="355" spans="1:10" ht="11.25" customHeight="1" x14ac:dyDescent="0.2">
      <c r="A355" s="55" t="s">
        <v>25</v>
      </c>
      <c r="B355" s="48">
        <v>0</v>
      </c>
      <c r="C355" s="48">
        <v>0</v>
      </c>
      <c r="D355" s="48">
        <v>13193235.491699997</v>
      </c>
      <c r="E355" s="48">
        <v>15538011.586096054</v>
      </c>
      <c r="F355" s="48">
        <v>4945325.8755999999</v>
      </c>
      <c r="G355" s="48">
        <v>5076470.2956467047</v>
      </c>
      <c r="H355" s="49">
        <v>0.17772563037104749</v>
      </c>
      <c r="I355" s="49">
        <v>2.6518863133724757E-2</v>
      </c>
      <c r="J355" s="49">
        <v>0.13650037973277906</v>
      </c>
    </row>
    <row r="356" spans="1:10" ht="11.25" customHeight="1" x14ac:dyDescent="0.2">
      <c r="A356" s="56" t="s">
        <v>25</v>
      </c>
      <c r="B356" s="48">
        <v>0</v>
      </c>
      <c r="C356" s="48">
        <v>0</v>
      </c>
      <c r="D356" s="48">
        <v>13193235.491699997</v>
      </c>
      <c r="E356" s="48">
        <v>15538011.586096054</v>
      </c>
      <c r="F356" s="48">
        <v>4945325.8755999999</v>
      </c>
      <c r="G356" s="48">
        <v>5076470.2956467047</v>
      </c>
      <c r="H356" s="49">
        <v>0.17772563037104749</v>
      </c>
      <c r="I356" s="49">
        <v>2.6518863133724757E-2</v>
      </c>
      <c r="J356" s="49">
        <v>0.13650037973277906</v>
      </c>
    </row>
    <row r="357" spans="1:10" ht="11.25" customHeight="1" x14ac:dyDescent="0.2">
      <c r="A357" s="57" t="s">
        <v>25</v>
      </c>
      <c r="B357" s="48">
        <v>0</v>
      </c>
      <c r="C357" s="48">
        <v>0</v>
      </c>
      <c r="D357" s="48">
        <v>13193235.491699997</v>
      </c>
      <c r="E357" s="48">
        <v>15538011.586096054</v>
      </c>
      <c r="F357" s="48">
        <v>4945325.8755999999</v>
      </c>
      <c r="G357" s="48">
        <v>5076470.2956467047</v>
      </c>
      <c r="H357" s="49">
        <v>0.17772563037104749</v>
      </c>
      <c r="I357" s="49">
        <v>2.6518863133724757E-2</v>
      </c>
      <c r="J357" s="49">
        <v>0.13650037973277906</v>
      </c>
    </row>
    <row r="358" spans="1:10" ht="11.25" customHeight="1" x14ac:dyDescent="0.2">
      <c r="A358" s="58">
        <v>44440</v>
      </c>
      <c r="B358" s="48">
        <v>0</v>
      </c>
      <c r="C358" s="48">
        <v>0</v>
      </c>
      <c r="D358" s="48">
        <v>1175051.37405</v>
      </c>
      <c r="E358" s="48">
        <v>1383888.1202214011</v>
      </c>
      <c r="F358" s="48">
        <v>440453.89539999992</v>
      </c>
      <c r="G358" s="48">
        <v>452134.23196882854</v>
      </c>
      <c r="H358" s="49">
        <v>0.17772563037104705</v>
      </c>
      <c r="I358" s="49">
        <v>2.6518863133724979E-2</v>
      </c>
      <c r="J358" s="49">
        <v>0.1365003797327784</v>
      </c>
    </row>
    <row r="359" spans="1:10" ht="11.25" customHeight="1" x14ac:dyDescent="0.2">
      <c r="A359" s="58">
        <v>44470</v>
      </c>
      <c r="B359" s="48">
        <v>0</v>
      </c>
      <c r="C359" s="48">
        <v>0</v>
      </c>
      <c r="D359" s="48">
        <v>1138991.2927499998</v>
      </c>
      <c r="E359" s="48">
        <v>1341419.2382411275</v>
      </c>
      <c r="F359" s="48">
        <v>426937.20700000005</v>
      </c>
      <c r="G359" s="48">
        <v>438259.09635912778</v>
      </c>
      <c r="H359" s="49">
        <v>0.17772563037104727</v>
      </c>
      <c r="I359" s="49">
        <v>2.6518863133724757E-2</v>
      </c>
      <c r="J359" s="49">
        <v>0.13650037973277862</v>
      </c>
    </row>
    <row r="360" spans="1:10" ht="11.25" customHeight="1" x14ac:dyDescent="0.2">
      <c r="A360" s="58">
        <v>44501</v>
      </c>
      <c r="B360" s="48">
        <v>0</v>
      </c>
      <c r="C360" s="48">
        <v>0</v>
      </c>
      <c r="D360" s="48">
        <v>1151255.8343399998</v>
      </c>
      <c r="E360" s="48">
        <v>1355863.5032164222</v>
      </c>
      <c r="F360" s="48">
        <v>431534.42311999999</v>
      </c>
      <c r="G360" s="48">
        <v>442978.22542421019</v>
      </c>
      <c r="H360" s="49">
        <v>0.17772563037104727</v>
      </c>
      <c r="I360" s="49">
        <v>2.6518863133724979E-2</v>
      </c>
      <c r="J360" s="49">
        <v>0.13650037973277862</v>
      </c>
    </row>
    <row r="361" spans="1:10" ht="11.25" customHeight="1" x14ac:dyDescent="0.2">
      <c r="A361" s="58">
        <v>44531</v>
      </c>
      <c r="B361" s="48">
        <v>0</v>
      </c>
      <c r="C361" s="48">
        <v>0</v>
      </c>
      <c r="D361" s="48">
        <v>1111729.7518500001</v>
      </c>
      <c r="E361" s="48">
        <v>1309312.6227997891</v>
      </c>
      <c r="F361" s="48">
        <v>416718.54580000002</v>
      </c>
      <c r="G361" s="48">
        <v>427769.44788135512</v>
      </c>
      <c r="H361" s="49">
        <v>0.17772563037104705</v>
      </c>
      <c r="I361" s="49">
        <v>2.6518863133724979E-2</v>
      </c>
      <c r="J361" s="49">
        <v>0.13650037973277862</v>
      </c>
    </row>
    <row r="362" spans="1:10" ht="11.25" customHeight="1" x14ac:dyDescent="0.2">
      <c r="A362" s="58">
        <v>44562</v>
      </c>
      <c r="B362" s="48">
        <v>0</v>
      </c>
      <c r="C362" s="48">
        <v>0</v>
      </c>
      <c r="D362" s="48">
        <v>1355923.7520299999</v>
      </c>
      <c r="E362" s="48">
        <v>1596906.1555946069</v>
      </c>
      <c r="F362" s="48">
        <v>508251.73403999995</v>
      </c>
      <c r="G362" s="48">
        <v>521729.99221248506</v>
      </c>
      <c r="H362" s="49">
        <v>0.17772563037104705</v>
      </c>
      <c r="I362" s="49">
        <v>2.6518863133724979E-2</v>
      </c>
      <c r="J362" s="49">
        <v>0.13650037973277862</v>
      </c>
    </row>
    <row r="363" spans="1:10" ht="11.25" customHeight="1" x14ac:dyDescent="0.2">
      <c r="A363" s="58">
        <v>44593</v>
      </c>
      <c r="B363" s="48">
        <v>0</v>
      </c>
      <c r="C363" s="48">
        <v>0</v>
      </c>
      <c r="D363" s="48">
        <v>1322368.5342300001</v>
      </c>
      <c r="E363" s="48">
        <v>1557387.315558864</v>
      </c>
      <c r="F363" s="48">
        <v>495673.96363999997</v>
      </c>
      <c r="G363" s="48">
        <v>508818.67364072008</v>
      </c>
      <c r="H363" s="49">
        <v>0.17772563037104683</v>
      </c>
      <c r="I363" s="49">
        <v>2.6518863133724979E-2</v>
      </c>
      <c r="J363" s="49">
        <v>0.1365003797327784</v>
      </c>
    </row>
    <row r="364" spans="1:10" ht="11.25" customHeight="1" x14ac:dyDescent="0.2">
      <c r="A364" s="58">
        <v>44621</v>
      </c>
      <c r="B364" s="48">
        <v>0</v>
      </c>
      <c r="C364" s="48">
        <v>0</v>
      </c>
      <c r="D364" s="48">
        <v>1165782.0520200001</v>
      </c>
      <c r="E364" s="48">
        <v>1372971.4020905071</v>
      </c>
      <c r="F364" s="48">
        <v>436979.40135999996</v>
      </c>
      <c r="G364" s="48">
        <v>448567.59829692292</v>
      </c>
      <c r="H364" s="49">
        <v>0.17772563037104683</v>
      </c>
      <c r="I364" s="49">
        <v>2.6518863133725201E-2</v>
      </c>
      <c r="J364" s="49">
        <v>0.1365003797327784</v>
      </c>
    </row>
    <row r="365" spans="1:10" ht="11.25" customHeight="1" x14ac:dyDescent="0.2">
      <c r="A365" s="58">
        <v>44652</v>
      </c>
      <c r="B365" s="48">
        <v>0</v>
      </c>
      <c r="C365" s="48">
        <v>0</v>
      </c>
      <c r="D365" s="48">
        <v>1038520.0565699999</v>
      </c>
      <c r="E365" s="48">
        <v>1223091.6882768788</v>
      </c>
      <c r="F365" s="48">
        <v>389276.77076000004</v>
      </c>
      <c r="G365" s="48">
        <v>399599.94816492288</v>
      </c>
      <c r="H365" s="49">
        <v>0.17772563037104727</v>
      </c>
      <c r="I365" s="49">
        <v>2.6518863133724979E-2</v>
      </c>
      <c r="J365" s="49">
        <v>0.13650037973277862</v>
      </c>
    </row>
    <row r="366" spans="1:10" ht="11.25" customHeight="1" x14ac:dyDescent="0.2">
      <c r="A366" s="58">
        <v>44682</v>
      </c>
      <c r="B366" s="48">
        <v>0</v>
      </c>
      <c r="C366" s="48">
        <v>0</v>
      </c>
      <c r="D366" s="48">
        <v>929300.70902999991</v>
      </c>
      <c r="E366" s="48">
        <v>1094461.2633466176</v>
      </c>
      <c r="F366" s="48">
        <v>348337.21003999992</v>
      </c>
      <c r="G366" s="48">
        <v>357574.71683743433</v>
      </c>
      <c r="H366" s="49">
        <v>0.17772563037104705</v>
      </c>
      <c r="I366" s="49">
        <v>2.6518863133725201E-2</v>
      </c>
      <c r="J366" s="49">
        <v>0.13650037973277862</v>
      </c>
    </row>
    <row r="367" spans="1:10" ht="11.25" customHeight="1" x14ac:dyDescent="0.2">
      <c r="A367" s="58">
        <v>44713</v>
      </c>
      <c r="B367" s="48">
        <v>0</v>
      </c>
      <c r="C367" s="48">
        <v>0</v>
      </c>
      <c r="D367" s="48">
        <v>951393.27333</v>
      </c>
      <c r="E367" s="48">
        <v>1120480.2425633483</v>
      </c>
      <c r="F367" s="48">
        <v>356618.34244000004</v>
      </c>
      <c r="G367" s="48">
        <v>366075.45545414218</v>
      </c>
      <c r="H367" s="49">
        <v>0.17772563037104727</v>
      </c>
      <c r="I367" s="49">
        <v>2.6518863133724757E-2</v>
      </c>
      <c r="J367" s="49">
        <v>0.13650037973277884</v>
      </c>
    </row>
    <row r="368" spans="1:10" ht="11.25" customHeight="1" x14ac:dyDescent="0.2">
      <c r="A368" s="58">
        <v>44743</v>
      </c>
      <c r="B368" s="48">
        <v>0</v>
      </c>
      <c r="C368" s="48">
        <v>0</v>
      </c>
      <c r="D368" s="48">
        <v>929483.84606999985</v>
      </c>
      <c r="E368" s="48">
        <v>1094676.9485324959</v>
      </c>
      <c r="F368" s="48">
        <v>348405.85676</v>
      </c>
      <c r="G368" s="48">
        <v>357645.18399040657</v>
      </c>
      <c r="H368" s="49">
        <v>0.17772563037104705</v>
      </c>
      <c r="I368" s="49">
        <v>2.6518863133724757E-2</v>
      </c>
      <c r="J368" s="49">
        <v>0.13650037973277862</v>
      </c>
    </row>
    <row r="369" spans="1:10" ht="11.25" customHeight="1" x14ac:dyDescent="0.2">
      <c r="A369" s="58">
        <v>44774</v>
      </c>
      <c r="B369" s="48">
        <v>0</v>
      </c>
      <c r="C369" s="48">
        <v>0</v>
      </c>
      <c r="D369" s="48">
        <v>923435.01542999991</v>
      </c>
      <c r="E369" s="48">
        <v>1087553.0856539942</v>
      </c>
      <c r="F369" s="48">
        <v>346138.52523999999</v>
      </c>
      <c r="G369" s="48">
        <v>355317.7254161489</v>
      </c>
      <c r="H369" s="49">
        <v>0.17772563037104705</v>
      </c>
      <c r="I369" s="49">
        <v>2.6518863133724757E-2</v>
      </c>
      <c r="J369" s="49">
        <v>0.13650037973277862</v>
      </c>
    </row>
    <row r="370" spans="1:10" ht="11.25" customHeight="1" x14ac:dyDescent="0.2">
      <c r="A370" s="51" t="s">
        <v>33</v>
      </c>
      <c r="B370" s="48">
        <v>0</v>
      </c>
      <c r="C370" s="48">
        <v>0</v>
      </c>
      <c r="D370" s="48">
        <v>2483740.0175705999</v>
      </c>
      <c r="E370" s="48">
        <v>2738461.5693056989</v>
      </c>
      <c r="F370" s="48">
        <v>931015.46187919995</v>
      </c>
      <c r="G370" s="48">
        <v>894690.9799443176</v>
      </c>
      <c r="H370" s="49">
        <v>0.10255564186796251</v>
      </c>
      <c r="I370" s="49">
        <v>-3.9015981390431054E-2</v>
      </c>
      <c r="J370" s="49">
        <v>6.3956869273522399E-2</v>
      </c>
    </row>
    <row r="371" spans="1:10" ht="11.25" customHeight="1" x14ac:dyDescent="0.2">
      <c r="A371" s="52" t="s">
        <v>23</v>
      </c>
      <c r="B371" s="48">
        <v>0</v>
      </c>
      <c r="C371" s="48">
        <v>0</v>
      </c>
      <c r="D371" s="48">
        <v>2483740.0175705999</v>
      </c>
      <c r="E371" s="48">
        <v>2738461.5693056989</v>
      </c>
      <c r="F371" s="48">
        <v>931015.46187919995</v>
      </c>
      <c r="G371" s="48">
        <v>894690.9799443176</v>
      </c>
      <c r="H371" s="49">
        <v>0.10255564186796251</v>
      </c>
      <c r="I371" s="49">
        <v>-3.9015981390431054E-2</v>
      </c>
      <c r="J371" s="49">
        <v>6.3956869273522399E-2</v>
      </c>
    </row>
    <row r="372" spans="1:10" ht="11.25" customHeight="1" x14ac:dyDescent="0.2">
      <c r="A372" s="53" t="s">
        <v>39</v>
      </c>
      <c r="B372" s="48">
        <v>0</v>
      </c>
      <c r="C372" s="48">
        <v>0</v>
      </c>
      <c r="D372" s="48">
        <v>1022423.22126</v>
      </c>
      <c r="E372" s="48">
        <v>1127278.4909770298</v>
      </c>
      <c r="F372" s="48">
        <v>383249.38232000003</v>
      </c>
      <c r="G372" s="48">
        <v>368296.53155150876</v>
      </c>
      <c r="H372" s="49">
        <v>0.10255564186796295</v>
      </c>
      <c r="I372" s="49">
        <v>-3.9015981390431276E-2</v>
      </c>
      <c r="J372" s="49">
        <v>6.3956869273522621E-2</v>
      </c>
    </row>
    <row r="373" spans="1:10" ht="11.25" customHeight="1" x14ac:dyDescent="0.2">
      <c r="A373" s="54" t="s">
        <v>25</v>
      </c>
      <c r="B373" s="48">
        <v>0</v>
      </c>
      <c r="C373" s="48">
        <v>0</v>
      </c>
      <c r="D373" s="48">
        <v>1022423.22126</v>
      </c>
      <c r="E373" s="48">
        <v>1127278.4909770298</v>
      </c>
      <c r="F373" s="48">
        <v>383249.38232000003</v>
      </c>
      <c r="G373" s="48">
        <v>368296.53155150876</v>
      </c>
      <c r="H373" s="49">
        <v>0.10255564186796295</v>
      </c>
      <c r="I373" s="49">
        <v>-3.9015981390431276E-2</v>
      </c>
      <c r="J373" s="49">
        <v>6.3956869273522621E-2</v>
      </c>
    </row>
    <row r="374" spans="1:10" ht="11.25" customHeight="1" x14ac:dyDescent="0.2">
      <c r="A374" s="55" t="s">
        <v>25</v>
      </c>
      <c r="B374" s="48">
        <v>0</v>
      </c>
      <c r="C374" s="48">
        <v>0</v>
      </c>
      <c r="D374" s="48">
        <v>1022423.22126</v>
      </c>
      <c r="E374" s="48">
        <v>1127278.4909770298</v>
      </c>
      <c r="F374" s="48">
        <v>383249.38232000003</v>
      </c>
      <c r="G374" s="48">
        <v>368296.53155150876</v>
      </c>
      <c r="H374" s="49">
        <v>0.10255564186796295</v>
      </c>
      <c r="I374" s="49">
        <v>-3.9015981390431276E-2</v>
      </c>
      <c r="J374" s="49">
        <v>6.3956869273522621E-2</v>
      </c>
    </row>
    <row r="375" spans="1:10" ht="11.25" customHeight="1" x14ac:dyDescent="0.2">
      <c r="A375" s="56" t="s">
        <v>25</v>
      </c>
      <c r="B375" s="48">
        <v>0</v>
      </c>
      <c r="C375" s="48">
        <v>0</v>
      </c>
      <c r="D375" s="48">
        <v>1022423.22126</v>
      </c>
      <c r="E375" s="48">
        <v>1127278.4909770298</v>
      </c>
      <c r="F375" s="48">
        <v>383249.38232000003</v>
      </c>
      <c r="G375" s="48">
        <v>368296.53155150876</v>
      </c>
      <c r="H375" s="49">
        <v>0.10255564186796295</v>
      </c>
      <c r="I375" s="49">
        <v>-3.9015981390431276E-2</v>
      </c>
      <c r="J375" s="49">
        <v>6.3956869273522621E-2</v>
      </c>
    </row>
    <row r="376" spans="1:10" ht="11.25" customHeight="1" x14ac:dyDescent="0.2">
      <c r="A376" s="57" t="s">
        <v>25</v>
      </c>
      <c r="B376" s="48">
        <v>0</v>
      </c>
      <c r="C376" s="48">
        <v>0</v>
      </c>
      <c r="D376" s="48">
        <v>1022423.22126</v>
      </c>
      <c r="E376" s="48">
        <v>1127278.4909770298</v>
      </c>
      <c r="F376" s="48">
        <v>383249.38232000003</v>
      </c>
      <c r="G376" s="48">
        <v>368296.53155150876</v>
      </c>
      <c r="H376" s="49">
        <v>0.10255564186796295</v>
      </c>
      <c r="I376" s="49">
        <v>-3.9015981390431276E-2</v>
      </c>
      <c r="J376" s="49">
        <v>6.3956869273522621E-2</v>
      </c>
    </row>
    <row r="377" spans="1:10" ht="11.25" customHeight="1" x14ac:dyDescent="0.2">
      <c r="A377" s="58">
        <v>44440</v>
      </c>
      <c r="B377" s="48">
        <v>0</v>
      </c>
      <c r="C377" s="48">
        <v>0</v>
      </c>
      <c r="D377" s="48">
        <v>85586.925149999995</v>
      </c>
      <c r="E377" s="48">
        <v>94364.347194263552</v>
      </c>
      <c r="F377" s="48">
        <v>32081.7598</v>
      </c>
      <c r="G377" s="48">
        <v>30830.058456670922</v>
      </c>
      <c r="H377" s="49">
        <v>0.10255564186796295</v>
      </c>
      <c r="I377" s="49">
        <v>-3.9015981390431054E-2</v>
      </c>
      <c r="J377" s="49">
        <v>6.3956869273522621E-2</v>
      </c>
    </row>
    <row r="378" spans="1:10" ht="11.25" customHeight="1" x14ac:dyDescent="0.2">
      <c r="A378" s="58">
        <v>44470</v>
      </c>
      <c r="B378" s="48">
        <v>0</v>
      </c>
      <c r="C378" s="48">
        <v>0</v>
      </c>
      <c r="D378" s="48">
        <v>75324.335940000004</v>
      </c>
      <c r="E378" s="48">
        <v>83049.271560604771</v>
      </c>
      <c r="F378" s="48">
        <v>28234.888079999997</v>
      </c>
      <c r="G378" s="48">
        <v>27133.276212109817</v>
      </c>
      <c r="H378" s="49">
        <v>0.10255564186796295</v>
      </c>
      <c r="I378" s="49">
        <v>-3.9015981390430943E-2</v>
      </c>
      <c r="J378" s="49">
        <v>6.3956869273522843E-2</v>
      </c>
    </row>
    <row r="379" spans="1:10" ht="11.25" customHeight="1" x14ac:dyDescent="0.2">
      <c r="A379" s="58">
        <v>44501</v>
      </c>
      <c r="B379" s="48">
        <v>0</v>
      </c>
      <c r="C379" s="48">
        <v>0</v>
      </c>
      <c r="D379" s="48">
        <v>79358.719949999999</v>
      </c>
      <c r="E379" s="48">
        <v>87497.404412292162</v>
      </c>
      <c r="F379" s="48">
        <v>29747.153399999999</v>
      </c>
      <c r="G379" s="48">
        <v>28586.539016527302</v>
      </c>
      <c r="H379" s="49">
        <v>0.10255564186796295</v>
      </c>
      <c r="I379" s="49">
        <v>-3.9015981390431054E-2</v>
      </c>
      <c r="J379" s="49">
        <v>6.3956869273522621E-2</v>
      </c>
    </row>
    <row r="380" spans="1:10" ht="11.25" customHeight="1" x14ac:dyDescent="0.2">
      <c r="A380" s="58">
        <v>44531</v>
      </c>
      <c r="B380" s="48">
        <v>0</v>
      </c>
      <c r="C380" s="48">
        <v>0</v>
      </c>
      <c r="D380" s="48">
        <v>92569.527359999993</v>
      </c>
      <c r="E380" s="48">
        <v>102063.05465581876</v>
      </c>
      <c r="F380" s="48">
        <v>34699.147519999999</v>
      </c>
      <c r="G380" s="48">
        <v>33345.326226095858</v>
      </c>
      <c r="H380" s="49">
        <v>0.10255564186796318</v>
      </c>
      <c r="I380" s="49">
        <v>-3.9015981390431054E-2</v>
      </c>
      <c r="J380" s="49">
        <v>6.3956869273522843E-2</v>
      </c>
    </row>
    <row r="381" spans="1:10" ht="11.25" customHeight="1" x14ac:dyDescent="0.2">
      <c r="A381" s="58">
        <v>44562</v>
      </c>
      <c r="B381" s="48">
        <v>0</v>
      </c>
      <c r="C381" s="48">
        <v>0</v>
      </c>
      <c r="D381" s="48">
        <v>88342.114229999992</v>
      </c>
      <c r="E381" s="48">
        <v>97402.096458830565</v>
      </c>
      <c r="F381" s="48">
        <v>33114.526359999996</v>
      </c>
      <c r="G381" s="48">
        <v>31822.530615785305</v>
      </c>
      <c r="H381" s="49">
        <v>0.10255564186796318</v>
      </c>
      <c r="I381" s="49">
        <v>-3.9015981390430832E-2</v>
      </c>
      <c r="J381" s="49">
        <v>6.3956869273522843E-2</v>
      </c>
    </row>
    <row r="382" spans="1:10" ht="11.25" customHeight="1" x14ac:dyDescent="0.2">
      <c r="A382" s="58">
        <v>44593</v>
      </c>
      <c r="B382" s="48">
        <v>0</v>
      </c>
      <c r="C382" s="48">
        <v>0</v>
      </c>
      <c r="D382" s="48">
        <v>96506.642789999998</v>
      </c>
      <c r="E382" s="48">
        <v>106403.94348585067</v>
      </c>
      <c r="F382" s="48">
        <v>36174.952279999998</v>
      </c>
      <c r="G382" s="48">
        <v>34763.551015043791</v>
      </c>
      <c r="H382" s="49">
        <v>0.10255564186796295</v>
      </c>
      <c r="I382" s="49">
        <v>-3.9015981390430943E-2</v>
      </c>
      <c r="J382" s="49">
        <v>6.3956869273522843E-2</v>
      </c>
    </row>
    <row r="383" spans="1:10" ht="11.25" customHeight="1" x14ac:dyDescent="0.2">
      <c r="A383" s="58">
        <v>44621</v>
      </c>
      <c r="B383" s="48">
        <v>0</v>
      </c>
      <c r="C383" s="48">
        <v>0</v>
      </c>
      <c r="D383" s="48">
        <v>93228.917849999998</v>
      </c>
      <c r="E383" s="48">
        <v>102790.06936076234</v>
      </c>
      <c r="F383" s="48">
        <v>34946.316199999994</v>
      </c>
      <c r="G383" s="48">
        <v>33582.851377476683</v>
      </c>
      <c r="H383" s="49">
        <v>0.10255564186796295</v>
      </c>
      <c r="I383" s="49">
        <v>-3.9015981390430832E-2</v>
      </c>
      <c r="J383" s="49">
        <v>6.3956869273522621E-2</v>
      </c>
    </row>
    <row r="384" spans="1:10" ht="11.25" customHeight="1" x14ac:dyDescent="0.2">
      <c r="A384" s="58">
        <v>44652</v>
      </c>
      <c r="B384" s="48">
        <v>0</v>
      </c>
      <c r="C384" s="48">
        <v>0</v>
      </c>
      <c r="D384" s="48">
        <v>89407.54449</v>
      </c>
      <c r="E384" s="48">
        <v>98576.792603010414</v>
      </c>
      <c r="F384" s="48">
        <v>33513.896679999998</v>
      </c>
      <c r="G384" s="48">
        <v>32206.319110812292</v>
      </c>
      <c r="H384" s="49">
        <v>0.10255564186796295</v>
      </c>
      <c r="I384" s="49">
        <v>-3.9015981390430943E-2</v>
      </c>
      <c r="J384" s="49">
        <v>6.3956869273522621E-2</v>
      </c>
    </row>
    <row r="385" spans="1:10" ht="11.25" customHeight="1" x14ac:dyDescent="0.2">
      <c r="A385" s="58">
        <v>44682</v>
      </c>
      <c r="B385" s="48">
        <v>0</v>
      </c>
      <c r="C385" s="48">
        <v>0</v>
      </c>
      <c r="D385" s="48">
        <v>84144.484889999992</v>
      </c>
      <c r="E385" s="48">
        <v>92773.976547543061</v>
      </c>
      <c r="F385" s="48">
        <v>31541.069479999998</v>
      </c>
      <c r="G385" s="48">
        <v>30310.463700134027</v>
      </c>
      <c r="H385" s="49">
        <v>0.10255564186796318</v>
      </c>
      <c r="I385" s="49">
        <v>-3.9015981390431054E-2</v>
      </c>
      <c r="J385" s="49">
        <v>6.3956869273522621E-2</v>
      </c>
    </row>
    <row r="386" spans="1:10" ht="11.25" customHeight="1" x14ac:dyDescent="0.2">
      <c r="A386" s="58">
        <v>44713</v>
      </c>
      <c r="B386" s="48">
        <v>0</v>
      </c>
      <c r="C386" s="48">
        <v>0</v>
      </c>
      <c r="D386" s="48">
        <v>83535.990749999997</v>
      </c>
      <c r="E386" s="48">
        <v>92103.077900442469</v>
      </c>
      <c r="F386" s="48">
        <v>31312.979000000003</v>
      </c>
      <c r="G386" s="48">
        <v>30091.272394057047</v>
      </c>
      <c r="H386" s="49">
        <v>0.10255564186796295</v>
      </c>
      <c r="I386" s="49">
        <v>-3.9015981390430943E-2</v>
      </c>
      <c r="J386" s="49">
        <v>6.3956869273522621E-2</v>
      </c>
    </row>
    <row r="387" spans="1:10" ht="11.25" customHeight="1" x14ac:dyDescent="0.2">
      <c r="A387" s="58">
        <v>44743</v>
      </c>
      <c r="B387" s="48">
        <v>0</v>
      </c>
      <c r="C387" s="48">
        <v>0</v>
      </c>
      <c r="D387" s="48">
        <v>76751.695800000001</v>
      </c>
      <c r="E387" s="48">
        <v>84623.015227223645</v>
      </c>
      <c r="F387" s="48">
        <v>28769.925599999999</v>
      </c>
      <c r="G387" s="48">
        <v>27647.438718186317</v>
      </c>
      <c r="H387" s="49">
        <v>0.10255564186796295</v>
      </c>
      <c r="I387" s="49">
        <v>-3.9015981390430943E-2</v>
      </c>
      <c r="J387" s="49">
        <v>6.3956869273522621E-2</v>
      </c>
    </row>
    <row r="388" spans="1:10" ht="11.25" customHeight="1" x14ac:dyDescent="0.2">
      <c r="A388" s="58">
        <v>44774</v>
      </c>
      <c r="B388" s="48">
        <v>0</v>
      </c>
      <c r="C388" s="48">
        <v>0</v>
      </c>
      <c r="D388" s="48">
        <v>77666.322059999991</v>
      </c>
      <c r="E388" s="48">
        <v>85631.441570387222</v>
      </c>
      <c r="F388" s="48">
        <v>29112.767919999998</v>
      </c>
      <c r="G388" s="48">
        <v>27976.904708609341</v>
      </c>
      <c r="H388" s="49">
        <v>0.10255564186796295</v>
      </c>
      <c r="I388" s="49">
        <v>-3.9015981390431054E-2</v>
      </c>
      <c r="J388" s="49">
        <v>6.3956869273522621E-2</v>
      </c>
    </row>
    <row r="389" spans="1:10" ht="11.25" customHeight="1" x14ac:dyDescent="0.2">
      <c r="A389" s="53" t="s">
        <v>34</v>
      </c>
      <c r="B389" s="48">
        <v>0</v>
      </c>
      <c r="C389" s="48">
        <v>0</v>
      </c>
      <c r="D389" s="48">
        <v>713509.89848999993</v>
      </c>
      <c r="E389" s="48">
        <v>786684.36410878715</v>
      </c>
      <c r="F389" s="48">
        <v>267455.02468000003</v>
      </c>
      <c r="G389" s="48">
        <v>257020.00441430786</v>
      </c>
      <c r="H389" s="49">
        <v>0.10255564186796318</v>
      </c>
      <c r="I389" s="49">
        <v>-3.9015981390431387E-2</v>
      </c>
      <c r="J389" s="49">
        <v>6.3956869273522621E-2</v>
      </c>
    </row>
    <row r="390" spans="1:10" ht="11.25" customHeight="1" x14ac:dyDescent="0.2">
      <c r="A390" s="54" t="s">
        <v>25</v>
      </c>
      <c r="B390" s="48">
        <v>0</v>
      </c>
      <c r="C390" s="48">
        <v>0</v>
      </c>
      <c r="D390" s="48">
        <v>713509.89848999993</v>
      </c>
      <c r="E390" s="48">
        <v>786684.36410878715</v>
      </c>
      <c r="F390" s="48">
        <v>267455.02468000003</v>
      </c>
      <c r="G390" s="48">
        <v>257020.00441430786</v>
      </c>
      <c r="H390" s="49">
        <v>0.10255564186796318</v>
      </c>
      <c r="I390" s="49">
        <v>-3.9015981390431387E-2</v>
      </c>
      <c r="J390" s="49">
        <v>6.3956869273522621E-2</v>
      </c>
    </row>
    <row r="391" spans="1:10" ht="11.25" customHeight="1" x14ac:dyDescent="0.2">
      <c r="A391" s="55" t="s">
        <v>25</v>
      </c>
      <c r="B391" s="48">
        <v>0</v>
      </c>
      <c r="C391" s="48">
        <v>0</v>
      </c>
      <c r="D391" s="48">
        <v>713509.89848999993</v>
      </c>
      <c r="E391" s="48">
        <v>786684.36410878715</v>
      </c>
      <c r="F391" s="48">
        <v>267455.02468000003</v>
      </c>
      <c r="G391" s="48">
        <v>257020.00441430786</v>
      </c>
      <c r="H391" s="49">
        <v>0.10255564186796318</v>
      </c>
      <c r="I391" s="49">
        <v>-3.9015981390431387E-2</v>
      </c>
      <c r="J391" s="49">
        <v>6.3956869273522621E-2</v>
      </c>
    </row>
    <row r="392" spans="1:10" ht="11.25" customHeight="1" x14ac:dyDescent="0.2">
      <c r="A392" s="56" t="s">
        <v>25</v>
      </c>
      <c r="B392" s="48">
        <v>0</v>
      </c>
      <c r="C392" s="48">
        <v>0</v>
      </c>
      <c r="D392" s="48">
        <v>713509.89848999993</v>
      </c>
      <c r="E392" s="48">
        <v>786684.36410878715</v>
      </c>
      <c r="F392" s="48">
        <v>267455.02468000003</v>
      </c>
      <c r="G392" s="48">
        <v>257020.00441430786</v>
      </c>
      <c r="H392" s="49">
        <v>0.10255564186796318</v>
      </c>
      <c r="I392" s="49">
        <v>-3.9015981390431387E-2</v>
      </c>
      <c r="J392" s="49">
        <v>6.3956869273522621E-2</v>
      </c>
    </row>
    <row r="393" spans="1:10" ht="11.25" customHeight="1" x14ac:dyDescent="0.2">
      <c r="A393" s="57" t="s">
        <v>25</v>
      </c>
      <c r="B393" s="48">
        <v>0</v>
      </c>
      <c r="C393" s="48">
        <v>0</v>
      </c>
      <c r="D393" s="48">
        <v>713509.89848999993</v>
      </c>
      <c r="E393" s="48">
        <v>786684.36410878715</v>
      </c>
      <c r="F393" s="48">
        <v>267455.02468000003</v>
      </c>
      <c r="G393" s="48">
        <v>257020.00441430786</v>
      </c>
      <c r="H393" s="49">
        <v>0.10255564186796318</v>
      </c>
      <c r="I393" s="49">
        <v>-3.9015981390431387E-2</v>
      </c>
      <c r="J393" s="49">
        <v>6.3956869273522621E-2</v>
      </c>
    </row>
    <row r="394" spans="1:10" ht="11.25" customHeight="1" x14ac:dyDescent="0.2">
      <c r="A394" s="58">
        <v>44440</v>
      </c>
      <c r="B394" s="48">
        <v>0</v>
      </c>
      <c r="C394" s="48">
        <v>0</v>
      </c>
      <c r="D394" s="48">
        <v>66231.231749999992</v>
      </c>
      <c r="E394" s="48">
        <v>73023.618233827059</v>
      </c>
      <c r="F394" s="48">
        <v>24826.390999999996</v>
      </c>
      <c r="G394" s="48">
        <v>23857.764990752436</v>
      </c>
      <c r="H394" s="49">
        <v>0.10255564186796318</v>
      </c>
      <c r="I394" s="49">
        <v>-3.9015981390430832E-2</v>
      </c>
      <c r="J394" s="49">
        <v>6.3956869273522843E-2</v>
      </c>
    </row>
    <row r="395" spans="1:10" ht="11.25" customHeight="1" x14ac:dyDescent="0.2">
      <c r="A395" s="58">
        <v>44470</v>
      </c>
      <c r="B395" s="48">
        <v>0</v>
      </c>
      <c r="C395" s="48">
        <v>0</v>
      </c>
      <c r="D395" s="48">
        <v>60376.643459999999</v>
      </c>
      <c r="E395" s="48">
        <v>66568.608883873458</v>
      </c>
      <c r="F395" s="48">
        <v>22631.832719999999</v>
      </c>
      <c r="G395" s="48">
        <v>21748.829555765133</v>
      </c>
      <c r="H395" s="49">
        <v>0.10255564186796318</v>
      </c>
      <c r="I395" s="49">
        <v>-3.9015981390430943E-2</v>
      </c>
      <c r="J395" s="49">
        <v>6.3956869273522843E-2</v>
      </c>
    </row>
    <row r="396" spans="1:10" ht="11.25" customHeight="1" x14ac:dyDescent="0.2">
      <c r="A396" s="58">
        <v>44501</v>
      </c>
      <c r="B396" s="48">
        <v>0</v>
      </c>
      <c r="C396" s="48">
        <v>0</v>
      </c>
      <c r="D396" s="48">
        <v>54834.596460000008</v>
      </c>
      <c r="E396" s="48">
        <v>60458.193696526039</v>
      </c>
      <c r="F396" s="48">
        <v>20554.42872</v>
      </c>
      <c r="G396" s="48">
        <v>19752.477511569541</v>
      </c>
      <c r="H396" s="49">
        <v>0.10255564186796295</v>
      </c>
      <c r="I396" s="49">
        <v>-3.9015981390430943E-2</v>
      </c>
      <c r="J396" s="49">
        <v>6.3956869273522621E-2</v>
      </c>
    </row>
    <row r="397" spans="1:10" ht="11.25" customHeight="1" x14ac:dyDescent="0.2">
      <c r="A397" s="58">
        <v>44531</v>
      </c>
      <c r="B397" s="48">
        <v>0</v>
      </c>
      <c r="C397" s="48">
        <v>0</v>
      </c>
      <c r="D397" s="48">
        <v>60773.634989999999</v>
      </c>
      <c r="E397" s="48">
        <v>67006.314135048742</v>
      </c>
      <c r="F397" s="48">
        <v>22780.642680000001</v>
      </c>
      <c r="G397" s="48">
        <v>21891.833549135063</v>
      </c>
      <c r="H397" s="49">
        <v>0.10255564186796295</v>
      </c>
      <c r="I397" s="49">
        <v>-3.9015981390431054E-2</v>
      </c>
      <c r="J397" s="49">
        <v>6.3956869273522621E-2</v>
      </c>
    </row>
    <row r="398" spans="1:10" ht="11.25" customHeight="1" x14ac:dyDescent="0.2">
      <c r="A398" s="58">
        <v>44562</v>
      </c>
      <c r="B398" s="48">
        <v>0</v>
      </c>
      <c r="C398" s="48">
        <v>0</v>
      </c>
      <c r="D398" s="48">
        <v>45302.652629999997</v>
      </c>
      <c r="E398" s="48">
        <v>49948.695248791017</v>
      </c>
      <c r="F398" s="48">
        <v>16981.435159999997</v>
      </c>
      <c r="G398" s="48">
        <v>16318.887801814628</v>
      </c>
      <c r="H398" s="49">
        <v>0.10255564186796318</v>
      </c>
      <c r="I398" s="49">
        <v>-3.9015981390430943E-2</v>
      </c>
      <c r="J398" s="49">
        <v>6.3956869273522843E-2</v>
      </c>
    </row>
    <row r="399" spans="1:10" ht="11.25" customHeight="1" x14ac:dyDescent="0.2">
      <c r="A399" s="58">
        <v>44593</v>
      </c>
      <c r="B399" s="48">
        <v>0</v>
      </c>
      <c r="C399" s="48">
        <v>0</v>
      </c>
      <c r="D399" s="48">
        <v>59928.001559999997</v>
      </c>
      <c r="E399" s="48">
        <v>66073.956225850096</v>
      </c>
      <c r="F399" s="48">
        <v>22463.661919999999</v>
      </c>
      <c r="G399" s="48">
        <v>21587.220104568347</v>
      </c>
      <c r="H399" s="49">
        <v>0.10255564186796318</v>
      </c>
      <c r="I399" s="49">
        <v>-3.9015981390430943E-2</v>
      </c>
      <c r="J399" s="49">
        <v>6.3956869273522843E-2</v>
      </c>
    </row>
    <row r="400" spans="1:10" ht="11.25" customHeight="1" x14ac:dyDescent="0.2">
      <c r="A400" s="58">
        <v>44621</v>
      </c>
      <c r="B400" s="48">
        <v>0</v>
      </c>
      <c r="C400" s="48">
        <v>0</v>
      </c>
      <c r="D400" s="48">
        <v>57031.810739999994</v>
      </c>
      <c r="E400" s="48">
        <v>62880.744697332884</v>
      </c>
      <c r="F400" s="48">
        <v>21378.041680000002</v>
      </c>
      <c r="G400" s="48">
        <v>20543.956403649259</v>
      </c>
      <c r="H400" s="49">
        <v>0.10255564186796318</v>
      </c>
      <c r="I400" s="49">
        <v>-3.9015981390431165E-2</v>
      </c>
      <c r="J400" s="49">
        <v>6.3956869273522621E-2</v>
      </c>
    </row>
    <row r="401" spans="1:10" ht="11.25" customHeight="1" x14ac:dyDescent="0.2">
      <c r="A401" s="58">
        <v>44652</v>
      </c>
      <c r="B401" s="48">
        <v>0</v>
      </c>
      <c r="C401" s="48">
        <v>0</v>
      </c>
      <c r="D401" s="48">
        <v>57910.998059999998</v>
      </c>
      <c r="E401" s="48">
        <v>63850.097637257662</v>
      </c>
      <c r="F401" s="48">
        <v>21707.599919999997</v>
      </c>
      <c r="G401" s="48">
        <v>20860.65660549036</v>
      </c>
      <c r="H401" s="49">
        <v>0.10255564186796318</v>
      </c>
      <c r="I401" s="49">
        <v>-3.9015981390430832E-2</v>
      </c>
      <c r="J401" s="49">
        <v>6.3956869273522843E-2</v>
      </c>
    </row>
    <row r="402" spans="1:10" ht="11.25" customHeight="1" x14ac:dyDescent="0.2">
      <c r="A402" s="58">
        <v>44682</v>
      </c>
      <c r="B402" s="48">
        <v>0</v>
      </c>
      <c r="C402" s="48">
        <v>0</v>
      </c>
      <c r="D402" s="48">
        <v>61898.632829999988</v>
      </c>
      <c r="E402" s="48">
        <v>68246.686850630009</v>
      </c>
      <c r="F402" s="48">
        <v>23202.341559999997</v>
      </c>
      <c r="G402" s="48">
        <v>22297.079433480616</v>
      </c>
      <c r="H402" s="49">
        <v>0.10255564186796318</v>
      </c>
      <c r="I402" s="49">
        <v>-3.9015981390430943E-2</v>
      </c>
      <c r="J402" s="49">
        <v>6.3956869273522621E-2</v>
      </c>
    </row>
    <row r="403" spans="1:10" ht="11.25" customHeight="1" x14ac:dyDescent="0.2">
      <c r="A403" s="58">
        <v>44713</v>
      </c>
      <c r="B403" s="48">
        <v>0</v>
      </c>
      <c r="C403" s="48">
        <v>0</v>
      </c>
      <c r="D403" s="48">
        <v>64156.922729999998</v>
      </c>
      <c r="E403" s="48">
        <v>70736.577120848451</v>
      </c>
      <c r="F403" s="48">
        <v>24048.848359999996</v>
      </c>
      <c r="G403" s="48">
        <v>23110.55893992494</v>
      </c>
      <c r="H403" s="49">
        <v>0.10255564186796295</v>
      </c>
      <c r="I403" s="49">
        <v>-3.9015981390430943E-2</v>
      </c>
      <c r="J403" s="49">
        <v>6.3956869273522621E-2</v>
      </c>
    </row>
    <row r="404" spans="1:10" ht="11.25" customHeight="1" x14ac:dyDescent="0.2">
      <c r="A404" s="58">
        <v>44743</v>
      </c>
      <c r="B404" s="48">
        <v>0</v>
      </c>
      <c r="C404" s="48">
        <v>0</v>
      </c>
      <c r="D404" s="48">
        <v>60533.479619999998</v>
      </c>
      <c r="E404" s="48">
        <v>66741.529476930358</v>
      </c>
      <c r="F404" s="48">
        <v>22690.62184</v>
      </c>
      <c r="G404" s="48">
        <v>21805.324960553251</v>
      </c>
      <c r="H404" s="49">
        <v>0.10255564186796295</v>
      </c>
      <c r="I404" s="49">
        <v>-3.9015981390431054E-2</v>
      </c>
      <c r="J404" s="49">
        <v>6.3956869273522621E-2</v>
      </c>
    </row>
    <row r="405" spans="1:10" ht="11.25" customHeight="1" x14ac:dyDescent="0.2">
      <c r="A405" s="58">
        <v>44774</v>
      </c>
      <c r="B405" s="48">
        <v>0</v>
      </c>
      <c r="C405" s="48">
        <v>0</v>
      </c>
      <c r="D405" s="48">
        <v>64531.293660000003</v>
      </c>
      <c r="E405" s="48">
        <v>71149.341901871318</v>
      </c>
      <c r="F405" s="48">
        <v>24189.179120000001</v>
      </c>
      <c r="G405" s="48">
        <v>23245.414557604276</v>
      </c>
      <c r="H405" s="49">
        <v>0.10255564186796295</v>
      </c>
      <c r="I405" s="49">
        <v>-3.9015981390431165E-2</v>
      </c>
      <c r="J405" s="49">
        <v>6.3956869273522621E-2</v>
      </c>
    </row>
    <row r="406" spans="1:10" ht="11.25" customHeight="1" x14ac:dyDescent="0.2">
      <c r="A406" s="53" t="s">
        <v>42</v>
      </c>
      <c r="B406" s="48">
        <v>0</v>
      </c>
      <c r="C406" s="48">
        <v>0</v>
      </c>
      <c r="D406" s="48">
        <v>551386.92726000014</v>
      </c>
      <c r="E406" s="48">
        <v>607934.76750275318</v>
      </c>
      <c r="F406" s="48">
        <v>206684.17431999999</v>
      </c>
      <c r="G406" s="48">
        <v>198620.18842103428</v>
      </c>
      <c r="H406" s="49">
        <v>0.10255564186796251</v>
      </c>
      <c r="I406" s="49">
        <v>-3.9015981390430943E-2</v>
      </c>
      <c r="J406" s="49">
        <v>6.3956869273522399E-2</v>
      </c>
    </row>
    <row r="407" spans="1:10" ht="11.25" customHeight="1" x14ac:dyDescent="0.2">
      <c r="A407" s="54" t="s">
        <v>25</v>
      </c>
      <c r="B407" s="48">
        <v>0</v>
      </c>
      <c r="C407" s="48">
        <v>0</v>
      </c>
      <c r="D407" s="48">
        <v>551386.92726000014</v>
      </c>
      <c r="E407" s="48">
        <v>607934.76750275318</v>
      </c>
      <c r="F407" s="48">
        <v>206684.17431999999</v>
      </c>
      <c r="G407" s="48">
        <v>198620.18842103428</v>
      </c>
      <c r="H407" s="49">
        <v>0.10255564186796251</v>
      </c>
      <c r="I407" s="49">
        <v>-3.9015981390430943E-2</v>
      </c>
      <c r="J407" s="49">
        <v>6.3956869273522399E-2</v>
      </c>
    </row>
    <row r="408" spans="1:10" ht="11.25" customHeight="1" x14ac:dyDescent="0.2">
      <c r="A408" s="55" t="s">
        <v>25</v>
      </c>
      <c r="B408" s="48">
        <v>0</v>
      </c>
      <c r="C408" s="48">
        <v>0</v>
      </c>
      <c r="D408" s="48">
        <v>551386.92726000014</v>
      </c>
      <c r="E408" s="48">
        <v>607934.76750275318</v>
      </c>
      <c r="F408" s="48">
        <v>206684.17431999999</v>
      </c>
      <c r="G408" s="48">
        <v>198620.18842103428</v>
      </c>
      <c r="H408" s="49">
        <v>0.10255564186796251</v>
      </c>
      <c r="I408" s="49">
        <v>-3.9015981390430943E-2</v>
      </c>
      <c r="J408" s="49">
        <v>6.3956869273522399E-2</v>
      </c>
    </row>
    <row r="409" spans="1:10" ht="11.25" customHeight="1" x14ac:dyDescent="0.2">
      <c r="A409" s="56" t="s">
        <v>25</v>
      </c>
      <c r="B409" s="48">
        <v>0</v>
      </c>
      <c r="C409" s="48">
        <v>0</v>
      </c>
      <c r="D409" s="48">
        <v>551386.92726000014</v>
      </c>
      <c r="E409" s="48">
        <v>607934.76750275318</v>
      </c>
      <c r="F409" s="48">
        <v>206684.17431999999</v>
      </c>
      <c r="G409" s="48">
        <v>198620.18842103428</v>
      </c>
      <c r="H409" s="49">
        <v>0.10255564186796251</v>
      </c>
      <c r="I409" s="49">
        <v>-3.9015981390430943E-2</v>
      </c>
      <c r="J409" s="49">
        <v>6.3956869273522399E-2</v>
      </c>
    </row>
    <row r="410" spans="1:10" ht="11.25" customHeight="1" x14ac:dyDescent="0.2">
      <c r="A410" s="57" t="s">
        <v>25</v>
      </c>
      <c r="B410" s="48">
        <v>0</v>
      </c>
      <c r="C410" s="48">
        <v>0</v>
      </c>
      <c r="D410" s="48">
        <v>551386.92726000014</v>
      </c>
      <c r="E410" s="48">
        <v>607934.76750275318</v>
      </c>
      <c r="F410" s="48">
        <v>206684.17431999999</v>
      </c>
      <c r="G410" s="48">
        <v>198620.18842103428</v>
      </c>
      <c r="H410" s="49">
        <v>0.10255564186796251</v>
      </c>
      <c r="I410" s="49">
        <v>-3.9015981390430943E-2</v>
      </c>
      <c r="J410" s="49">
        <v>6.3956869273522399E-2</v>
      </c>
    </row>
    <row r="411" spans="1:10" ht="11.25" customHeight="1" x14ac:dyDescent="0.2">
      <c r="A411" s="58">
        <v>44440</v>
      </c>
      <c r="B411" s="48">
        <v>0</v>
      </c>
      <c r="C411" s="48">
        <v>0</v>
      </c>
      <c r="D411" s="48">
        <v>40963.644540000001</v>
      </c>
      <c r="E411" s="48">
        <v>45164.697399050776</v>
      </c>
      <c r="F411" s="48">
        <v>15354.983279999999</v>
      </c>
      <c r="G411" s="48">
        <v>14755.89353809714</v>
      </c>
      <c r="H411" s="49">
        <v>0.10255564186796295</v>
      </c>
      <c r="I411" s="49">
        <v>-3.9015981390430943E-2</v>
      </c>
      <c r="J411" s="49">
        <v>6.3956869273522621E-2</v>
      </c>
    </row>
    <row r="412" spans="1:10" ht="11.25" customHeight="1" x14ac:dyDescent="0.2">
      <c r="A412" s="58">
        <v>44470</v>
      </c>
      <c r="B412" s="48">
        <v>0</v>
      </c>
      <c r="C412" s="48">
        <v>0</v>
      </c>
      <c r="D412" s="48">
        <v>39858.628230000002</v>
      </c>
      <c r="E412" s="48">
        <v>43946.355432104159</v>
      </c>
      <c r="F412" s="48">
        <v>14940.774359999999</v>
      </c>
      <c r="G412" s="48">
        <v>14357.84538561161</v>
      </c>
      <c r="H412" s="49">
        <v>0.10255564186796295</v>
      </c>
      <c r="I412" s="49">
        <v>-3.9015981390431054E-2</v>
      </c>
      <c r="J412" s="49">
        <v>6.3956869273522621E-2</v>
      </c>
    </row>
    <row r="413" spans="1:10" ht="11.25" customHeight="1" x14ac:dyDescent="0.2">
      <c r="A413" s="58">
        <v>44501</v>
      </c>
      <c r="B413" s="48">
        <v>0</v>
      </c>
      <c r="C413" s="48">
        <v>0</v>
      </c>
      <c r="D413" s="48">
        <v>42308.439209999997</v>
      </c>
      <c r="E413" s="48">
        <v>46647.408349613244</v>
      </c>
      <c r="F413" s="48">
        <v>15859.07172</v>
      </c>
      <c r="G413" s="48">
        <v>15240.31447290297</v>
      </c>
      <c r="H413" s="49">
        <v>0.10255564186796318</v>
      </c>
      <c r="I413" s="49">
        <v>-3.9015981390430943E-2</v>
      </c>
      <c r="J413" s="49">
        <v>6.3956869273522621E-2</v>
      </c>
    </row>
    <row r="414" spans="1:10" ht="11.25" customHeight="1" x14ac:dyDescent="0.2">
      <c r="A414" s="58">
        <v>44531</v>
      </c>
      <c r="B414" s="48">
        <v>0</v>
      </c>
      <c r="C414" s="48">
        <v>0</v>
      </c>
      <c r="D414" s="48">
        <v>48644.092260000005</v>
      </c>
      <c r="E414" s="48">
        <v>53632.818364808714</v>
      </c>
      <c r="F414" s="48">
        <v>18233.954320000001</v>
      </c>
      <c r="G414" s="48">
        <v>17522.538697576911</v>
      </c>
      <c r="H414" s="49">
        <v>0.10255564186796295</v>
      </c>
      <c r="I414" s="49">
        <v>-3.9015981390431054E-2</v>
      </c>
      <c r="J414" s="49">
        <v>6.3956869273522621E-2</v>
      </c>
    </row>
    <row r="415" spans="1:10" ht="11.25" customHeight="1" x14ac:dyDescent="0.2">
      <c r="A415" s="58">
        <v>44562</v>
      </c>
      <c r="B415" s="48">
        <v>0</v>
      </c>
      <c r="C415" s="48">
        <v>0</v>
      </c>
      <c r="D415" s="48">
        <v>48963.042719999998</v>
      </c>
      <c r="E415" s="48">
        <v>53984.478993958095</v>
      </c>
      <c r="F415" s="48">
        <v>18353.511039999998</v>
      </c>
      <c r="G415" s="48">
        <v>17637.430794814289</v>
      </c>
      <c r="H415" s="49">
        <v>0.10255564186796318</v>
      </c>
      <c r="I415" s="49">
        <v>-3.9015981390430943E-2</v>
      </c>
      <c r="J415" s="49">
        <v>6.3956869273522621E-2</v>
      </c>
    </row>
    <row r="416" spans="1:10" ht="11.25" customHeight="1" x14ac:dyDescent="0.2">
      <c r="A416" s="58">
        <v>44593</v>
      </c>
      <c r="B416" s="48">
        <v>0</v>
      </c>
      <c r="C416" s="48">
        <v>0</v>
      </c>
      <c r="D416" s="48">
        <v>58537.965689999997</v>
      </c>
      <c r="E416" s="48">
        <v>64541.364334982747</v>
      </c>
      <c r="F416" s="48">
        <v>21942.61508</v>
      </c>
      <c r="G416" s="48">
        <v>21086.502418381329</v>
      </c>
      <c r="H416" s="49">
        <v>0.10255564186796318</v>
      </c>
      <c r="I416" s="49">
        <v>-3.9015981390430943E-2</v>
      </c>
      <c r="J416" s="49">
        <v>6.3956869273522621E-2</v>
      </c>
    </row>
    <row r="417" spans="1:10" ht="11.25" customHeight="1" x14ac:dyDescent="0.2">
      <c r="A417" s="58">
        <v>44621</v>
      </c>
      <c r="B417" s="48">
        <v>0</v>
      </c>
      <c r="C417" s="48">
        <v>0</v>
      </c>
      <c r="D417" s="48">
        <v>55882.307249999998</v>
      </c>
      <c r="E417" s="48">
        <v>61613.353139086466</v>
      </c>
      <c r="F417" s="48">
        <v>20947.156999999999</v>
      </c>
      <c r="G417" s="48">
        <v>20129.883112305561</v>
      </c>
      <c r="H417" s="49">
        <v>0.10255564186796295</v>
      </c>
      <c r="I417" s="49">
        <v>-3.9015981390431054E-2</v>
      </c>
      <c r="J417" s="49">
        <v>6.3956869273522621E-2</v>
      </c>
    </row>
    <row r="418" spans="1:10" ht="11.25" customHeight="1" x14ac:dyDescent="0.2">
      <c r="A418" s="58">
        <v>44652</v>
      </c>
      <c r="B418" s="48">
        <v>0</v>
      </c>
      <c r="C418" s="48">
        <v>0</v>
      </c>
      <c r="D418" s="48">
        <v>45101.329290000001</v>
      </c>
      <c r="E418" s="48">
        <v>49726.725064434315</v>
      </c>
      <c r="F418" s="48">
        <v>16905.970280000001</v>
      </c>
      <c r="G418" s="48">
        <v>16246.36725816834</v>
      </c>
      <c r="H418" s="49">
        <v>0.10255564186796318</v>
      </c>
      <c r="I418" s="49">
        <v>-3.9015981390431054E-2</v>
      </c>
      <c r="J418" s="49">
        <v>6.3956869273522621E-2</v>
      </c>
    </row>
    <row r="419" spans="1:10" ht="11.25" customHeight="1" x14ac:dyDescent="0.2">
      <c r="A419" s="58">
        <v>44682</v>
      </c>
      <c r="B419" s="48">
        <v>0</v>
      </c>
      <c r="C419" s="48">
        <v>0</v>
      </c>
      <c r="D419" s="48">
        <v>43363.313190000001</v>
      </c>
      <c r="E419" s="48">
        <v>47810.465607721955</v>
      </c>
      <c r="F419" s="48">
        <v>16254.48508</v>
      </c>
      <c r="G419" s="48">
        <v>15620.300392607682</v>
      </c>
      <c r="H419" s="49">
        <v>0.10255564186796295</v>
      </c>
      <c r="I419" s="49">
        <v>-3.9015981390431054E-2</v>
      </c>
      <c r="J419" s="49">
        <v>6.3956869273522621E-2</v>
      </c>
    </row>
    <row r="420" spans="1:10" ht="11.25" customHeight="1" x14ac:dyDescent="0.2">
      <c r="A420" s="58">
        <v>44713</v>
      </c>
      <c r="B420" s="48">
        <v>0</v>
      </c>
      <c r="C420" s="48">
        <v>0</v>
      </c>
      <c r="D420" s="48">
        <v>46503.806490000003</v>
      </c>
      <c r="E420" s="48">
        <v>51273.034213885498</v>
      </c>
      <c r="F420" s="48">
        <v>17431.680680000001</v>
      </c>
      <c r="G420" s="48">
        <v>16751.566550985186</v>
      </c>
      <c r="H420" s="49">
        <v>0.10255564186796295</v>
      </c>
      <c r="I420" s="49">
        <v>-3.9015981390430943E-2</v>
      </c>
      <c r="J420" s="49">
        <v>6.3956869273522621E-2</v>
      </c>
    </row>
    <row r="421" spans="1:10" ht="11.25" customHeight="1" x14ac:dyDescent="0.2">
      <c r="A421" s="58">
        <v>44743</v>
      </c>
      <c r="B421" s="48">
        <v>0</v>
      </c>
      <c r="C421" s="48">
        <v>0</v>
      </c>
      <c r="D421" s="48">
        <v>42059.2356</v>
      </c>
      <c r="E421" s="48">
        <v>46372.64750343388</v>
      </c>
      <c r="F421" s="48">
        <v>15765.6592</v>
      </c>
      <c r="G421" s="48">
        <v>15150.546534044923</v>
      </c>
      <c r="H421" s="49">
        <v>0.10255564186796295</v>
      </c>
      <c r="I421" s="49">
        <v>-3.9015981390431054E-2</v>
      </c>
      <c r="J421" s="49">
        <v>6.3956869273522621E-2</v>
      </c>
    </row>
    <row r="422" spans="1:10" ht="11.25" customHeight="1" x14ac:dyDescent="0.2">
      <c r="A422" s="58">
        <v>44774</v>
      </c>
      <c r="B422" s="48">
        <v>0</v>
      </c>
      <c r="C422" s="48">
        <v>0</v>
      </c>
      <c r="D422" s="48">
        <v>39201.122790000001</v>
      </c>
      <c r="E422" s="48">
        <v>43221.41909967328</v>
      </c>
      <c r="F422" s="48">
        <v>14694.312279999998</v>
      </c>
      <c r="G422" s="48">
        <v>14120.999265538338</v>
      </c>
      <c r="H422" s="49">
        <v>0.10255564186796295</v>
      </c>
      <c r="I422" s="49">
        <v>-3.9015981390430943E-2</v>
      </c>
      <c r="J422" s="49">
        <v>6.3956869273522621E-2</v>
      </c>
    </row>
    <row r="423" spans="1:10" ht="11.25" customHeight="1" x14ac:dyDescent="0.2">
      <c r="A423" s="53" t="s">
        <v>46</v>
      </c>
      <c r="B423" s="48">
        <v>0</v>
      </c>
      <c r="C423" s="48">
        <v>0</v>
      </c>
      <c r="D423" s="48">
        <v>196419.97056059996</v>
      </c>
      <c r="E423" s="48">
        <v>216563.94671712871</v>
      </c>
      <c r="F423" s="48">
        <v>73626.880559199999</v>
      </c>
      <c r="G423" s="48">
        <v>70754.255557466764</v>
      </c>
      <c r="H423" s="49">
        <v>0.10255564186796318</v>
      </c>
      <c r="I423" s="49">
        <v>-3.9015981390431054E-2</v>
      </c>
      <c r="J423" s="49">
        <v>6.3956869273522843E-2</v>
      </c>
    </row>
    <row r="424" spans="1:10" ht="11.25" customHeight="1" x14ac:dyDescent="0.2">
      <c r="A424" s="54" t="s">
        <v>47</v>
      </c>
      <c r="B424" s="48">
        <v>0</v>
      </c>
      <c r="C424" s="48">
        <v>0</v>
      </c>
      <c r="D424" s="48">
        <v>196419.97056059996</v>
      </c>
      <c r="E424" s="48">
        <v>216563.94671712871</v>
      </c>
      <c r="F424" s="48">
        <v>73626.880559199999</v>
      </c>
      <c r="G424" s="48">
        <v>70754.255557466764</v>
      </c>
      <c r="H424" s="49">
        <v>0.10255564186796318</v>
      </c>
      <c r="I424" s="49">
        <v>-3.9015981390431054E-2</v>
      </c>
      <c r="J424" s="49">
        <v>6.3956869273522843E-2</v>
      </c>
    </row>
    <row r="425" spans="1:10" ht="11.25" customHeight="1" x14ac:dyDescent="0.2">
      <c r="A425" s="55" t="s">
        <v>25</v>
      </c>
      <c r="B425" s="48">
        <v>0</v>
      </c>
      <c r="C425" s="48">
        <v>0</v>
      </c>
      <c r="D425" s="48">
        <v>196419.97056059996</v>
      </c>
      <c r="E425" s="48">
        <v>216563.94671712871</v>
      </c>
      <c r="F425" s="48">
        <v>73626.880559199999</v>
      </c>
      <c r="G425" s="48">
        <v>70754.255557466764</v>
      </c>
      <c r="H425" s="49">
        <v>0.10255564186796318</v>
      </c>
      <c r="I425" s="49">
        <v>-3.9015981390431054E-2</v>
      </c>
      <c r="J425" s="49">
        <v>6.3956869273522843E-2</v>
      </c>
    </row>
    <row r="426" spans="1:10" ht="11.25" customHeight="1" x14ac:dyDescent="0.2">
      <c r="A426" s="56" t="s">
        <v>25</v>
      </c>
      <c r="B426" s="48">
        <v>0</v>
      </c>
      <c r="C426" s="48">
        <v>0</v>
      </c>
      <c r="D426" s="48">
        <v>196419.97056059996</v>
      </c>
      <c r="E426" s="48">
        <v>216563.94671712871</v>
      </c>
      <c r="F426" s="48">
        <v>73626.880559199999</v>
      </c>
      <c r="G426" s="48">
        <v>70754.255557466764</v>
      </c>
      <c r="H426" s="49">
        <v>0.10255564186796318</v>
      </c>
      <c r="I426" s="49">
        <v>-3.9015981390431054E-2</v>
      </c>
      <c r="J426" s="49">
        <v>6.3956869273522843E-2</v>
      </c>
    </row>
    <row r="427" spans="1:10" ht="11.25" customHeight="1" x14ac:dyDescent="0.2">
      <c r="A427" s="57" t="s">
        <v>25</v>
      </c>
      <c r="B427" s="48">
        <v>0</v>
      </c>
      <c r="C427" s="48">
        <v>0</v>
      </c>
      <c r="D427" s="48">
        <v>196419.97056059996</v>
      </c>
      <c r="E427" s="48">
        <v>216563.94671712871</v>
      </c>
      <c r="F427" s="48">
        <v>73626.880559199999</v>
      </c>
      <c r="G427" s="48">
        <v>70754.255557466764</v>
      </c>
      <c r="H427" s="49">
        <v>0.10255564186796318</v>
      </c>
      <c r="I427" s="49">
        <v>-3.9015981390431054E-2</v>
      </c>
      <c r="J427" s="49">
        <v>6.3956869273522843E-2</v>
      </c>
    </row>
    <row r="428" spans="1:10" ht="11.25" customHeight="1" x14ac:dyDescent="0.2">
      <c r="A428" s="58">
        <v>44440</v>
      </c>
      <c r="B428" s="48">
        <v>0</v>
      </c>
      <c r="C428" s="48">
        <v>0</v>
      </c>
      <c r="D428" s="48">
        <v>16697.4109704</v>
      </c>
      <c r="E428" s="48">
        <v>18409.824670002537</v>
      </c>
      <c r="F428" s="48">
        <v>6258.9271327999995</v>
      </c>
      <c r="G428" s="48">
        <v>6014.7289482626111</v>
      </c>
      <c r="H428" s="49">
        <v>0.10255564186796295</v>
      </c>
      <c r="I428" s="49">
        <v>-3.9015981390431054E-2</v>
      </c>
      <c r="J428" s="49">
        <v>6.3956869273522621E-2</v>
      </c>
    </row>
    <row r="429" spans="1:10" ht="11.25" customHeight="1" x14ac:dyDescent="0.2">
      <c r="A429" s="58">
        <v>44470</v>
      </c>
      <c r="B429" s="48">
        <v>0</v>
      </c>
      <c r="C429" s="48">
        <v>0</v>
      </c>
      <c r="D429" s="48">
        <v>15632.470823399999</v>
      </c>
      <c r="E429" s="48">
        <v>17235.668902675992</v>
      </c>
      <c r="F429" s="48">
        <v>5859.7405288</v>
      </c>
      <c r="G429" s="48">
        <v>5631.1170013755846</v>
      </c>
      <c r="H429" s="49">
        <v>0.10255564186796318</v>
      </c>
      <c r="I429" s="49">
        <v>-3.9015981390431054E-2</v>
      </c>
      <c r="J429" s="49">
        <v>6.3956869273522621E-2</v>
      </c>
    </row>
    <row r="430" spans="1:10" ht="11.25" customHeight="1" x14ac:dyDescent="0.2">
      <c r="A430" s="58">
        <v>44501</v>
      </c>
      <c r="B430" s="48">
        <v>0</v>
      </c>
      <c r="C430" s="48">
        <v>0</v>
      </c>
      <c r="D430" s="48">
        <v>15495.3221256</v>
      </c>
      <c r="E430" s="48">
        <v>17084.454832141757</v>
      </c>
      <c r="F430" s="48">
        <v>5808.3311391999996</v>
      </c>
      <c r="G430" s="48">
        <v>5581.7133995635122</v>
      </c>
      <c r="H430" s="49">
        <v>0.10255564186796295</v>
      </c>
      <c r="I430" s="49">
        <v>-3.9015981390430832E-2</v>
      </c>
      <c r="J430" s="49">
        <v>6.3956869273522843E-2</v>
      </c>
    </row>
    <row r="431" spans="1:10" ht="11.25" customHeight="1" x14ac:dyDescent="0.2">
      <c r="A431" s="58">
        <v>44531</v>
      </c>
      <c r="B431" s="48">
        <v>0</v>
      </c>
      <c r="C431" s="48">
        <v>0</v>
      </c>
      <c r="D431" s="48">
        <v>16531.911120599998</v>
      </c>
      <c r="E431" s="48">
        <v>18227.351876877248</v>
      </c>
      <c r="F431" s="48">
        <v>6196.8904791999994</v>
      </c>
      <c r="G431" s="48">
        <v>5955.1127155849936</v>
      </c>
      <c r="H431" s="49">
        <v>0.10255564186796318</v>
      </c>
      <c r="I431" s="49">
        <v>-3.9015981390430943E-2</v>
      </c>
      <c r="J431" s="49">
        <v>6.3956869273522843E-2</v>
      </c>
    </row>
    <row r="432" spans="1:10" ht="11.25" customHeight="1" x14ac:dyDescent="0.2">
      <c r="A432" s="58">
        <v>44562</v>
      </c>
      <c r="B432" s="48">
        <v>0</v>
      </c>
      <c r="C432" s="48">
        <v>0</v>
      </c>
      <c r="D432" s="48">
        <v>16356.488367599999</v>
      </c>
      <c r="E432" s="48">
        <v>18033.938530845087</v>
      </c>
      <c r="F432" s="48">
        <v>6131.1342832</v>
      </c>
      <c r="G432" s="48">
        <v>5891.9220621044351</v>
      </c>
      <c r="H432" s="49">
        <v>0.10255564186796295</v>
      </c>
      <c r="I432" s="49">
        <v>-3.9015981390431054E-2</v>
      </c>
      <c r="J432" s="49">
        <v>6.3956869273522621E-2</v>
      </c>
    </row>
    <row r="433" spans="1:10" ht="11.25" customHeight="1" x14ac:dyDescent="0.2">
      <c r="A433" s="58">
        <v>44593</v>
      </c>
      <c r="B433" s="48">
        <v>0</v>
      </c>
      <c r="C433" s="48">
        <v>0</v>
      </c>
      <c r="D433" s="48">
        <v>14039.844859800001</v>
      </c>
      <c r="E433" s="48">
        <v>15479.710161123412</v>
      </c>
      <c r="F433" s="48">
        <v>5262.7539735999999</v>
      </c>
      <c r="G433" s="48">
        <v>5057.4224625036059</v>
      </c>
      <c r="H433" s="49">
        <v>0.10255564186796295</v>
      </c>
      <c r="I433" s="49">
        <v>-3.9015981390430943E-2</v>
      </c>
      <c r="J433" s="49">
        <v>6.3956869273522843E-2</v>
      </c>
    </row>
    <row r="434" spans="1:10" ht="11.25" customHeight="1" x14ac:dyDescent="0.2">
      <c r="A434" s="58">
        <v>44621</v>
      </c>
      <c r="B434" s="48">
        <v>0</v>
      </c>
      <c r="C434" s="48">
        <v>0</v>
      </c>
      <c r="D434" s="48">
        <v>16455.717399599998</v>
      </c>
      <c r="E434" s="48">
        <v>18143.344059913783</v>
      </c>
      <c r="F434" s="48">
        <v>6168.3297071999996</v>
      </c>
      <c r="G434" s="48">
        <v>5927.6662701338419</v>
      </c>
      <c r="H434" s="49">
        <v>0.10255564186796295</v>
      </c>
      <c r="I434" s="49">
        <v>-3.9015981390430943E-2</v>
      </c>
      <c r="J434" s="49">
        <v>6.3956869273522843E-2</v>
      </c>
    </row>
    <row r="435" spans="1:10" ht="11.25" customHeight="1" x14ac:dyDescent="0.2">
      <c r="A435" s="58">
        <v>44652</v>
      </c>
      <c r="B435" s="48">
        <v>0</v>
      </c>
      <c r="C435" s="48">
        <v>0</v>
      </c>
      <c r="D435" s="48">
        <v>19648.057114799998</v>
      </c>
      <c r="E435" s="48">
        <v>21663.076223666711</v>
      </c>
      <c r="F435" s="48">
        <v>7364.9596335999995</v>
      </c>
      <c r="G435" s="48">
        <v>7077.6085055941867</v>
      </c>
      <c r="H435" s="49">
        <v>0.10255564186796318</v>
      </c>
      <c r="I435" s="49">
        <v>-3.9015981390430943E-2</v>
      </c>
      <c r="J435" s="49">
        <v>6.3956869273522843E-2</v>
      </c>
    </row>
    <row r="436" spans="1:10" ht="11.25" customHeight="1" x14ac:dyDescent="0.2">
      <c r="A436" s="58">
        <v>44682</v>
      </c>
      <c r="B436" s="48">
        <v>0</v>
      </c>
      <c r="C436" s="48">
        <v>0</v>
      </c>
      <c r="D436" s="48">
        <v>15296.155282799999</v>
      </c>
      <c r="E436" s="48">
        <v>16864.862305939587</v>
      </c>
      <c r="F436" s="48">
        <v>5733.6746095999997</v>
      </c>
      <c r="G436" s="48">
        <v>5509.9696677330594</v>
      </c>
      <c r="H436" s="49">
        <v>0.10255564186796318</v>
      </c>
      <c r="I436" s="49">
        <v>-3.9015981390431054E-2</v>
      </c>
      <c r="J436" s="49">
        <v>6.3956869273522843E-2</v>
      </c>
    </row>
    <row r="437" spans="1:10" ht="11.25" customHeight="1" x14ac:dyDescent="0.2">
      <c r="A437" s="58">
        <v>44713</v>
      </c>
      <c r="B437" s="48">
        <v>0</v>
      </c>
      <c r="C437" s="48">
        <v>0</v>
      </c>
      <c r="D437" s="48">
        <v>15602.702113799998</v>
      </c>
      <c r="E437" s="48">
        <v>17202.847243955381</v>
      </c>
      <c r="F437" s="48">
        <v>5848.5819015999996</v>
      </c>
      <c r="G437" s="48">
        <v>5620.3937389667626</v>
      </c>
      <c r="H437" s="49">
        <v>0.10255564186796295</v>
      </c>
      <c r="I437" s="49">
        <v>-3.9015981390430943E-2</v>
      </c>
      <c r="J437" s="49">
        <v>6.3956869273522843E-2</v>
      </c>
    </row>
    <row r="438" spans="1:10" ht="11.25" customHeight="1" x14ac:dyDescent="0.2">
      <c r="A438" s="58">
        <v>44743</v>
      </c>
      <c r="B438" s="48">
        <v>0</v>
      </c>
      <c r="C438" s="48">
        <v>0</v>
      </c>
      <c r="D438" s="48">
        <v>17604.293444999999</v>
      </c>
      <c r="E438" s="48">
        <v>19409.713058883946</v>
      </c>
      <c r="F438" s="48">
        <v>6598.8667399999995</v>
      </c>
      <c r="G438" s="48">
        <v>6341.4054780742254</v>
      </c>
      <c r="H438" s="49">
        <v>0.10255564186796295</v>
      </c>
      <c r="I438" s="49">
        <v>-3.9015981390431054E-2</v>
      </c>
      <c r="J438" s="49">
        <v>6.3956869273522621E-2</v>
      </c>
    </row>
    <row r="439" spans="1:10" ht="11.25" customHeight="1" x14ac:dyDescent="0.2">
      <c r="A439" s="58">
        <v>44774</v>
      </c>
      <c r="B439" s="48">
        <v>0</v>
      </c>
      <c r="C439" s="48">
        <v>0</v>
      </c>
      <c r="D439" s="48">
        <v>17059.5969372</v>
      </c>
      <c r="E439" s="48">
        <v>18809.154851103282</v>
      </c>
      <c r="F439" s="48">
        <v>6394.6904304</v>
      </c>
      <c r="G439" s="48">
        <v>6145.1953075699466</v>
      </c>
      <c r="H439" s="49">
        <v>0.10255564186796295</v>
      </c>
      <c r="I439" s="49">
        <v>-3.9015981390430943E-2</v>
      </c>
      <c r="J439" s="49">
        <v>6.3956869273522621E-2</v>
      </c>
    </row>
    <row r="440" spans="1:10" ht="11.25" customHeight="1" x14ac:dyDescent="0.2">
      <c r="A440" s="51" t="s">
        <v>43</v>
      </c>
      <c r="B440" s="48">
        <v>0</v>
      </c>
      <c r="C440" s="48">
        <v>0</v>
      </c>
      <c r="D440" s="48">
        <v>192957.39648</v>
      </c>
      <c r="E440" s="48">
        <v>212741.64923972148</v>
      </c>
      <c r="F440" s="48">
        <v>72331.10738999999</v>
      </c>
      <c r="G440" s="48">
        <v>69505.461302315976</v>
      </c>
      <c r="H440" s="49">
        <v>0.10253171487920709</v>
      </c>
      <c r="I440" s="49">
        <v>-3.9065433803584626E-2</v>
      </c>
      <c r="J440" s="49">
        <v>6.3925147244027203E-2</v>
      </c>
    </row>
    <row r="441" spans="1:10" ht="11.25" customHeight="1" x14ac:dyDescent="0.2">
      <c r="A441" s="52" t="s">
        <v>23</v>
      </c>
      <c r="B441" s="48">
        <v>0</v>
      </c>
      <c r="C441" s="48">
        <v>0</v>
      </c>
      <c r="D441" s="48">
        <v>192957.39648</v>
      </c>
      <c r="E441" s="48">
        <v>212741.64923972148</v>
      </c>
      <c r="F441" s="48">
        <v>72331.10738999999</v>
      </c>
      <c r="G441" s="48">
        <v>69505.461302315976</v>
      </c>
      <c r="H441" s="49">
        <v>0.10253171487920709</v>
      </c>
      <c r="I441" s="49">
        <v>-3.9065433803584626E-2</v>
      </c>
      <c r="J441" s="49">
        <v>6.3925147244027203E-2</v>
      </c>
    </row>
    <row r="442" spans="1:10" ht="11.25" customHeight="1" x14ac:dyDescent="0.2">
      <c r="A442" s="53" t="s">
        <v>44</v>
      </c>
      <c r="B442" s="48">
        <v>0</v>
      </c>
      <c r="C442" s="48">
        <v>0</v>
      </c>
      <c r="D442" s="48">
        <v>192957.39648</v>
      </c>
      <c r="E442" s="48">
        <v>212741.64923972148</v>
      </c>
      <c r="F442" s="48">
        <v>72331.10738999999</v>
      </c>
      <c r="G442" s="48">
        <v>69505.461302315976</v>
      </c>
      <c r="H442" s="49">
        <v>0.10253171487920709</v>
      </c>
      <c r="I442" s="49">
        <v>-3.9065433803584626E-2</v>
      </c>
      <c r="J442" s="49">
        <v>6.3925147244027203E-2</v>
      </c>
    </row>
    <row r="443" spans="1:10" ht="11.25" customHeight="1" x14ac:dyDescent="0.2">
      <c r="A443" s="54" t="s">
        <v>45</v>
      </c>
      <c r="B443" s="48">
        <v>0</v>
      </c>
      <c r="C443" s="48">
        <v>0</v>
      </c>
      <c r="D443" s="48">
        <v>192957.39648</v>
      </c>
      <c r="E443" s="48">
        <v>212741.64923972148</v>
      </c>
      <c r="F443" s="48">
        <v>72331.10738999999</v>
      </c>
      <c r="G443" s="48">
        <v>69505.461302315976</v>
      </c>
      <c r="H443" s="49">
        <v>0.10253171487920709</v>
      </c>
      <c r="I443" s="49">
        <v>-3.9065433803584626E-2</v>
      </c>
      <c r="J443" s="49">
        <v>6.3925147244027203E-2</v>
      </c>
    </row>
    <row r="444" spans="1:10" ht="11.25" customHeight="1" x14ac:dyDescent="0.2">
      <c r="A444" s="55" t="s">
        <v>25</v>
      </c>
      <c r="B444" s="48">
        <v>0</v>
      </c>
      <c r="C444" s="48">
        <v>0</v>
      </c>
      <c r="D444" s="48">
        <v>192957.39648</v>
      </c>
      <c r="E444" s="48">
        <v>212741.64923972148</v>
      </c>
      <c r="F444" s="48">
        <v>72331.10738999999</v>
      </c>
      <c r="G444" s="48">
        <v>69505.461302315976</v>
      </c>
      <c r="H444" s="49">
        <v>0.10253171487920709</v>
      </c>
      <c r="I444" s="49">
        <v>-3.9065433803584626E-2</v>
      </c>
      <c r="J444" s="49">
        <v>6.3925147244027203E-2</v>
      </c>
    </row>
    <row r="445" spans="1:10" ht="11.25" customHeight="1" x14ac:dyDescent="0.2">
      <c r="A445" s="56" t="s">
        <v>25</v>
      </c>
      <c r="B445" s="48">
        <v>0</v>
      </c>
      <c r="C445" s="48">
        <v>0</v>
      </c>
      <c r="D445" s="48">
        <v>192957.39648</v>
      </c>
      <c r="E445" s="48">
        <v>212741.64923972148</v>
      </c>
      <c r="F445" s="48">
        <v>72331.10738999999</v>
      </c>
      <c r="G445" s="48">
        <v>69505.461302315976</v>
      </c>
      <c r="H445" s="49">
        <v>0.10253171487920709</v>
      </c>
      <c r="I445" s="49">
        <v>-3.9065433803584626E-2</v>
      </c>
      <c r="J445" s="49">
        <v>6.3925147244027203E-2</v>
      </c>
    </row>
    <row r="446" spans="1:10" ht="11.25" customHeight="1" x14ac:dyDescent="0.2">
      <c r="A446" s="57" t="s">
        <v>25</v>
      </c>
      <c r="B446" s="48">
        <v>0</v>
      </c>
      <c r="C446" s="48">
        <v>0</v>
      </c>
      <c r="D446" s="48">
        <v>192957.39648</v>
      </c>
      <c r="E446" s="48">
        <v>212741.64923972148</v>
      </c>
      <c r="F446" s="48">
        <v>72331.10738999999</v>
      </c>
      <c r="G446" s="48">
        <v>69505.461302315976</v>
      </c>
      <c r="H446" s="49">
        <v>0.10253171487920709</v>
      </c>
      <c r="I446" s="49">
        <v>-3.9065433803584626E-2</v>
      </c>
      <c r="J446" s="49">
        <v>6.3925147244027203E-2</v>
      </c>
    </row>
    <row r="447" spans="1:10" ht="11.25" customHeight="1" x14ac:dyDescent="0.2">
      <c r="A447" s="58">
        <v>44440</v>
      </c>
      <c r="B447" s="48">
        <v>0</v>
      </c>
      <c r="C447" s="48">
        <v>0</v>
      </c>
      <c r="D447" s="48">
        <v>15771.801600000001</v>
      </c>
      <c r="E447" s="48">
        <v>17388.911464782625</v>
      </c>
      <c r="F447" s="48">
        <v>5912.1438000000007</v>
      </c>
      <c r="G447" s="48">
        <v>5681.183337743827</v>
      </c>
      <c r="H447" s="49">
        <v>0.10253171487920709</v>
      </c>
      <c r="I447" s="49">
        <v>-3.9065433803584737E-2</v>
      </c>
      <c r="J447" s="49">
        <v>6.3925147244027425E-2</v>
      </c>
    </row>
    <row r="448" spans="1:10" ht="11.25" customHeight="1" x14ac:dyDescent="0.2">
      <c r="A448" s="58">
        <v>44470</v>
      </c>
      <c r="B448" s="48">
        <v>0</v>
      </c>
      <c r="C448" s="48">
        <v>0</v>
      </c>
      <c r="D448" s="48">
        <v>16278.7968</v>
      </c>
      <c r="E448" s="48">
        <v>17947.889752074152</v>
      </c>
      <c r="F448" s="48">
        <v>6102.1936500000002</v>
      </c>
      <c r="G448" s="48">
        <v>5863.8088079092704</v>
      </c>
      <c r="H448" s="49">
        <v>0.10253171487920731</v>
      </c>
      <c r="I448" s="49">
        <v>-3.9065433803584626E-2</v>
      </c>
      <c r="J448" s="49">
        <v>6.3925147244027425E-2</v>
      </c>
    </row>
    <row r="449" spans="1:10" ht="11.25" customHeight="1" x14ac:dyDescent="0.2">
      <c r="A449" s="58">
        <v>44501</v>
      </c>
      <c r="B449" s="48">
        <v>0</v>
      </c>
      <c r="C449" s="48">
        <v>0</v>
      </c>
      <c r="D449" s="48">
        <v>15761.640960000001</v>
      </c>
      <c r="E449" s="48">
        <v>17377.709036939155</v>
      </c>
      <c r="F449" s="48">
        <v>5908.3350300000002</v>
      </c>
      <c r="G449" s="48">
        <v>5677.5233589961344</v>
      </c>
      <c r="H449" s="49">
        <v>0.10253171487920731</v>
      </c>
      <c r="I449" s="49">
        <v>-3.9065433803584737E-2</v>
      </c>
      <c r="J449" s="49">
        <v>6.3925147244027647E-2</v>
      </c>
    </row>
    <row r="450" spans="1:10" ht="11.25" customHeight="1" x14ac:dyDescent="0.2">
      <c r="A450" s="58">
        <v>44531</v>
      </c>
      <c r="B450" s="48">
        <v>0</v>
      </c>
      <c r="C450" s="48">
        <v>0</v>
      </c>
      <c r="D450" s="48">
        <v>16191.912960000001</v>
      </c>
      <c r="E450" s="48">
        <v>17852.09756296366</v>
      </c>
      <c r="F450" s="48">
        <v>6069.6247800000001</v>
      </c>
      <c r="G450" s="48">
        <v>5832.5122549443131</v>
      </c>
      <c r="H450" s="49">
        <v>0.10253171487920709</v>
      </c>
      <c r="I450" s="49">
        <v>-3.9065433803584626E-2</v>
      </c>
      <c r="J450" s="49">
        <v>6.3925147244027425E-2</v>
      </c>
    </row>
    <row r="451" spans="1:10" ht="11.25" customHeight="1" x14ac:dyDescent="0.2">
      <c r="A451" s="58">
        <v>44562</v>
      </c>
      <c r="B451" s="48">
        <v>0</v>
      </c>
      <c r="C451" s="48">
        <v>0</v>
      </c>
      <c r="D451" s="48">
        <v>16169.932800000002</v>
      </c>
      <c r="E451" s="48">
        <v>17827.863739465542</v>
      </c>
      <c r="F451" s="48">
        <v>6061.385400000001</v>
      </c>
      <c r="G451" s="48">
        <v>5824.594749898286</v>
      </c>
      <c r="H451" s="49">
        <v>0.10253171487920709</v>
      </c>
      <c r="I451" s="49">
        <v>-3.9065433803584737E-2</v>
      </c>
      <c r="J451" s="49">
        <v>6.3925147244027425E-2</v>
      </c>
    </row>
    <row r="452" spans="1:10" ht="11.25" customHeight="1" x14ac:dyDescent="0.2">
      <c r="A452" s="58">
        <v>44593</v>
      </c>
      <c r="B452" s="48">
        <v>0</v>
      </c>
      <c r="C452" s="48">
        <v>0</v>
      </c>
      <c r="D452" s="48">
        <v>14727.744000000002</v>
      </c>
      <c r="E452" s="48">
        <v>16237.804848621958</v>
      </c>
      <c r="F452" s="48">
        <v>5520.7732500000011</v>
      </c>
      <c r="G452" s="48">
        <v>5305.1018480575249</v>
      </c>
      <c r="H452" s="49">
        <v>0.10253171487920731</v>
      </c>
      <c r="I452" s="49">
        <v>-3.9065433803584737E-2</v>
      </c>
      <c r="J452" s="49">
        <v>6.3925147244027203E-2</v>
      </c>
    </row>
    <row r="453" spans="1:10" ht="11.25" customHeight="1" x14ac:dyDescent="0.2">
      <c r="A453" s="58">
        <v>44621</v>
      </c>
      <c r="B453" s="48">
        <v>0</v>
      </c>
      <c r="C453" s="48">
        <v>0</v>
      </c>
      <c r="D453" s="48">
        <v>16253.291520000002</v>
      </c>
      <c r="E453" s="48">
        <v>17919.76937197728</v>
      </c>
      <c r="F453" s="48">
        <v>6092.6328600000006</v>
      </c>
      <c r="G453" s="48">
        <v>5854.6215143181253</v>
      </c>
      <c r="H453" s="49">
        <v>0.10253171487920731</v>
      </c>
      <c r="I453" s="49">
        <v>-3.9065433803584737E-2</v>
      </c>
      <c r="J453" s="49">
        <v>6.3925147244027425E-2</v>
      </c>
    </row>
    <row r="454" spans="1:10" ht="11.25" customHeight="1" x14ac:dyDescent="0.2">
      <c r="A454" s="58">
        <v>44652</v>
      </c>
      <c r="B454" s="48">
        <v>0</v>
      </c>
      <c r="C454" s="48">
        <v>0</v>
      </c>
      <c r="D454" s="48">
        <v>15695.285760000001</v>
      </c>
      <c r="E454" s="48">
        <v>17304.550324492004</v>
      </c>
      <c r="F454" s="48">
        <v>5883.4614300000003</v>
      </c>
      <c r="G454" s="48">
        <v>5653.6214569703916</v>
      </c>
      <c r="H454" s="49">
        <v>0.10253171487920731</v>
      </c>
      <c r="I454" s="49">
        <v>-3.9065433803584737E-2</v>
      </c>
      <c r="J454" s="49">
        <v>6.3925147244027425E-2</v>
      </c>
    </row>
    <row r="455" spans="1:10" ht="11.25" customHeight="1" x14ac:dyDescent="0.2">
      <c r="A455" s="58">
        <v>44682</v>
      </c>
      <c r="B455" s="48">
        <v>0</v>
      </c>
      <c r="C455" s="48">
        <v>0</v>
      </c>
      <c r="D455" s="48">
        <v>16375.219200000001</v>
      </c>
      <c r="E455" s="48">
        <v>18054.198506098921</v>
      </c>
      <c r="F455" s="48">
        <v>6138.3380999999999</v>
      </c>
      <c r="G455" s="48">
        <v>5898.5412592904286</v>
      </c>
      <c r="H455" s="49">
        <v>0.10253171487920709</v>
      </c>
      <c r="I455" s="49">
        <v>-3.9065433803584626E-2</v>
      </c>
      <c r="J455" s="49">
        <v>6.3925147244027425E-2</v>
      </c>
    </row>
    <row r="456" spans="1:10" ht="11.25" customHeight="1" x14ac:dyDescent="0.2">
      <c r="A456" s="58">
        <v>44713</v>
      </c>
      <c r="B456" s="48">
        <v>0</v>
      </c>
      <c r="C456" s="48">
        <v>0</v>
      </c>
      <c r="D456" s="48">
        <v>16213.893119999999</v>
      </c>
      <c r="E456" s="48">
        <v>17876.331386461778</v>
      </c>
      <c r="F456" s="48">
        <v>6077.8641600000001</v>
      </c>
      <c r="G456" s="48">
        <v>5840.4297599903402</v>
      </c>
      <c r="H456" s="49">
        <v>0.10253171487920709</v>
      </c>
      <c r="I456" s="49">
        <v>-3.9065433803584737E-2</v>
      </c>
      <c r="J456" s="49">
        <v>6.3925147244027425E-2</v>
      </c>
    </row>
    <row r="457" spans="1:10" ht="11.25" customHeight="1" x14ac:dyDescent="0.2">
      <c r="A457" s="58">
        <v>44743</v>
      </c>
      <c r="B457" s="48">
        <v>0</v>
      </c>
      <c r="C457" s="48">
        <v>0</v>
      </c>
      <c r="D457" s="48">
        <v>16767.959040000002</v>
      </c>
      <c r="E457" s="48">
        <v>18487.206635395509</v>
      </c>
      <c r="F457" s="48">
        <v>6285.5587200000009</v>
      </c>
      <c r="G457" s="48">
        <v>6040.0106419052963</v>
      </c>
      <c r="H457" s="49">
        <v>0.10253171487920731</v>
      </c>
      <c r="I457" s="49">
        <v>-3.9065433803584737E-2</v>
      </c>
      <c r="J457" s="49">
        <v>6.3925147244027425E-2</v>
      </c>
    </row>
    <row r="458" spans="1:10" ht="11.25" customHeight="1" x14ac:dyDescent="0.2">
      <c r="A458" s="58">
        <v>44774</v>
      </c>
      <c r="B458" s="48">
        <v>0</v>
      </c>
      <c r="C458" s="48">
        <v>0</v>
      </c>
      <c r="D458" s="48">
        <v>16749.918720000001</v>
      </c>
      <c r="E458" s="48">
        <v>18467.316610448936</v>
      </c>
      <c r="F458" s="48">
        <v>6278.7962100000004</v>
      </c>
      <c r="G458" s="48">
        <v>6033.5123122920468</v>
      </c>
      <c r="H458" s="49">
        <v>0.10253171487920709</v>
      </c>
      <c r="I458" s="49">
        <v>-3.9065433803584737E-2</v>
      </c>
      <c r="J458" s="49">
        <v>6.3925147244027425E-2</v>
      </c>
    </row>
    <row r="459" spans="1:10" ht="11.25" customHeight="1" x14ac:dyDescent="0.2">
      <c r="A459" s="50" t="s">
        <v>55</v>
      </c>
      <c r="B459" s="48">
        <v>19911.645000000004</v>
      </c>
      <c r="C459" s="48">
        <v>20150.989710665737</v>
      </c>
      <c r="D459" s="48">
        <v>0</v>
      </c>
      <c r="E459" s="48">
        <v>0</v>
      </c>
      <c r="F459" s="48">
        <v>0</v>
      </c>
      <c r="G459" s="48">
        <v>0</v>
      </c>
      <c r="H459" s="49">
        <v>1.2020338383178952E-2</v>
      </c>
      <c r="I459" s="49">
        <v>0</v>
      </c>
      <c r="J459" s="49">
        <v>1.2020338383178952E-2</v>
      </c>
    </row>
    <row r="460" spans="1:10" ht="11.25" customHeight="1" x14ac:dyDescent="0.2">
      <c r="A460" s="51" t="s">
        <v>35</v>
      </c>
      <c r="B460" s="48">
        <v>19911.645000000004</v>
      </c>
      <c r="C460" s="48">
        <v>20150.989710665737</v>
      </c>
      <c r="D460" s="48">
        <v>0</v>
      </c>
      <c r="E460" s="48">
        <v>0</v>
      </c>
      <c r="F460" s="48">
        <v>0</v>
      </c>
      <c r="G460" s="48">
        <v>0</v>
      </c>
      <c r="H460" s="49">
        <v>1.2020338383178952E-2</v>
      </c>
      <c r="I460" s="49">
        <v>0</v>
      </c>
      <c r="J460" s="49">
        <v>1.2020338383178952E-2</v>
      </c>
    </row>
    <row r="461" spans="1:10" ht="11.25" customHeight="1" x14ac:dyDescent="0.2">
      <c r="A461" s="52" t="s">
        <v>53</v>
      </c>
      <c r="B461" s="48">
        <v>19911.645000000004</v>
      </c>
      <c r="C461" s="48">
        <v>20150.989710665737</v>
      </c>
      <c r="D461" s="48">
        <v>0</v>
      </c>
      <c r="E461" s="48">
        <v>0</v>
      </c>
      <c r="F461" s="48">
        <v>0</v>
      </c>
      <c r="G461" s="48">
        <v>0</v>
      </c>
      <c r="H461" s="49">
        <v>1.2020338383178952E-2</v>
      </c>
      <c r="I461" s="49">
        <v>0</v>
      </c>
      <c r="J461" s="49">
        <v>1.2020338383178952E-2</v>
      </c>
    </row>
    <row r="462" spans="1:10" ht="11.25" customHeight="1" x14ac:dyDescent="0.2">
      <c r="A462" s="53" t="s">
        <v>25</v>
      </c>
      <c r="B462" s="48">
        <v>19911.645000000004</v>
      </c>
      <c r="C462" s="48">
        <v>20150.989710665737</v>
      </c>
      <c r="D462" s="48">
        <v>0</v>
      </c>
      <c r="E462" s="48">
        <v>0</v>
      </c>
      <c r="F462" s="48">
        <v>0</v>
      </c>
      <c r="G462" s="48">
        <v>0</v>
      </c>
      <c r="H462" s="49">
        <v>1.2020338383178952E-2</v>
      </c>
      <c r="I462" s="49">
        <v>0</v>
      </c>
      <c r="J462" s="49">
        <v>1.2020338383178952E-2</v>
      </c>
    </row>
    <row r="463" spans="1:10" ht="11.25" customHeight="1" x14ac:dyDescent="0.2">
      <c r="A463" s="54" t="s">
        <v>25</v>
      </c>
      <c r="B463" s="48">
        <v>19911.645000000004</v>
      </c>
      <c r="C463" s="48">
        <v>20150.989710665737</v>
      </c>
      <c r="D463" s="48">
        <v>0</v>
      </c>
      <c r="E463" s="48">
        <v>0</v>
      </c>
      <c r="F463" s="48">
        <v>0</v>
      </c>
      <c r="G463" s="48">
        <v>0</v>
      </c>
      <c r="H463" s="49">
        <v>1.2020338383178952E-2</v>
      </c>
      <c r="I463" s="49">
        <v>0</v>
      </c>
      <c r="J463" s="49">
        <v>1.2020338383178952E-2</v>
      </c>
    </row>
    <row r="464" spans="1:10" ht="11.25" customHeight="1" x14ac:dyDescent="0.2">
      <c r="A464" s="55" t="s">
        <v>25</v>
      </c>
      <c r="B464" s="48">
        <v>19911.645000000004</v>
      </c>
      <c r="C464" s="48">
        <v>20150.989710665737</v>
      </c>
      <c r="D464" s="48">
        <v>0</v>
      </c>
      <c r="E464" s="48">
        <v>0</v>
      </c>
      <c r="F464" s="48">
        <v>0</v>
      </c>
      <c r="G464" s="48">
        <v>0</v>
      </c>
      <c r="H464" s="49">
        <v>1.2020338383178952E-2</v>
      </c>
      <c r="I464" s="49">
        <v>0</v>
      </c>
      <c r="J464" s="49">
        <v>1.2020338383178952E-2</v>
      </c>
    </row>
    <row r="465" spans="1:10" ht="11.25" customHeight="1" x14ac:dyDescent="0.2">
      <c r="A465" s="56" t="s">
        <v>54</v>
      </c>
      <c r="B465" s="48">
        <v>19911.645000000004</v>
      </c>
      <c r="C465" s="48">
        <v>20150.989710665737</v>
      </c>
      <c r="D465" s="48">
        <v>0</v>
      </c>
      <c r="E465" s="48">
        <v>0</v>
      </c>
      <c r="F465" s="48">
        <v>0</v>
      </c>
      <c r="G465" s="48">
        <v>0</v>
      </c>
      <c r="H465" s="49">
        <v>1.2020338383178952E-2</v>
      </c>
      <c r="I465" s="49">
        <v>0</v>
      </c>
      <c r="J465" s="49">
        <v>1.2020338383178952E-2</v>
      </c>
    </row>
    <row r="466" spans="1:10" ht="11.25" customHeight="1" x14ac:dyDescent="0.2">
      <c r="A466" s="57" t="s">
        <v>25</v>
      </c>
      <c r="B466" s="48">
        <v>19911.645000000004</v>
      </c>
      <c r="C466" s="48">
        <v>20150.989710665737</v>
      </c>
      <c r="D466" s="48">
        <v>0</v>
      </c>
      <c r="E466" s="48">
        <v>0</v>
      </c>
      <c r="F466" s="48">
        <v>0</v>
      </c>
      <c r="G466" s="48">
        <v>0</v>
      </c>
      <c r="H466" s="49">
        <v>1.2020338383178952E-2</v>
      </c>
      <c r="I466" s="49">
        <v>0</v>
      </c>
      <c r="J466" s="49">
        <v>1.2020338383178952E-2</v>
      </c>
    </row>
    <row r="467" spans="1:10" ht="11.25" customHeight="1" x14ac:dyDescent="0.2">
      <c r="A467" s="58">
        <v>44440</v>
      </c>
      <c r="B467" s="48">
        <v>3063.33</v>
      </c>
      <c r="C467" s="48">
        <v>3100.1522631793446</v>
      </c>
      <c r="D467" s="48">
        <v>0</v>
      </c>
      <c r="E467" s="48">
        <v>0</v>
      </c>
      <c r="F467" s="48">
        <v>0</v>
      </c>
      <c r="G467" s="48">
        <v>0</v>
      </c>
      <c r="H467" s="49">
        <v>1.2020338383179396E-2</v>
      </c>
      <c r="I467" s="49">
        <v>0</v>
      </c>
      <c r="J467" s="49">
        <v>1.2020338383179396E-2</v>
      </c>
    </row>
    <row r="468" spans="1:10" ht="11.25" customHeight="1" x14ac:dyDescent="0.2">
      <c r="A468" s="58">
        <v>44470</v>
      </c>
      <c r="B468" s="48">
        <v>1531.665</v>
      </c>
      <c r="C468" s="48">
        <v>1550.0761315896723</v>
      </c>
      <c r="D468" s="48">
        <v>0</v>
      </c>
      <c r="E468" s="48">
        <v>0</v>
      </c>
      <c r="F468" s="48">
        <v>0</v>
      </c>
      <c r="G468" s="48">
        <v>0</v>
      </c>
      <c r="H468" s="49">
        <v>1.2020338383179396E-2</v>
      </c>
      <c r="I468" s="49">
        <v>0</v>
      </c>
      <c r="J468" s="49">
        <v>1.2020338383179396E-2</v>
      </c>
    </row>
    <row r="469" spans="1:10" ht="11.25" customHeight="1" x14ac:dyDescent="0.2">
      <c r="A469" s="58">
        <v>44501</v>
      </c>
      <c r="B469" s="48">
        <v>1531.665</v>
      </c>
      <c r="C469" s="48">
        <v>1550.0761315896723</v>
      </c>
      <c r="D469" s="48">
        <v>0</v>
      </c>
      <c r="E469" s="48">
        <v>0</v>
      </c>
      <c r="F469" s="48">
        <v>0</v>
      </c>
      <c r="G469" s="48">
        <v>0</v>
      </c>
      <c r="H469" s="49">
        <v>1.2020338383179396E-2</v>
      </c>
      <c r="I469" s="49">
        <v>0</v>
      </c>
      <c r="J469" s="49">
        <v>1.2020338383179396E-2</v>
      </c>
    </row>
    <row r="470" spans="1:10" ht="11.25" customHeight="1" x14ac:dyDescent="0.2">
      <c r="A470" s="58">
        <v>44531</v>
      </c>
      <c r="B470" s="48">
        <v>1531.665</v>
      </c>
      <c r="C470" s="48">
        <v>1550.0761315896723</v>
      </c>
      <c r="D470" s="48">
        <v>0</v>
      </c>
      <c r="E470" s="48">
        <v>0</v>
      </c>
      <c r="F470" s="48">
        <v>0</v>
      </c>
      <c r="G470" s="48">
        <v>0</v>
      </c>
      <c r="H470" s="49">
        <v>1.2020338383179396E-2</v>
      </c>
      <c r="I470" s="49">
        <v>0</v>
      </c>
      <c r="J470" s="49">
        <v>1.2020338383179396E-2</v>
      </c>
    </row>
    <row r="471" spans="1:10" ht="11.25" customHeight="1" x14ac:dyDescent="0.2">
      <c r="A471" s="58">
        <v>44562</v>
      </c>
      <c r="B471" s="48">
        <v>1531.665</v>
      </c>
      <c r="C471" s="48">
        <v>1550.0761315896723</v>
      </c>
      <c r="D471" s="48">
        <v>0</v>
      </c>
      <c r="E471" s="48">
        <v>0</v>
      </c>
      <c r="F471" s="48">
        <v>0</v>
      </c>
      <c r="G471" s="48">
        <v>0</v>
      </c>
      <c r="H471" s="49">
        <v>1.2020338383179396E-2</v>
      </c>
      <c r="I471" s="49">
        <v>0</v>
      </c>
      <c r="J471" s="49">
        <v>1.2020338383179396E-2</v>
      </c>
    </row>
    <row r="472" spans="1:10" ht="11.25" customHeight="1" x14ac:dyDescent="0.2">
      <c r="A472" s="58">
        <v>44593</v>
      </c>
      <c r="B472" s="48">
        <v>1531.665</v>
      </c>
      <c r="C472" s="48">
        <v>1550.0761315896723</v>
      </c>
      <c r="D472" s="48">
        <v>0</v>
      </c>
      <c r="E472" s="48">
        <v>0</v>
      </c>
      <c r="F472" s="48">
        <v>0</v>
      </c>
      <c r="G472" s="48">
        <v>0</v>
      </c>
      <c r="H472" s="49">
        <v>1.2020338383179396E-2</v>
      </c>
      <c r="I472" s="49">
        <v>0</v>
      </c>
      <c r="J472" s="49">
        <v>1.2020338383179396E-2</v>
      </c>
    </row>
    <row r="473" spans="1:10" ht="11.25" customHeight="1" x14ac:dyDescent="0.2">
      <c r="A473" s="58">
        <v>44621</v>
      </c>
      <c r="B473" s="48">
        <v>1531.665</v>
      </c>
      <c r="C473" s="48">
        <v>1550.0761315896723</v>
      </c>
      <c r="D473" s="48">
        <v>0</v>
      </c>
      <c r="E473" s="48">
        <v>0</v>
      </c>
      <c r="F473" s="48">
        <v>0</v>
      </c>
      <c r="G473" s="48">
        <v>0</v>
      </c>
      <c r="H473" s="49">
        <v>1.2020338383179396E-2</v>
      </c>
      <c r="I473" s="49">
        <v>0</v>
      </c>
      <c r="J473" s="49">
        <v>1.2020338383179396E-2</v>
      </c>
    </row>
    <row r="474" spans="1:10" ht="11.25" customHeight="1" x14ac:dyDescent="0.2">
      <c r="A474" s="58">
        <v>44652</v>
      </c>
      <c r="B474" s="48">
        <v>1531.665</v>
      </c>
      <c r="C474" s="48">
        <v>1550.0761315896723</v>
      </c>
      <c r="D474" s="48">
        <v>0</v>
      </c>
      <c r="E474" s="48">
        <v>0</v>
      </c>
      <c r="F474" s="48">
        <v>0</v>
      </c>
      <c r="G474" s="48">
        <v>0</v>
      </c>
      <c r="H474" s="49">
        <v>1.2020338383179396E-2</v>
      </c>
      <c r="I474" s="49">
        <v>0</v>
      </c>
      <c r="J474" s="49">
        <v>1.2020338383179396E-2</v>
      </c>
    </row>
    <row r="475" spans="1:10" ht="11.25" customHeight="1" x14ac:dyDescent="0.2">
      <c r="A475" s="58">
        <v>44682</v>
      </c>
      <c r="B475" s="48">
        <v>1531.665</v>
      </c>
      <c r="C475" s="48">
        <v>1550.0761315896723</v>
      </c>
      <c r="D475" s="48">
        <v>0</v>
      </c>
      <c r="E475" s="48">
        <v>0</v>
      </c>
      <c r="F475" s="48">
        <v>0</v>
      </c>
      <c r="G475" s="48">
        <v>0</v>
      </c>
      <c r="H475" s="49">
        <v>1.2020338383179396E-2</v>
      </c>
      <c r="I475" s="49">
        <v>0</v>
      </c>
      <c r="J475" s="49">
        <v>1.2020338383179396E-2</v>
      </c>
    </row>
    <row r="476" spans="1:10" ht="11.25" customHeight="1" x14ac:dyDescent="0.2">
      <c r="A476" s="58">
        <v>44713</v>
      </c>
      <c r="B476" s="48">
        <v>1531.665</v>
      </c>
      <c r="C476" s="48">
        <v>1550.0761315896723</v>
      </c>
      <c r="D476" s="48">
        <v>0</v>
      </c>
      <c r="E476" s="48">
        <v>0</v>
      </c>
      <c r="F476" s="48">
        <v>0</v>
      </c>
      <c r="G476" s="48">
        <v>0</v>
      </c>
      <c r="H476" s="49">
        <v>1.2020338383179396E-2</v>
      </c>
      <c r="I476" s="49">
        <v>0</v>
      </c>
      <c r="J476" s="49">
        <v>1.2020338383179396E-2</v>
      </c>
    </row>
    <row r="477" spans="1:10" ht="11.25" customHeight="1" x14ac:dyDescent="0.2">
      <c r="A477" s="58">
        <v>44743</v>
      </c>
      <c r="B477" s="48">
        <v>1531.665</v>
      </c>
      <c r="C477" s="48">
        <v>1550.0761315896723</v>
      </c>
      <c r="D477" s="48">
        <v>0</v>
      </c>
      <c r="E477" s="48">
        <v>0</v>
      </c>
      <c r="F477" s="48">
        <v>0</v>
      </c>
      <c r="G477" s="48">
        <v>0</v>
      </c>
      <c r="H477" s="49">
        <v>1.2020338383179396E-2</v>
      </c>
      <c r="I477" s="49">
        <v>0</v>
      </c>
      <c r="J477" s="49">
        <v>1.2020338383179396E-2</v>
      </c>
    </row>
    <row r="478" spans="1:10" ht="11.25" customHeight="1" x14ac:dyDescent="0.2">
      <c r="A478" s="58">
        <v>44774</v>
      </c>
      <c r="B478" s="48">
        <v>1531.665</v>
      </c>
      <c r="C478" s="48">
        <v>1550.0761315896723</v>
      </c>
      <c r="D478" s="48">
        <v>0</v>
      </c>
      <c r="E478" s="48">
        <v>0</v>
      </c>
      <c r="F478" s="48">
        <v>0</v>
      </c>
      <c r="G478" s="48">
        <v>0</v>
      </c>
      <c r="H478" s="49">
        <v>1.2020338383179396E-2</v>
      </c>
      <c r="I478" s="49">
        <v>0</v>
      </c>
      <c r="J478" s="49">
        <v>1.2020338383179396E-2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AE66A-C0B4-49D0-B107-13E3B0232F3A}">
  <sheetPr codeName="Planilha19"/>
  <dimension ref="A1:G325"/>
  <sheetViews>
    <sheetView showGridLines="0" workbookViewId="0"/>
  </sheetViews>
  <sheetFormatPr defaultRowHeight="11.25" customHeight="1" x14ac:dyDescent="0.2"/>
  <cols>
    <col min="1" max="1" width="34.7109375" style="14" bestFit="1" customWidth="1"/>
    <col min="2" max="2" width="20.42578125" style="48" bestFit="1" customWidth="1"/>
    <col min="3" max="3" width="21.85546875" style="48" bestFit="1" customWidth="1"/>
    <col min="4" max="4" width="20.28515625" style="48" bestFit="1" customWidth="1"/>
    <col min="5" max="5" width="21.7109375" style="48" bestFit="1" customWidth="1"/>
    <col min="6" max="6" width="14.85546875" style="48" bestFit="1" customWidth="1"/>
    <col min="7" max="7" width="14.7109375" style="48" bestFit="1" customWidth="1"/>
    <col min="8" max="16384" width="9.140625" style="14"/>
  </cols>
  <sheetData>
    <row r="1" spans="1:7" ht="11.25" customHeight="1" x14ac:dyDescent="0.2">
      <c r="A1" s="47" t="s">
        <v>573</v>
      </c>
      <c r="B1" s="48" t="s">
        <v>599</v>
      </c>
      <c r="C1" s="48" t="s">
        <v>600</v>
      </c>
      <c r="D1" s="48" t="s">
        <v>601</v>
      </c>
      <c r="E1" s="48" t="s">
        <v>602</v>
      </c>
      <c r="F1" s="48" t="s">
        <v>603</v>
      </c>
      <c r="G1" s="48" t="s">
        <v>604</v>
      </c>
    </row>
    <row r="2" spans="1:7" ht="11.25" customHeight="1" x14ac:dyDescent="0.2">
      <c r="A2" s="50" t="s">
        <v>588</v>
      </c>
      <c r="B2" s="48">
        <v>93603.9375</v>
      </c>
      <c r="C2" s="48">
        <v>61006.118811000015</v>
      </c>
      <c r="D2" s="48">
        <v>92237.366589589117</v>
      </c>
      <c r="E2" s="48">
        <v>67434.403808954477</v>
      </c>
      <c r="F2" s="48">
        <v>154610.05631100002</v>
      </c>
      <c r="G2" s="48">
        <v>159671.77039854359</v>
      </c>
    </row>
    <row r="3" spans="1:7" ht="11.25" customHeight="1" x14ac:dyDescent="0.2">
      <c r="A3" s="51" t="s">
        <v>35</v>
      </c>
      <c r="B3" s="48">
        <v>93603.9375</v>
      </c>
      <c r="C3" s="48">
        <v>43769.085760800008</v>
      </c>
      <c r="D3" s="48">
        <v>92237.366589589117</v>
      </c>
      <c r="E3" s="48">
        <v>49094.944089299453</v>
      </c>
      <c r="F3" s="48">
        <v>137373.02326079999</v>
      </c>
      <c r="G3" s="48">
        <v>141332.31067888858</v>
      </c>
    </row>
    <row r="4" spans="1:7" ht="11.25" customHeight="1" x14ac:dyDescent="0.2">
      <c r="A4" s="52" t="s">
        <v>48</v>
      </c>
      <c r="B4" s="48">
        <v>89627.920500000007</v>
      </c>
      <c r="C4" s="48">
        <v>35293.164890400003</v>
      </c>
      <c r="D4" s="48">
        <v>88334.236757818915</v>
      </c>
      <c r="E4" s="48">
        <v>40074.08632165235</v>
      </c>
      <c r="F4" s="48">
        <v>124921.08539040001</v>
      </c>
      <c r="G4" s="48">
        <v>128408.32307947127</v>
      </c>
    </row>
    <row r="5" spans="1:7" ht="11.25" customHeight="1" x14ac:dyDescent="0.2">
      <c r="A5" s="53" t="s">
        <v>46</v>
      </c>
      <c r="B5" s="48">
        <v>89627.920500000007</v>
      </c>
      <c r="C5" s="48">
        <v>35293.164890400003</v>
      </c>
      <c r="D5" s="48">
        <v>88334.236757818915</v>
      </c>
      <c r="E5" s="48">
        <v>40074.08632165235</v>
      </c>
      <c r="F5" s="48">
        <v>124921.08539040001</v>
      </c>
      <c r="G5" s="48">
        <v>128408.32307947127</v>
      </c>
    </row>
    <row r="6" spans="1:7" ht="11.25" customHeight="1" x14ac:dyDescent="0.2">
      <c r="A6" s="54" t="s">
        <v>47</v>
      </c>
      <c r="B6" s="48">
        <v>89627.920500000007</v>
      </c>
      <c r="C6" s="48">
        <v>35293.164890400003</v>
      </c>
      <c r="D6" s="48">
        <v>88334.236757818915</v>
      </c>
      <c r="E6" s="48">
        <v>40074.08632165235</v>
      </c>
      <c r="F6" s="48">
        <v>124921.08539040001</v>
      </c>
      <c r="G6" s="48">
        <v>128408.32307947127</v>
      </c>
    </row>
    <row r="7" spans="1:7" ht="11.25" customHeight="1" x14ac:dyDescent="0.2">
      <c r="A7" s="55" t="s">
        <v>25</v>
      </c>
      <c r="B7" s="48">
        <v>89627.920500000007</v>
      </c>
      <c r="C7" s="48">
        <v>35293.164890400003</v>
      </c>
      <c r="D7" s="48">
        <v>88334.236757818915</v>
      </c>
      <c r="E7" s="48">
        <v>40074.08632165235</v>
      </c>
      <c r="F7" s="48">
        <v>124921.08539040001</v>
      </c>
      <c r="G7" s="48">
        <v>128408.32307947127</v>
      </c>
    </row>
    <row r="8" spans="1:7" ht="11.25" customHeight="1" x14ac:dyDescent="0.2">
      <c r="A8" s="56" t="s">
        <v>25</v>
      </c>
      <c r="B8" s="48">
        <v>89627.920500000007</v>
      </c>
      <c r="C8" s="48">
        <v>35293.164890400003</v>
      </c>
      <c r="D8" s="48">
        <v>88334.236757818915</v>
      </c>
      <c r="E8" s="48">
        <v>40074.08632165235</v>
      </c>
      <c r="F8" s="48">
        <v>124921.08539040001</v>
      </c>
      <c r="G8" s="48">
        <v>128408.32307947127</v>
      </c>
    </row>
    <row r="9" spans="1:7" ht="11.25" customHeight="1" x14ac:dyDescent="0.2">
      <c r="A9" s="57" t="s">
        <v>38</v>
      </c>
      <c r="B9" s="48">
        <v>22362.690000000002</v>
      </c>
      <c r="C9" s="48">
        <v>32036.102693999994</v>
      </c>
      <c r="D9" s="48">
        <v>21952.743777913605</v>
      </c>
      <c r="E9" s="48">
        <v>36375.8123918743</v>
      </c>
      <c r="F9" s="48">
        <v>54398.792693999996</v>
      </c>
      <c r="G9" s="48">
        <v>58328.556169787902</v>
      </c>
    </row>
    <row r="10" spans="1:7" ht="11.25" customHeight="1" x14ac:dyDescent="0.2">
      <c r="A10" s="58">
        <v>44440</v>
      </c>
      <c r="B10" s="48">
        <v>1912.9530000000002</v>
      </c>
      <c r="C10" s="48">
        <v>3060.8995392000002</v>
      </c>
      <c r="D10" s="48">
        <v>1877.8853111227299</v>
      </c>
      <c r="E10" s="48">
        <v>3475.5384714498036</v>
      </c>
      <c r="F10" s="48">
        <v>4973.8525392000001</v>
      </c>
      <c r="G10" s="48">
        <v>5353.423782572534</v>
      </c>
    </row>
    <row r="11" spans="1:7" ht="11.25" customHeight="1" x14ac:dyDescent="0.2">
      <c r="A11" s="58">
        <v>44470</v>
      </c>
      <c r="B11" s="48">
        <v>1936.0469999999998</v>
      </c>
      <c r="C11" s="48">
        <v>2894.2117128000018</v>
      </c>
      <c r="D11" s="48">
        <v>1900.5559587419173</v>
      </c>
      <c r="E11" s="48">
        <v>3286.2705957955268</v>
      </c>
      <c r="F11" s="48">
        <v>4830.2587128000014</v>
      </c>
      <c r="G11" s="48">
        <v>5186.8265545374443</v>
      </c>
    </row>
    <row r="12" spans="1:7" ht="11.25" customHeight="1" x14ac:dyDescent="0.2">
      <c r="A12" s="58">
        <v>44501</v>
      </c>
      <c r="B12" s="48">
        <v>1866.7650000000001</v>
      </c>
      <c r="C12" s="48">
        <v>2483.8553231999967</v>
      </c>
      <c r="D12" s="48">
        <v>1832.5440158843539</v>
      </c>
      <c r="E12" s="48">
        <v>2820.3260586439364</v>
      </c>
      <c r="F12" s="48">
        <v>4350.6203231999971</v>
      </c>
      <c r="G12" s="48">
        <v>4652.8700745282904</v>
      </c>
    </row>
    <row r="13" spans="1:7" ht="11.25" customHeight="1" x14ac:dyDescent="0.2">
      <c r="A13" s="58">
        <v>44531</v>
      </c>
      <c r="B13" s="48">
        <v>1820.5769999999998</v>
      </c>
      <c r="C13" s="48">
        <v>2611.7539235999993</v>
      </c>
      <c r="D13" s="48">
        <v>1787.2027206459779</v>
      </c>
      <c r="E13" s="48">
        <v>2965.5501996005428</v>
      </c>
      <c r="F13" s="48">
        <v>4432.3309235999986</v>
      </c>
      <c r="G13" s="48">
        <v>4752.7529202465212</v>
      </c>
    </row>
    <row r="14" spans="1:7" ht="11.25" customHeight="1" x14ac:dyDescent="0.2">
      <c r="A14" s="58">
        <v>44562</v>
      </c>
      <c r="B14" s="48">
        <v>1832.1240000000009</v>
      </c>
      <c r="C14" s="48">
        <v>2325.4234380000003</v>
      </c>
      <c r="D14" s="48">
        <v>1798.5380444555731</v>
      </c>
      <c r="E14" s="48">
        <v>2640.4324995561324</v>
      </c>
      <c r="F14" s="48">
        <v>4157.5474380000014</v>
      </c>
      <c r="G14" s="48">
        <v>4438.970544011705</v>
      </c>
    </row>
    <row r="15" spans="1:7" ht="11.25" customHeight="1" x14ac:dyDescent="0.2">
      <c r="A15" s="58">
        <v>44593</v>
      </c>
      <c r="B15" s="48">
        <v>1820.5769999999998</v>
      </c>
      <c r="C15" s="48">
        <v>2179.7179056000027</v>
      </c>
      <c r="D15" s="48">
        <v>1787.2027206459779</v>
      </c>
      <c r="E15" s="48">
        <v>2474.9892444365532</v>
      </c>
      <c r="F15" s="48">
        <v>4000.2949056000025</v>
      </c>
      <c r="G15" s="48">
        <v>4262.1919650825312</v>
      </c>
    </row>
    <row r="16" spans="1:7" ht="11.25" customHeight="1" x14ac:dyDescent="0.2">
      <c r="A16" s="58">
        <v>44621</v>
      </c>
      <c r="B16" s="48">
        <v>1832.1240000000009</v>
      </c>
      <c r="C16" s="48">
        <v>2375.1832284000043</v>
      </c>
      <c r="D16" s="48">
        <v>1798.5380444555731</v>
      </c>
      <c r="E16" s="48">
        <v>2696.9329052870871</v>
      </c>
      <c r="F16" s="48">
        <v>4207.3072284000054</v>
      </c>
      <c r="G16" s="48">
        <v>4495.4709497426602</v>
      </c>
    </row>
    <row r="17" spans="1:7" ht="11.25" customHeight="1" x14ac:dyDescent="0.2">
      <c r="A17" s="58">
        <v>44652</v>
      </c>
      <c r="B17" s="48">
        <v>1855.2180000000003</v>
      </c>
      <c r="C17" s="48">
        <v>2424.718875599996</v>
      </c>
      <c r="D17" s="48">
        <v>1821.2086920747604</v>
      </c>
      <c r="E17" s="48">
        <v>2753.178804685906</v>
      </c>
      <c r="F17" s="48">
        <v>4279.9368755999967</v>
      </c>
      <c r="G17" s="48">
        <v>4574.3874967606662</v>
      </c>
    </row>
    <row r="18" spans="1:7" ht="11.25" customHeight="1" x14ac:dyDescent="0.2">
      <c r="A18" s="58">
        <v>44682</v>
      </c>
      <c r="B18" s="48">
        <v>1866.7650000000001</v>
      </c>
      <c r="C18" s="48">
        <v>3018.0010211999979</v>
      </c>
      <c r="D18" s="48">
        <v>1832.5440158843539</v>
      </c>
      <c r="E18" s="48">
        <v>3426.8287873299005</v>
      </c>
      <c r="F18" s="48">
        <v>4884.7660211999982</v>
      </c>
      <c r="G18" s="48">
        <v>5259.3728032142544</v>
      </c>
    </row>
    <row r="19" spans="1:7" ht="11.25" customHeight="1" x14ac:dyDescent="0.2">
      <c r="A19" s="58">
        <v>44713</v>
      </c>
      <c r="B19" s="48">
        <v>1874.4630000000002</v>
      </c>
      <c r="C19" s="48">
        <v>3108.9159935999992</v>
      </c>
      <c r="D19" s="48">
        <v>1840.1008984240837</v>
      </c>
      <c r="E19" s="48">
        <v>3530.0593834864753</v>
      </c>
      <c r="F19" s="48">
        <v>4983.3789935999994</v>
      </c>
      <c r="G19" s="48">
        <v>5370.1602819105592</v>
      </c>
    </row>
    <row r="20" spans="1:7" ht="11.25" customHeight="1" x14ac:dyDescent="0.2">
      <c r="A20" s="58">
        <v>44743</v>
      </c>
      <c r="B20" s="48">
        <v>1859.0669999999998</v>
      </c>
      <c r="C20" s="48">
        <v>3009.0726503999949</v>
      </c>
      <c r="D20" s="48">
        <v>1824.9871333446245</v>
      </c>
      <c r="E20" s="48">
        <v>3416.6909517670615</v>
      </c>
      <c r="F20" s="48">
        <v>4868.1396503999949</v>
      </c>
      <c r="G20" s="48">
        <v>5241.6780851116855</v>
      </c>
    </row>
    <row r="21" spans="1:7" ht="11.25" customHeight="1" x14ac:dyDescent="0.2">
      <c r="A21" s="58">
        <v>44774</v>
      </c>
      <c r="B21" s="48">
        <v>1886.01</v>
      </c>
      <c r="C21" s="48">
        <v>2544.3490823999987</v>
      </c>
      <c r="D21" s="48">
        <v>1851.4362222336772</v>
      </c>
      <c r="E21" s="48">
        <v>2889.0144898353683</v>
      </c>
      <c r="F21" s="48">
        <v>4430.3590823999984</v>
      </c>
      <c r="G21" s="48">
        <v>4740.450712069045</v>
      </c>
    </row>
    <row r="22" spans="1:7" ht="11.25" customHeight="1" x14ac:dyDescent="0.2">
      <c r="A22" s="57" t="s">
        <v>37</v>
      </c>
      <c r="B22" s="48">
        <v>67265.230499999991</v>
      </c>
      <c r="C22" s="48">
        <v>3257.0621964000011</v>
      </c>
      <c r="D22" s="48">
        <v>66381.492979905306</v>
      </c>
      <c r="E22" s="48">
        <v>3698.2739297780477</v>
      </c>
      <c r="F22" s="48">
        <v>70522.292696399993</v>
      </c>
      <c r="G22" s="48">
        <v>70079.766909683356</v>
      </c>
    </row>
    <row r="23" spans="1:7" ht="11.25" customHeight="1" x14ac:dyDescent="0.2">
      <c r="A23" s="58">
        <v>44440</v>
      </c>
      <c r="B23" s="48">
        <v>5695.1460000000006</v>
      </c>
      <c r="C23" s="48">
        <v>307.39994639999981</v>
      </c>
      <c r="D23" s="48">
        <v>5620.3225858050964</v>
      </c>
      <c r="E23" s="48">
        <v>349.04129526382303</v>
      </c>
      <c r="F23" s="48">
        <v>6002.5459464000005</v>
      </c>
      <c r="G23" s="48">
        <v>5969.363881068919</v>
      </c>
    </row>
    <row r="24" spans="1:7" ht="11.25" customHeight="1" x14ac:dyDescent="0.2">
      <c r="A24" s="58">
        <v>44470</v>
      </c>
      <c r="B24" s="48">
        <v>5822.4764999999989</v>
      </c>
      <c r="C24" s="48">
        <v>278.9960220000001</v>
      </c>
      <c r="D24" s="48">
        <v>5745.9802045934202</v>
      </c>
      <c r="E24" s="48">
        <v>316.78968728777289</v>
      </c>
      <c r="F24" s="48">
        <v>6101.4725219999991</v>
      </c>
      <c r="G24" s="48">
        <v>6062.769891881193</v>
      </c>
    </row>
    <row r="25" spans="1:7" ht="11.25" customHeight="1" x14ac:dyDescent="0.2">
      <c r="A25" s="58">
        <v>44501</v>
      </c>
      <c r="B25" s="48">
        <v>5614.1175000000003</v>
      </c>
      <c r="C25" s="48">
        <v>231.60218760000041</v>
      </c>
      <c r="D25" s="48">
        <v>5540.3586465761618</v>
      </c>
      <c r="E25" s="48">
        <v>262.97573728477107</v>
      </c>
      <c r="F25" s="48">
        <v>5845.7196876000007</v>
      </c>
      <c r="G25" s="48">
        <v>5803.3343838609326</v>
      </c>
    </row>
    <row r="26" spans="1:7" ht="11.25" customHeight="1" x14ac:dyDescent="0.2">
      <c r="A26" s="58">
        <v>44531</v>
      </c>
      <c r="B26" s="48">
        <v>5475.2114999999994</v>
      </c>
      <c r="C26" s="48">
        <v>267.9507432000002</v>
      </c>
      <c r="D26" s="48">
        <v>5403.2776078979878</v>
      </c>
      <c r="E26" s="48">
        <v>304.24818081045748</v>
      </c>
      <c r="F26" s="48">
        <v>5743.1622431999995</v>
      </c>
      <c r="G26" s="48">
        <v>5707.5257887084454</v>
      </c>
    </row>
    <row r="27" spans="1:7" ht="11.25" customHeight="1" x14ac:dyDescent="0.2">
      <c r="A27" s="58">
        <v>44562</v>
      </c>
      <c r="B27" s="48">
        <v>5475.2114999999994</v>
      </c>
      <c r="C27" s="48">
        <v>221.8395060000006</v>
      </c>
      <c r="D27" s="48">
        <v>5403.2776078979878</v>
      </c>
      <c r="E27" s="48">
        <v>251.89057259681709</v>
      </c>
      <c r="F27" s="48">
        <v>5697.0510059999997</v>
      </c>
      <c r="G27" s="48">
        <v>5655.1681804948048</v>
      </c>
    </row>
    <row r="28" spans="1:7" ht="11.25" customHeight="1" x14ac:dyDescent="0.2">
      <c r="A28" s="58">
        <v>44593</v>
      </c>
      <c r="B28" s="48">
        <v>5475.2114999999994</v>
      </c>
      <c r="C28" s="48">
        <v>222.42476879999981</v>
      </c>
      <c r="D28" s="48">
        <v>5403.2776078979878</v>
      </c>
      <c r="E28" s="48">
        <v>252.55511690846654</v>
      </c>
      <c r="F28" s="48">
        <v>5697.636268799999</v>
      </c>
      <c r="G28" s="48">
        <v>5655.8327248064543</v>
      </c>
    </row>
    <row r="29" spans="1:7" ht="11.25" customHeight="1" x14ac:dyDescent="0.2">
      <c r="A29" s="58">
        <v>44621</v>
      </c>
      <c r="B29" s="48">
        <v>5475.2114999999994</v>
      </c>
      <c r="C29" s="48">
        <v>234.00550080000011</v>
      </c>
      <c r="D29" s="48">
        <v>5403.2776078979878</v>
      </c>
      <c r="E29" s="48">
        <v>265.70461073473905</v>
      </c>
      <c r="F29" s="48">
        <v>5709.2170007999994</v>
      </c>
      <c r="G29" s="48">
        <v>5668.9822186327265</v>
      </c>
    </row>
    <row r="30" spans="1:7" ht="11.25" customHeight="1" x14ac:dyDescent="0.2">
      <c r="A30" s="58">
        <v>44652</v>
      </c>
      <c r="B30" s="48">
        <v>5567.8155000000024</v>
      </c>
      <c r="C30" s="48">
        <v>221.36631480000008</v>
      </c>
      <c r="D30" s="48">
        <v>5494.6649670167735</v>
      </c>
      <c r="E30" s="48">
        <v>251.35328145122688</v>
      </c>
      <c r="F30" s="48">
        <v>5789.1818148000029</v>
      </c>
      <c r="G30" s="48">
        <v>5746.0182484680008</v>
      </c>
    </row>
    <row r="31" spans="1:7" ht="11.25" customHeight="1" x14ac:dyDescent="0.2">
      <c r="A31" s="58">
        <v>44682</v>
      </c>
      <c r="B31" s="48">
        <v>5614.1175000000003</v>
      </c>
      <c r="C31" s="48">
        <v>328.90524119999969</v>
      </c>
      <c r="D31" s="48">
        <v>5540.3586465761618</v>
      </c>
      <c r="E31" s="48">
        <v>373.45976390680357</v>
      </c>
      <c r="F31" s="48">
        <v>5943.0227412000004</v>
      </c>
      <c r="G31" s="48">
        <v>5913.8184104829652</v>
      </c>
    </row>
    <row r="32" spans="1:7" ht="11.25" customHeight="1" x14ac:dyDescent="0.2">
      <c r="A32" s="58">
        <v>44713</v>
      </c>
      <c r="B32" s="48">
        <v>5590.9664999999995</v>
      </c>
      <c r="C32" s="48">
        <v>338.90451840000014</v>
      </c>
      <c r="D32" s="48">
        <v>5517.511806796465</v>
      </c>
      <c r="E32" s="48">
        <v>384.8135741675531</v>
      </c>
      <c r="F32" s="48">
        <v>5929.8710183999992</v>
      </c>
      <c r="G32" s="48">
        <v>5902.3253809640182</v>
      </c>
    </row>
    <row r="33" spans="1:7" ht="11.25" customHeight="1" x14ac:dyDescent="0.2">
      <c r="A33" s="58">
        <v>44743</v>
      </c>
      <c r="B33" s="48">
        <v>5556.24</v>
      </c>
      <c r="C33" s="48">
        <v>314.02462319999972</v>
      </c>
      <c r="D33" s="48">
        <v>5483.2415471269233</v>
      </c>
      <c r="E33" s="48">
        <v>356.56337130207748</v>
      </c>
      <c r="F33" s="48">
        <v>5870.2646231999997</v>
      </c>
      <c r="G33" s="48">
        <v>5839.8049184290012</v>
      </c>
    </row>
    <row r="34" spans="1:7" ht="11.25" customHeight="1" x14ac:dyDescent="0.2">
      <c r="A34" s="58">
        <v>44774</v>
      </c>
      <c r="B34" s="48">
        <v>5903.5050000000001</v>
      </c>
      <c r="C34" s="48">
        <v>289.64282400000036</v>
      </c>
      <c r="D34" s="48">
        <v>5825.9441438223557</v>
      </c>
      <c r="E34" s="48">
        <v>328.87873806353957</v>
      </c>
      <c r="F34" s="48">
        <v>6193.1478240000006</v>
      </c>
      <c r="G34" s="48">
        <v>6154.8228818858952</v>
      </c>
    </row>
    <row r="35" spans="1:7" ht="11.25" customHeight="1" x14ac:dyDescent="0.2">
      <c r="A35" s="52" t="s">
        <v>36</v>
      </c>
      <c r="B35" s="48">
        <v>3976.0170000000003</v>
      </c>
      <c r="C35" s="48">
        <v>8475.9208704000011</v>
      </c>
      <c r="D35" s="48">
        <v>3903.1298317701821</v>
      </c>
      <c r="E35" s="48">
        <v>9020.8577676470959</v>
      </c>
      <c r="F35" s="48">
        <v>12451.937870400001</v>
      </c>
      <c r="G35" s="48">
        <v>12923.987599417278</v>
      </c>
    </row>
    <row r="36" spans="1:7" ht="11.25" customHeight="1" x14ac:dyDescent="0.2">
      <c r="A36" s="53" t="s">
        <v>46</v>
      </c>
      <c r="B36" s="48">
        <v>3976.0170000000003</v>
      </c>
      <c r="C36" s="48">
        <v>8475.9208704000011</v>
      </c>
      <c r="D36" s="48">
        <v>3903.1298317701821</v>
      </c>
      <c r="E36" s="48">
        <v>9020.8577676470959</v>
      </c>
      <c r="F36" s="48">
        <v>12451.937870400001</v>
      </c>
      <c r="G36" s="48">
        <v>12923.987599417278</v>
      </c>
    </row>
    <row r="37" spans="1:7" ht="11.25" customHeight="1" x14ac:dyDescent="0.2">
      <c r="A37" s="54" t="s">
        <v>47</v>
      </c>
      <c r="B37" s="48">
        <v>3976.0170000000003</v>
      </c>
      <c r="C37" s="48">
        <v>8475.9208704000011</v>
      </c>
      <c r="D37" s="48">
        <v>3903.1298317701821</v>
      </c>
      <c r="E37" s="48">
        <v>9020.8577676470959</v>
      </c>
      <c r="F37" s="48">
        <v>12451.937870400001</v>
      </c>
      <c r="G37" s="48">
        <v>12923.987599417278</v>
      </c>
    </row>
    <row r="38" spans="1:7" ht="11.25" customHeight="1" x14ac:dyDescent="0.2">
      <c r="A38" s="55" t="s">
        <v>25</v>
      </c>
      <c r="B38" s="48">
        <v>3976.0170000000003</v>
      </c>
      <c r="C38" s="48">
        <v>8475.9208704000011</v>
      </c>
      <c r="D38" s="48">
        <v>3903.1298317701821</v>
      </c>
      <c r="E38" s="48">
        <v>9020.8577676470959</v>
      </c>
      <c r="F38" s="48">
        <v>12451.937870400001</v>
      </c>
      <c r="G38" s="48">
        <v>12923.987599417278</v>
      </c>
    </row>
    <row r="39" spans="1:7" ht="11.25" customHeight="1" x14ac:dyDescent="0.2">
      <c r="A39" s="56" t="s">
        <v>25</v>
      </c>
      <c r="B39" s="48">
        <v>3976.0170000000003</v>
      </c>
      <c r="C39" s="48">
        <v>8475.9208704000011</v>
      </c>
      <c r="D39" s="48">
        <v>3903.1298317701821</v>
      </c>
      <c r="E39" s="48">
        <v>9020.8577676470959</v>
      </c>
      <c r="F39" s="48">
        <v>12451.937870400001</v>
      </c>
      <c r="G39" s="48">
        <v>12923.987599417278</v>
      </c>
    </row>
    <row r="40" spans="1:7" ht="11.25" customHeight="1" x14ac:dyDescent="0.2">
      <c r="A40" s="57" t="s">
        <v>38</v>
      </c>
      <c r="B40" s="48">
        <v>0</v>
      </c>
      <c r="C40" s="48">
        <v>3964.1966352000013</v>
      </c>
      <c r="D40" s="48">
        <v>0</v>
      </c>
      <c r="E40" s="48">
        <v>4501.198989899036</v>
      </c>
      <c r="F40" s="48">
        <v>3964.1966352000013</v>
      </c>
      <c r="G40" s="48">
        <v>4501.198989899036</v>
      </c>
    </row>
    <row r="41" spans="1:7" ht="11.25" customHeight="1" x14ac:dyDescent="0.2">
      <c r="A41" s="58">
        <v>44440</v>
      </c>
      <c r="B41" s="48">
        <v>0</v>
      </c>
      <c r="C41" s="48">
        <v>111.94707600000011</v>
      </c>
      <c r="D41" s="48">
        <v>0</v>
      </c>
      <c r="E41" s="48">
        <v>127.11177365396475</v>
      </c>
      <c r="F41" s="48">
        <v>111.94707600000011</v>
      </c>
      <c r="G41" s="48">
        <v>127.11177365396475</v>
      </c>
    </row>
    <row r="42" spans="1:7" ht="11.25" customHeight="1" x14ac:dyDescent="0.2">
      <c r="A42" s="58">
        <v>44470</v>
      </c>
      <c r="B42" s="48">
        <v>0</v>
      </c>
      <c r="C42" s="48">
        <v>260.05592159999969</v>
      </c>
      <c r="D42" s="48">
        <v>0</v>
      </c>
      <c r="E42" s="48">
        <v>295.28390222351436</v>
      </c>
      <c r="F42" s="48">
        <v>260.05592159999969</v>
      </c>
      <c r="G42" s="48">
        <v>295.28390222351436</v>
      </c>
    </row>
    <row r="43" spans="1:7" ht="11.25" customHeight="1" x14ac:dyDescent="0.2">
      <c r="A43" s="58">
        <v>44501</v>
      </c>
      <c r="B43" s="48">
        <v>0</v>
      </c>
      <c r="C43" s="48">
        <v>527.33423520000031</v>
      </c>
      <c r="D43" s="48">
        <v>0</v>
      </c>
      <c r="E43" s="48">
        <v>598.76856403760803</v>
      </c>
      <c r="F43" s="48">
        <v>527.33423520000031</v>
      </c>
      <c r="G43" s="48">
        <v>598.76856403760803</v>
      </c>
    </row>
    <row r="44" spans="1:7" ht="11.25" customHeight="1" x14ac:dyDescent="0.2">
      <c r="A44" s="58">
        <v>44531</v>
      </c>
      <c r="B44" s="48">
        <v>0</v>
      </c>
      <c r="C44" s="48">
        <v>551.79074879999905</v>
      </c>
      <c r="D44" s="48">
        <v>0</v>
      </c>
      <c r="E44" s="48">
        <v>626.53803272018581</v>
      </c>
      <c r="F44" s="48">
        <v>551.79074879999905</v>
      </c>
      <c r="G44" s="48">
        <v>626.53803272018581</v>
      </c>
    </row>
    <row r="45" spans="1:7" ht="11.25" customHeight="1" x14ac:dyDescent="0.2">
      <c r="A45" s="58">
        <v>44562</v>
      </c>
      <c r="B45" s="48">
        <v>0</v>
      </c>
      <c r="C45" s="48">
        <v>579.24829080000063</v>
      </c>
      <c r="D45" s="48">
        <v>0</v>
      </c>
      <c r="E45" s="48">
        <v>657.71505840505881</v>
      </c>
      <c r="F45" s="48">
        <v>579.24829080000063</v>
      </c>
      <c r="G45" s="48">
        <v>657.71505840505881</v>
      </c>
    </row>
    <row r="46" spans="1:7" ht="11.25" customHeight="1" x14ac:dyDescent="0.2">
      <c r="A46" s="58">
        <v>44593</v>
      </c>
      <c r="B46" s="48">
        <v>0</v>
      </c>
      <c r="C46" s="48">
        <v>476.14241880000054</v>
      </c>
      <c r="D46" s="48">
        <v>0</v>
      </c>
      <c r="E46" s="48">
        <v>540.64214562921586</v>
      </c>
      <c r="F46" s="48">
        <v>476.14241880000054</v>
      </c>
      <c r="G46" s="48">
        <v>540.64214562921586</v>
      </c>
    </row>
    <row r="47" spans="1:7" ht="11.25" customHeight="1" x14ac:dyDescent="0.2">
      <c r="A47" s="58">
        <v>44621</v>
      </c>
      <c r="B47" s="48">
        <v>0</v>
      </c>
      <c r="C47" s="48">
        <v>516.57536160000063</v>
      </c>
      <c r="D47" s="48">
        <v>0</v>
      </c>
      <c r="E47" s="48">
        <v>586.55226009578132</v>
      </c>
      <c r="F47" s="48">
        <v>516.57536160000063</v>
      </c>
      <c r="G47" s="48">
        <v>586.55226009578132</v>
      </c>
    </row>
    <row r="48" spans="1:7" ht="11.25" customHeight="1" x14ac:dyDescent="0.2">
      <c r="A48" s="58">
        <v>44652</v>
      </c>
      <c r="B48" s="48">
        <v>0</v>
      </c>
      <c r="C48" s="48">
        <v>435.70947600000056</v>
      </c>
      <c r="D48" s="48">
        <v>0</v>
      </c>
      <c r="E48" s="48">
        <v>494.73203116265051</v>
      </c>
      <c r="F48" s="48">
        <v>435.70947600000056</v>
      </c>
      <c r="G48" s="48">
        <v>494.73203116265051</v>
      </c>
    </row>
    <row r="49" spans="1:7" ht="11.25" customHeight="1" x14ac:dyDescent="0.2">
      <c r="A49" s="58">
        <v>44682</v>
      </c>
      <c r="B49" s="48">
        <v>0</v>
      </c>
      <c r="C49" s="48">
        <v>84.340105199999897</v>
      </c>
      <c r="D49" s="48">
        <v>0</v>
      </c>
      <c r="E49" s="48">
        <v>95.765077081012379</v>
      </c>
      <c r="F49" s="48">
        <v>84.340105199999897</v>
      </c>
      <c r="G49" s="48">
        <v>95.765077081012379</v>
      </c>
    </row>
    <row r="50" spans="1:7" ht="11.25" customHeight="1" x14ac:dyDescent="0.2">
      <c r="A50" s="58">
        <v>44743</v>
      </c>
      <c r="B50" s="48">
        <v>0</v>
      </c>
      <c r="C50" s="48">
        <v>95.385384000000002</v>
      </c>
      <c r="D50" s="48">
        <v>0</v>
      </c>
      <c r="E50" s="48">
        <v>108.30658355832803</v>
      </c>
      <c r="F50" s="48">
        <v>95.385384000000002</v>
      </c>
      <c r="G50" s="48">
        <v>108.30658355832803</v>
      </c>
    </row>
    <row r="51" spans="1:7" ht="11.25" customHeight="1" x14ac:dyDescent="0.2">
      <c r="A51" s="58">
        <v>44774</v>
      </c>
      <c r="B51" s="48">
        <v>0</v>
      </c>
      <c r="C51" s="48">
        <v>325.66761719999988</v>
      </c>
      <c r="D51" s="48">
        <v>0</v>
      </c>
      <c r="E51" s="48">
        <v>369.7835613317169</v>
      </c>
      <c r="F51" s="48">
        <v>325.66761719999988</v>
      </c>
      <c r="G51" s="48">
        <v>369.7835613317169</v>
      </c>
    </row>
    <row r="52" spans="1:7" ht="11.25" customHeight="1" x14ac:dyDescent="0.2">
      <c r="A52" s="57" t="s">
        <v>25</v>
      </c>
      <c r="B52" s="48">
        <v>3976.0170000000003</v>
      </c>
      <c r="C52" s="48">
        <v>0</v>
      </c>
      <c r="D52" s="48">
        <v>3903.1298317701821</v>
      </c>
      <c r="E52" s="48">
        <v>0</v>
      </c>
      <c r="F52" s="48">
        <v>3976.0170000000003</v>
      </c>
      <c r="G52" s="48">
        <v>3903.1298317701821</v>
      </c>
    </row>
    <row r="53" spans="1:7" ht="11.25" customHeight="1" x14ac:dyDescent="0.2">
      <c r="A53" s="58">
        <v>44440</v>
      </c>
      <c r="B53" s="48">
        <v>307.92</v>
      </c>
      <c r="C53" s="48">
        <v>0</v>
      </c>
      <c r="D53" s="48">
        <v>302.27530158917182</v>
      </c>
      <c r="E53" s="48">
        <v>0</v>
      </c>
      <c r="F53" s="48">
        <v>307.92</v>
      </c>
      <c r="G53" s="48">
        <v>302.27530158917182</v>
      </c>
    </row>
    <row r="54" spans="1:7" ht="11.25" customHeight="1" x14ac:dyDescent="0.2">
      <c r="A54" s="58">
        <v>44470</v>
      </c>
      <c r="B54" s="48">
        <v>334.86299999999994</v>
      </c>
      <c r="C54" s="48">
        <v>0</v>
      </c>
      <c r="D54" s="48">
        <v>328.72439047822422</v>
      </c>
      <c r="E54" s="48">
        <v>0</v>
      </c>
      <c r="F54" s="48">
        <v>334.86299999999994</v>
      </c>
      <c r="G54" s="48">
        <v>328.72439047822422</v>
      </c>
    </row>
    <row r="55" spans="1:7" ht="11.25" customHeight="1" x14ac:dyDescent="0.2">
      <c r="A55" s="58">
        <v>44501</v>
      </c>
      <c r="B55" s="48">
        <v>342.56100000000021</v>
      </c>
      <c r="C55" s="48">
        <v>0</v>
      </c>
      <c r="D55" s="48">
        <v>336.28127301795382</v>
      </c>
      <c r="E55" s="48">
        <v>0</v>
      </c>
      <c r="F55" s="48">
        <v>342.56100000000021</v>
      </c>
      <c r="G55" s="48">
        <v>336.28127301795382</v>
      </c>
    </row>
    <row r="56" spans="1:7" ht="11.25" customHeight="1" x14ac:dyDescent="0.2">
      <c r="A56" s="58">
        <v>44531</v>
      </c>
      <c r="B56" s="48">
        <v>327.16500000000002</v>
      </c>
      <c r="C56" s="48">
        <v>0</v>
      </c>
      <c r="D56" s="48">
        <v>321.16750793849502</v>
      </c>
      <c r="E56" s="48">
        <v>0</v>
      </c>
      <c r="F56" s="48">
        <v>327.16500000000002</v>
      </c>
      <c r="G56" s="48">
        <v>321.16750793849502</v>
      </c>
    </row>
    <row r="57" spans="1:7" ht="11.25" customHeight="1" x14ac:dyDescent="0.2">
      <c r="A57" s="58">
        <v>44562</v>
      </c>
      <c r="B57" s="48">
        <v>323.3160000000002</v>
      </c>
      <c r="C57" s="48">
        <v>0</v>
      </c>
      <c r="D57" s="48">
        <v>317.38906666863062</v>
      </c>
      <c r="E57" s="48">
        <v>0</v>
      </c>
      <c r="F57" s="48">
        <v>323.3160000000002</v>
      </c>
      <c r="G57" s="48">
        <v>317.38906666863062</v>
      </c>
    </row>
    <row r="58" spans="1:7" ht="11.25" customHeight="1" x14ac:dyDescent="0.2">
      <c r="A58" s="58">
        <v>44593</v>
      </c>
      <c r="B58" s="48">
        <v>323.3160000000002</v>
      </c>
      <c r="C58" s="48">
        <v>0</v>
      </c>
      <c r="D58" s="48">
        <v>317.38906666863062</v>
      </c>
      <c r="E58" s="48">
        <v>0</v>
      </c>
      <c r="F58" s="48">
        <v>323.3160000000002</v>
      </c>
      <c r="G58" s="48">
        <v>317.38906666863062</v>
      </c>
    </row>
    <row r="59" spans="1:7" ht="11.25" customHeight="1" x14ac:dyDescent="0.2">
      <c r="A59" s="58">
        <v>44621</v>
      </c>
      <c r="B59" s="48">
        <v>327.16500000000002</v>
      </c>
      <c r="C59" s="48">
        <v>0</v>
      </c>
      <c r="D59" s="48">
        <v>321.16750793849502</v>
      </c>
      <c r="E59" s="48">
        <v>0</v>
      </c>
      <c r="F59" s="48">
        <v>327.16500000000002</v>
      </c>
      <c r="G59" s="48">
        <v>321.16750793849502</v>
      </c>
    </row>
    <row r="60" spans="1:7" ht="11.25" customHeight="1" x14ac:dyDescent="0.2">
      <c r="A60" s="58">
        <v>44652</v>
      </c>
      <c r="B60" s="48">
        <v>334.86299999999994</v>
      </c>
      <c r="C60" s="48">
        <v>0</v>
      </c>
      <c r="D60" s="48">
        <v>328.72439047822422</v>
      </c>
      <c r="E60" s="48">
        <v>0</v>
      </c>
      <c r="F60" s="48">
        <v>334.86299999999994</v>
      </c>
      <c r="G60" s="48">
        <v>328.72439047822422</v>
      </c>
    </row>
    <row r="61" spans="1:7" ht="11.25" customHeight="1" x14ac:dyDescent="0.2">
      <c r="A61" s="58">
        <v>44682</v>
      </c>
      <c r="B61" s="48">
        <v>338.7120000000001</v>
      </c>
      <c r="C61" s="48">
        <v>0</v>
      </c>
      <c r="D61" s="48">
        <v>332.50283174808902</v>
      </c>
      <c r="E61" s="48">
        <v>0</v>
      </c>
      <c r="F61" s="48">
        <v>338.7120000000001</v>
      </c>
      <c r="G61" s="48">
        <v>332.50283174808902</v>
      </c>
    </row>
    <row r="62" spans="1:7" ht="11.25" customHeight="1" x14ac:dyDescent="0.2">
      <c r="A62" s="58">
        <v>44713</v>
      </c>
      <c r="B62" s="48">
        <v>338.7120000000001</v>
      </c>
      <c r="C62" s="48">
        <v>0</v>
      </c>
      <c r="D62" s="48">
        <v>332.50283174808902</v>
      </c>
      <c r="E62" s="48">
        <v>0</v>
      </c>
      <c r="F62" s="48">
        <v>338.7120000000001</v>
      </c>
      <c r="G62" s="48">
        <v>332.50283174808902</v>
      </c>
    </row>
    <row r="63" spans="1:7" ht="11.25" customHeight="1" x14ac:dyDescent="0.2">
      <c r="A63" s="58">
        <v>44743</v>
      </c>
      <c r="B63" s="48">
        <v>338.7120000000001</v>
      </c>
      <c r="C63" s="48">
        <v>0</v>
      </c>
      <c r="D63" s="48">
        <v>332.50283174808902</v>
      </c>
      <c r="E63" s="48">
        <v>0</v>
      </c>
      <c r="F63" s="48">
        <v>338.7120000000001</v>
      </c>
      <c r="G63" s="48">
        <v>332.50283174808902</v>
      </c>
    </row>
    <row r="64" spans="1:7" ht="11.25" customHeight="1" x14ac:dyDescent="0.2">
      <c r="A64" s="58">
        <v>44774</v>
      </c>
      <c r="B64" s="48">
        <v>338.7120000000001</v>
      </c>
      <c r="C64" s="48">
        <v>0</v>
      </c>
      <c r="D64" s="48">
        <v>332.50283174808902</v>
      </c>
      <c r="E64" s="48">
        <v>0</v>
      </c>
      <c r="F64" s="48">
        <v>338.7120000000001</v>
      </c>
      <c r="G64" s="48">
        <v>332.50283174808902</v>
      </c>
    </row>
    <row r="65" spans="1:7" ht="11.25" customHeight="1" x14ac:dyDescent="0.2">
      <c r="A65" s="57" t="s">
        <v>37</v>
      </c>
      <c r="B65" s="48">
        <v>0</v>
      </c>
      <c r="C65" s="48">
        <v>4511.7242352000012</v>
      </c>
      <c r="D65" s="48">
        <v>0</v>
      </c>
      <c r="E65" s="48">
        <v>4519.6587777480581</v>
      </c>
      <c r="F65" s="48">
        <v>4511.7242352000012</v>
      </c>
      <c r="G65" s="48">
        <v>4519.6587777480581</v>
      </c>
    </row>
    <row r="66" spans="1:7" ht="11.25" customHeight="1" x14ac:dyDescent="0.2">
      <c r="A66" s="58">
        <v>44440</v>
      </c>
      <c r="B66" s="48">
        <v>0</v>
      </c>
      <c r="C66" s="48">
        <v>143.27454960000006</v>
      </c>
      <c r="D66" s="48">
        <v>0</v>
      </c>
      <c r="E66" s="48">
        <v>143.52651934606425</v>
      </c>
      <c r="F66" s="48">
        <v>143.27454960000006</v>
      </c>
      <c r="G66" s="48">
        <v>143.52651934606425</v>
      </c>
    </row>
    <row r="67" spans="1:7" ht="11.25" customHeight="1" x14ac:dyDescent="0.2">
      <c r="A67" s="58">
        <v>44470</v>
      </c>
      <c r="B67" s="48">
        <v>0</v>
      </c>
      <c r="C67" s="48">
        <v>308.21983920000002</v>
      </c>
      <c r="D67" s="48">
        <v>0</v>
      </c>
      <c r="E67" s="48">
        <v>308.76188993289003</v>
      </c>
      <c r="F67" s="48">
        <v>308.21983920000002</v>
      </c>
      <c r="G67" s="48">
        <v>308.76188993289003</v>
      </c>
    </row>
    <row r="68" spans="1:7" ht="11.25" customHeight="1" x14ac:dyDescent="0.2">
      <c r="A68" s="58">
        <v>44501</v>
      </c>
      <c r="B68" s="48">
        <v>0</v>
      </c>
      <c r="C68" s="48">
        <v>554.3994456000006</v>
      </c>
      <c r="D68" s="48">
        <v>0</v>
      </c>
      <c r="E68" s="48">
        <v>555.37444002794291</v>
      </c>
      <c r="F68" s="48">
        <v>554.3994456000006</v>
      </c>
      <c r="G68" s="48">
        <v>555.37444002794291</v>
      </c>
    </row>
    <row r="69" spans="1:7" ht="11.25" customHeight="1" x14ac:dyDescent="0.2">
      <c r="A69" s="58">
        <v>44531</v>
      </c>
      <c r="B69" s="48">
        <v>0</v>
      </c>
      <c r="C69" s="48">
        <v>705.10396319999984</v>
      </c>
      <c r="D69" s="48">
        <v>0</v>
      </c>
      <c r="E69" s="48">
        <v>706.34399408512468</v>
      </c>
      <c r="F69" s="48">
        <v>705.10396319999984</v>
      </c>
      <c r="G69" s="48">
        <v>706.34399408512468</v>
      </c>
    </row>
    <row r="70" spans="1:7" ht="11.25" customHeight="1" x14ac:dyDescent="0.2">
      <c r="A70" s="58">
        <v>44562</v>
      </c>
      <c r="B70" s="48">
        <v>0</v>
      </c>
      <c r="C70" s="48">
        <v>600.21758160000013</v>
      </c>
      <c r="D70" s="48">
        <v>0</v>
      </c>
      <c r="E70" s="48">
        <v>601.27315407983849</v>
      </c>
      <c r="F70" s="48">
        <v>600.21758160000013</v>
      </c>
      <c r="G70" s="48">
        <v>601.27315407983849</v>
      </c>
    </row>
    <row r="71" spans="1:7" ht="11.25" customHeight="1" x14ac:dyDescent="0.2">
      <c r="A71" s="58">
        <v>44593</v>
      </c>
      <c r="B71" s="48">
        <v>0</v>
      </c>
      <c r="C71" s="48">
        <v>597.74092560000042</v>
      </c>
      <c r="D71" s="48">
        <v>0</v>
      </c>
      <c r="E71" s="48">
        <v>598.79214250946609</v>
      </c>
      <c r="F71" s="48">
        <v>597.74092560000042</v>
      </c>
      <c r="G71" s="48">
        <v>598.79214250946609</v>
      </c>
    </row>
    <row r="72" spans="1:7" ht="11.25" customHeight="1" x14ac:dyDescent="0.2">
      <c r="A72" s="58">
        <v>44621</v>
      </c>
      <c r="B72" s="48">
        <v>0</v>
      </c>
      <c r="C72" s="48">
        <v>624.48881039999969</v>
      </c>
      <c r="D72" s="48">
        <v>0</v>
      </c>
      <c r="E72" s="48">
        <v>625.58706746949122</v>
      </c>
      <c r="F72" s="48">
        <v>624.48881039999969</v>
      </c>
      <c r="G72" s="48">
        <v>625.58706746949122</v>
      </c>
    </row>
    <row r="73" spans="1:7" ht="11.25" customHeight="1" x14ac:dyDescent="0.2">
      <c r="A73" s="58">
        <v>44652</v>
      </c>
      <c r="B73" s="48">
        <v>0</v>
      </c>
      <c r="C73" s="48">
        <v>463.13467200000031</v>
      </c>
      <c r="D73" s="48">
        <v>0</v>
      </c>
      <c r="E73" s="48">
        <v>463.94916365970647</v>
      </c>
      <c r="F73" s="48">
        <v>463.13467200000031</v>
      </c>
      <c r="G73" s="48">
        <v>463.94916365970647</v>
      </c>
    </row>
    <row r="74" spans="1:7" ht="11.25" customHeight="1" x14ac:dyDescent="0.2">
      <c r="A74" s="58">
        <v>44682</v>
      </c>
      <c r="B74" s="48">
        <v>0</v>
      </c>
      <c r="C74" s="48">
        <v>64.888387200000039</v>
      </c>
      <c r="D74" s="48">
        <v>0</v>
      </c>
      <c r="E74" s="48">
        <v>65.002503143766361</v>
      </c>
      <c r="F74" s="48">
        <v>64.888387200000039</v>
      </c>
      <c r="G74" s="48">
        <v>65.002503143766361</v>
      </c>
    </row>
    <row r="75" spans="1:7" ht="11.25" customHeight="1" x14ac:dyDescent="0.2">
      <c r="A75" s="58">
        <v>44743</v>
      </c>
      <c r="B75" s="48">
        <v>0</v>
      </c>
      <c r="C75" s="48">
        <v>96.094252800000092</v>
      </c>
      <c r="D75" s="48">
        <v>0</v>
      </c>
      <c r="E75" s="48">
        <v>96.263248930463192</v>
      </c>
      <c r="F75" s="48">
        <v>96.094252800000092</v>
      </c>
      <c r="G75" s="48">
        <v>96.263248930463192</v>
      </c>
    </row>
    <row r="76" spans="1:7" ht="11.25" customHeight="1" x14ac:dyDescent="0.2">
      <c r="A76" s="58">
        <v>44774</v>
      </c>
      <c r="B76" s="48">
        <v>0</v>
      </c>
      <c r="C76" s="48">
        <v>354.1618079999995</v>
      </c>
      <c r="D76" s="48">
        <v>0</v>
      </c>
      <c r="E76" s="48">
        <v>354.78465456330423</v>
      </c>
      <c r="F76" s="48">
        <v>354.1618079999995</v>
      </c>
      <c r="G76" s="48">
        <v>354.78465456330423</v>
      </c>
    </row>
    <row r="77" spans="1:7" ht="11.25" customHeight="1" x14ac:dyDescent="0.2">
      <c r="A77" s="51" t="s">
        <v>33</v>
      </c>
      <c r="B77" s="48">
        <v>0</v>
      </c>
      <c r="C77" s="48">
        <v>17237.033050199992</v>
      </c>
      <c r="D77" s="48">
        <v>0</v>
      </c>
      <c r="E77" s="48">
        <v>18339.459719655024</v>
      </c>
      <c r="F77" s="48">
        <v>17237.033050199992</v>
      </c>
      <c r="G77" s="48">
        <v>18339.459719655024</v>
      </c>
    </row>
    <row r="78" spans="1:7" ht="11.25" customHeight="1" x14ac:dyDescent="0.2">
      <c r="A78" s="52" t="s">
        <v>23</v>
      </c>
      <c r="B78" s="48">
        <v>0</v>
      </c>
      <c r="C78" s="48">
        <v>17237.033050199992</v>
      </c>
      <c r="D78" s="48">
        <v>0</v>
      </c>
      <c r="E78" s="48">
        <v>18339.459719655024</v>
      </c>
      <c r="F78" s="48">
        <v>17237.033050199992</v>
      </c>
      <c r="G78" s="48">
        <v>18339.459719655024</v>
      </c>
    </row>
    <row r="79" spans="1:7" ht="11.25" customHeight="1" x14ac:dyDescent="0.2">
      <c r="A79" s="53" t="s">
        <v>46</v>
      </c>
      <c r="B79" s="48">
        <v>0</v>
      </c>
      <c r="C79" s="48">
        <v>17237.033050199992</v>
      </c>
      <c r="D79" s="48">
        <v>0</v>
      </c>
      <c r="E79" s="48">
        <v>18339.459719655024</v>
      </c>
      <c r="F79" s="48">
        <v>17237.033050199992</v>
      </c>
      <c r="G79" s="48">
        <v>18339.459719655024</v>
      </c>
    </row>
    <row r="80" spans="1:7" ht="11.25" customHeight="1" x14ac:dyDescent="0.2">
      <c r="A80" s="54" t="s">
        <v>47</v>
      </c>
      <c r="B80" s="48">
        <v>0</v>
      </c>
      <c r="C80" s="48">
        <v>17237.033050199992</v>
      </c>
      <c r="D80" s="48">
        <v>0</v>
      </c>
      <c r="E80" s="48">
        <v>18339.459719655024</v>
      </c>
      <c r="F80" s="48">
        <v>17237.033050199992</v>
      </c>
      <c r="G80" s="48">
        <v>18339.459719655024</v>
      </c>
    </row>
    <row r="81" spans="1:7" ht="11.25" customHeight="1" x14ac:dyDescent="0.2">
      <c r="A81" s="55" t="s">
        <v>25</v>
      </c>
      <c r="B81" s="48">
        <v>0</v>
      </c>
      <c r="C81" s="48">
        <v>17237.033050199992</v>
      </c>
      <c r="D81" s="48">
        <v>0</v>
      </c>
      <c r="E81" s="48">
        <v>18339.459719655024</v>
      </c>
      <c r="F81" s="48">
        <v>17237.033050199992</v>
      </c>
      <c r="G81" s="48">
        <v>18339.459719655024</v>
      </c>
    </row>
    <row r="82" spans="1:7" ht="11.25" customHeight="1" x14ac:dyDescent="0.2">
      <c r="A82" s="56" t="s">
        <v>25</v>
      </c>
      <c r="B82" s="48">
        <v>0</v>
      </c>
      <c r="C82" s="48">
        <v>17237.033050199992</v>
      </c>
      <c r="D82" s="48">
        <v>0</v>
      </c>
      <c r="E82" s="48">
        <v>18339.459719655024</v>
      </c>
      <c r="F82" s="48">
        <v>17237.033050199992</v>
      </c>
      <c r="G82" s="48">
        <v>18339.459719655024</v>
      </c>
    </row>
    <row r="83" spans="1:7" ht="11.25" customHeight="1" x14ac:dyDescent="0.2">
      <c r="A83" s="57" t="s">
        <v>25</v>
      </c>
      <c r="B83" s="48">
        <v>0</v>
      </c>
      <c r="C83" s="48">
        <v>17237.033050199992</v>
      </c>
      <c r="D83" s="48">
        <v>0</v>
      </c>
      <c r="E83" s="48">
        <v>18339.459719655024</v>
      </c>
      <c r="F83" s="48">
        <v>17237.033050199992</v>
      </c>
      <c r="G83" s="48">
        <v>18339.459719655024</v>
      </c>
    </row>
    <row r="84" spans="1:7" ht="11.25" customHeight="1" x14ac:dyDescent="0.2">
      <c r="A84" s="58">
        <v>44440</v>
      </c>
      <c r="B84" s="48">
        <v>0</v>
      </c>
      <c r="C84" s="48">
        <v>1465.2981767999997</v>
      </c>
      <c r="D84" s="48">
        <v>0</v>
      </c>
      <c r="E84" s="48">
        <v>1559.0140607403287</v>
      </c>
      <c r="F84" s="48">
        <v>1465.2981767999997</v>
      </c>
      <c r="G84" s="48">
        <v>1559.0140607403287</v>
      </c>
    </row>
    <row r="85" spans="1:7" ht="11.25" customHeight="1" x14ac:dyDescent="0.2">
      <c r="A85" s="58">
        <v>44470</v>
      </c>
      <c r="B85" s="48">
        <v>0</v>
      </c>
      <c r="C85" s="48">
        <v>1371.8432777999983</v>
      </c>
      <c r="D85" s="48">
        <v>0</v>
      </c>
      <c r="E85" s="48">
        <v>1459.5820789820139</v>
      </c>
      <c r="F85" s="48">
        <v>1371.8432777999983</v>
      </c>
      <c r="G85" s="48">
        <v>1459.5820789820139</v>
      </c>
    </row>
    <row r="86" spans="1:7" ht="11.25" customHeight="1" x14ac:dyDescent="0.2">
      <c r="A86" s="58">
        <v>44501</v>
      </c>
      <c r="B86" s="48">
        <v>0</v>
      </c>
      <c r="C86" s="48">
        <v>1359.8076551999975</v>
      </c>
      <c r="D86" s="48">
        <v>0</v>
      </c>
      <c r="E86" s="48">
        <v>1446.776695640759</v>
      </c>
      <c r="F86" s="48">
        <v>1359.8076551999975</v>
      </c>
      <c r="G86" s="48">
        <v>1446.776695640759</v>
      </c>
    </row>
    <row r="87" spans="1:7" ht="11.25" customHeight="1" x14ac:dyDescent="0.2">
      <c r="A87" s="58">
        <v>44531</v>
      </c>
      <c r="B87" s="48">
        <v>0</v>
      </c>
      <c r="C87" s="48">
        <v>1450.7745702000009</v>
      </c>
      <c r="D87" s="48">
        <v>0</v>
      </c>
      <c r="E87" s="48">
        <v>1543.5615697316334</v>
      </c>
      <c r="F87" s="48">
        <v>1450.7745702000009</v>
      </c>
      <c r="G87" s="48">
        <v>1543.5615697316334</v>
      </c>
    </row>
    <row r="88" spans="1:7" ht="11.25" customHeight="1" x14ac:dyDescent="0.2">
      <c r="A88" s="58">
        <v>44562</v>
      </c>
      <c r="B88" s="48">
        <v>0</v>
      </c>
      <c r="C88" s="48">
        <v>1435.3801692000015</v>
      </c>
      <c r="D88" s="48">
        <v>0</v>
      </c>
      <c r="E88" s="48">
        <v>1527.1825910393331</v>
      </c>
      <c r="F88" s="48">
        <v>1435.3801692000015</v>
      </c>
      <c r="G88" s="48">
        <v>1527.1825910393331</v>
      </c>
    </row>
    <row r="89" spans="1:7" ht="11.25" customHeight="1" x14ac:dyDescent="0.2">
      <c r="A89" s="58">
        <v>44593</v>
      </c>
      <c r="B89" s="48">
        <v>0</v>
      </c>
      <c r="C89" s="48">
        <v>1232.0807765999971</v>
      </c>
      <c r="D89" s="48">
        <v>0</v>
      </c>
      <c r="E89" s="48">
        <v>1310.8808057634235</v>
      </c>
      <c r="F89" s="48">
        <v>1232.0807765999971</v>
      </c>
      <c r="G89" s="48">
        <v>1310.8808057634235</v>
      </c>
    </row>
    <row r="90" spans="1:7" ht="11.25" customHeight="1" x14ac:dyDescent="0.2">
      <c r="A90" s="58">
        <v>44621</v>
      </c>
      <c r="B90" s="48">
        <v>0</v>
      </c>
      <c r="C90" s="48">
        <v>1444.0881132</v>
      </c>
      <c r="D90" s="48">
        <v>0</v>
      </c>
      <c r="E90" s="48">
        <v>1536.4474678753802</v>
      </c>
      <c r="F90" s="48">
        <v>1444.0881132</v>
      </c>
      <c r="G90" s="48">
        <v>1536.4474678753802</v>
      </c>
    </row>
    <row r="91" spans="1:7" ht="11.25" customHeight="1" x14ac:dyDescent="0.2">
      <c r="A91" s="58">
        <v>44652</v>
      </c>
      <c r="B91" s="48">
        <v>0</v>
      </c>
      <c r="C91" s="48">
        <v>1724.2351116000009</v>
      </c>
      <c r="D91" s="48">
        <v>0</v>
      </c>
      <c r="E91" s="48">
        <v>1834.5117912294202</v>
      </c>
      <c r="F91" s="48">
        <v>1724.2351116000009</v>
      </c>
      <c r="G91" s="48">
        <v>1834.5117912294202</v>
      </c>
    </row>
    <row r="92" spans="1:7" ht="11.25" customHeight="1" x14ac:dyDescent="0.2">
      <c r="A92" s="58">
        <v>44682</v>
      </c>
      <c r="B92" s="48">
        <v>0</v>
      </c>
      <c r="C92" s="48">
        <v>1342.3295675999998</v>
      </c>
      <c r="D92" s="48">
        <v>0</v>
      </c>
      <c r="E92" s="48">
        <v>1428.1807642769772</v>
      </c>
      <c r="F92" s="48">
        <v>1342.3295675999998</v>
      </c>
      <c r="G92" s="48">
        <v>1428.1807642769772</v>
      </c>
    </row>
    <row r="93" spans="1:7" ht="11.25" customHeight="1" x14ac:dyDescent="0.2">
      <c r="A93" s="58">
        <v>44713</v>
      </c>
      <c r="B93" s="48">
        <v>0</v>
      </c>
      <c r="C93" s="48">
        <v>1369.2308946000016</v>
      </c>
      <c r="D93" s="48">
        <v>0</v>
      </c>
      <c r="E93" s="48">
        <v>1456.8026159312026</v>
      </c>
      <c r="F93" s="48">
        <v>1369.2308946000016</v>
      </c>
      <c r="G93" s="48">
        <v>1456.8026159312026</v>
      </c>
    </row>
    <row r="94" spans="1:7" ht="11.25" customHeight="1" x14ac:dyDescent="0.2">
      <c r="A94" s="58">
        <v>44743</v>
      </c>
      <c r="B94" s="48">
        <v>0</v>
      </c>
      <c r="C94" s="48">
        <v>1544.8825649999994</v>
      </c>
      <c r="D94" s="48">
        <v>0</v>
      </c>
      <c r="E94" s="48">
        <v>1643.6884172526491</v>
      </c>
      <c r="F94" s="48">
        <v>1544.8825649999994</v>
      </c>
      <c r="G94" s="48">
        <v>1643.6884172526491</v>
      </c>
    </row>
    <row r="95" spans="1:7" ht="11.25" customHeight="1" x14ac:dyDescent="0.2">
      <c r="A95" s="58">
        <v>44774</v>
      </c>
      <c r="B95" s="48">
        <v>0</v>
      </c>
      <c r="C95" s="48">
        <v>1497.0821723999973</v>
      </c>
      <c r="D95" s="48">
        <v>0</v>
      </c>
      <c r="E95" s="48">
        <v>1592.8308611919051</v>
      </c>
      <c r="F95" s="48">
        <v>1497.0821723999973</v>
      </c>
      <c r="G95" s="48">
        <v>1592.8308611919051</v>
      </c>
    </row>
    <row r="96" spans="1:7" ht="11.25" customHeight="1" x14ac:dyDescent="0.2">
      <c r="A96" s="50" t="s">
        <v>591</v>
      </c>
      <c r="B96" s="48">
        <v>0</v>
      </c>
      <c r="C96" s="48">
        <v>22626.906358999993</v>
      </c>
      <c r="D96" s="48">
        <v>0</v>
      </c>
      <c r="E96" s="48">
        <v>22273.564120683382</v>
      </c>
      <c r="F96" s="48">
        <v>22626.906358999993</v>
      </c>
      <c r="G96" s="48">
        <v>22273.564120683382</v>
      </c>
    </row>
    <row r="97" spans="1:7" ht="11.25" customHeight="1" x14ac:dyDescent="0.2">
      <c r="A97" s="51" t="s">
        <v>22</v>
      </c>
      <c r="B97" s="48">
        <v>0</v>
      </c>
      <c r="C97" s="48">
        <v>22626.906358999993</v>
      </c>
      <c r="D97" s="48">
        <v>0</v>
      </c>
      <c r="E97" s="48">
        <v>22273.564120683382</v>
      </c>
      <c r="F97" s="48">
        <v>22626.906358999993</v>
      </c>
      <c r="G97" s="48">
        <v>22273.564120683382</v>
      </c>
    </row>
    <row r="98" spans="1:7" ht="11.25" customHeight="1" x14ac:dyDescent="0.2">
      <c r="A98" s="52" t="s">
        <v>23</v>
      </c>
      <c r="B98" s="48">
        <v>0</v>
      </c>
      <c r="C98" s="48">
        <v>22626.906358999993</v>
      </c>
      <c r="D98" s="48">
        <v>0</v>
      </c>
      <c r="E98" s="48">
        <v>22273.564120683382</v>
      </c>
      <c r="F98" s="48">
        <v>22626.906358999993</v>
      </c>
      <c r="G98" s="48">
        <v>22273.564120683382</v>
      </c>
    </row>
    <row r="99" spans="1:7" ht="11.25" customHeight="1" x14ac:dyDescent="0.2">
      <c r="A99" s="53" t="s">
        <v>24</v>
      </c>
      <c r="B99" s="48">
        <v>0</v>
      </c>
      <c r="C99" s="48">
        <v>22626.906358999993</v>
      </c>
      <c r="D99" s="48">
        <v>0</v>
      </c>
      <c r="E99" s="48">
        <v>22273.564120683382</v>
      </c>
      <c r="F99" s="48">
        <v>22626.906358999993</v>
      </c>
      <c r="G99" s="48">
        <v>22273.564120683382</v>
      </c>
    </row>
    <row r="100" spans="1:7" ht="11.25" customHeight="1" x14ac:dyDescent="0.2">
      <c r="A100" s="54" t="s">
        <v>29</v>
      </c>
      <c r="B100" s="48">
        <v>0</v>
      </c>
      <c r="C100" s="48">
        <v>8944.5087189999977</v>
      </c>
      <c r="D100" s="48">
        <v>0</v>
      </c>
      <c r="E100" s="48">
        <v>8804.6711276130536</v>
      </c>
      <c r="F100" s="48">
        <v>8944.5087190000013</v>
      </c>
      <c r="G100" s="48">
        <v>8804.6711276130536</v>
      </c>
    </row>
    <row r="101" spans="1:7" ht="11.25" customHeight="1" x14ac:dyDescent="0.2">
      <c r="A101" s="55" t="s">
        <v>25</v>
      </c>
      <c r="B101" s="48">
        <v>0</v>
      </c>
      <c r="C101" s="48">
        <v>8944.5087189999977</v>
      </c>
      <c r="D101" s="48">
        <v>0</v>
      </c>
      <c r="E101" s="48">
        <v>8804.6711276130536</v>
      </c>
      <c r="F101" s="48">
        <v>8944.5087190000013</v>
      </c>
      <c r="G101" s="48">
        <v>8804.6711276130536</v>
      </c>
    </row>
    <row r="102" spans="1:7" ht="11.25" customHeight="1" x14ac:dyDescent="0.2">
      <c r="A102" s="56" t="s">
        <v>25</v>
      </c>
      <c r="B102" s="48">
        <v>0</v>
      </c>
      <c r="C102" s="48">
        <v>8944.5087189999977</v>
      </c>
      <c r="D102" s="48">
        <v>0</v>
      </c>
      <c r="E102" s="48">
        <v>8804.6711276130536</v>
      </c>
      <c r="F102" s="48">
        <v>8944.5087190000013</v>
      </c>
      <c r="G102" s="48">
        <v>8804.6711276130536</v>
      </c>
    </row>
    <row r="103" spans="1:7" ht="11.25" customHeight="1" x14ac:dyDescent="0.2">
      <c r="A103" s="57" t="s">
        <v>25</v>
      </c>
      <c r="B103" s="48">
        <v>0</v>
      </c>
      <c r="C103" s="48">
        <v>8944.5087189999977</v>
      </c>
      <c r="D103" s="48">
        <v>0</v>
      </c>
      <c r="E103" s="48">
        <v>8804.6711276130536</v>
      </c>
      <c r="F103" s="48">
        <v>8944.5087190000013</v>
      </c>
      <c r="G103" s="48">
        <v>8804.6711276130536</v>
      </c>
    </row>
    <row r="104" spans="1:7" ht="11.25" customHeight="1" x14ac:dyDescent="0.2">
      <c r="A104" s="58">
        <v>44440</v>
      </c>
      <c r="B104" s="48">
        <v>0</v>
      </c>
      <c r="C104" s="48">
        <v>301.24749999999995</v>
      </c>
      <c r="D104" s="48">
        <v>0</v>
      </c>
      <c r="E104" s="48">
        <v>296.53783224282756</v>
      </c>
      <c r="F104" s="48">
        <v>301.24749999999995</v>
      </c>
      <c r="G104" s="48">
        <v>296.53783224282756</v>
      </c>
    </row>
    <row r="105" spans="1:7" ht="11.25" customHeight="1" x14ac:dyDescent="0.2">
      <c r="A105" s="58">
        <v>44470</v>
      </c>
      <c r="B105" s="48">
        <v>0</v>
      </c>
      <c r="C105" s="48">
        <v>308.59499999999997</v>
      </c>
      <c r="D105" s="48">
        <v>0</v>
      </c>
      <c r="E105" s="48">
        <v>303.77046229753074</v>
      </c>
      <c r="F105" s="48">
        <v>308.59499999999997</v>
      </c>
      <c r="G105" s="48">
        <v>303.77046229753074</v>
      </c>
    </row>
    <row r="106" spans="1:7" ht="11.25" customHeight="1" x14ac:dyDescent="0.2">
      <c r="A106" s="58">
        <v>44501</v>
      </c>
      <c r="B106" s="48">
        <v>0</v>
      </c>
      <c r="C106" s="48">
        <v>335.04599999999994</v>
      </c>
      <c r="D106" s="48">
        <v>0</v>
      </c>
      <c r="E106" s="48">
        <v>329.80793049446191</v>
      </c>
      <c r="F106" s="48">
        <v>335.04599999999994</v>
      </c>
      <c r="G106" s="48">
        <v>329.80793049446191</v>
      </c>
    </row>
    <row r="107" spans="1:7" ht="11.25" customHeight="1" x14ac:dyDescent="0.2">
      <c r="A107" s="58">
        <v>44531</v>
      </c>
      <c r="B107" s="48">
        <v>0</v>
      </c>
      <c r="C107" s="48">
        <v>335.04599999999994</v>
      </c>
      <c r="D107" s="48">
        <v>0</v>
      </c>
      <c r="E107" s="48">
        <v>329.80793049446191</v>
      </c>
      <c r="F107" s="48">
        <v>335.04599999999994</v>
      </c>
      <c r="G107" s="48">
        <v>329.80793049446191</v>
      </c>
    </row>
    <row r="108" spans="1:7" ht="11.25" customHeight="1" x14ac:dyDescent="0.2">
      <c r="A108" s="58">
        <v>44562</v>
      </c>
      <c r="B108" s="48">
        <v>0</v>
      </c>
      <c r="C108" s="48">
        <v>343.86299999999994</v>
      </c>
      <c r="D108" s="48">
        <v>0</v>
      </c>
      <c r="E108" s="48">
        <v>338.48708656010564</v>
      </c>
      <c r="F108" s="48">
        <v>343.86299999999994</v>
      </c>
      <c r="G108" s="48">
        <v>338.48708656010564</v>
      </c>
    </row>
    <row r="109" spans="1:7" ht="11.25" customHeight="1" x14ac:dyDescent="0.2">
      <c r="A109" s="58">
        <v>44593</v>
      </c>
      <c r="B109" s="48">
        <v>0</v>
      </c>
      <c r="C109" s="48">
        <v>665.24268999999993</v>
      </c>
      <c r="D109" s="48">
        <v>0</v>
      </c>
      <c r="E109" s="48">
        <v>654.84232515281974</v>
      </c>
      <c r="F109" s="48">
        <v>665.24268999999993</v>
      </c>
      <c r="G109" s="48">
        <v>654.84232515281974</v>
      </c>
    </row>
    <row r="110" spans="1:7" ht="11.25" customHeight="1" x14ac:dyDescent="0.2">
      <c r="A110" s="58">
        <v>44621</v>
      </c>
      <c r="B110" s="48">
        <v>0</v>
      </c>
      <c r="C110" s="48">
        <v>687.72599999999989</v>
      </c>
      <c r="D110" s="48">
        <v>0</v>
      </c>
      <c r="E110" s="48">
        <v>676.97417312021128</v>
      </c>
      <c r="F110" s="48">
        <v>687.72599999999989</v>
      </c>
      <c r="G110" s="48">
        <v>676.97417312021128</v>
      </c>
    </row>
    <row r="111" spans="1:7" ht="11.25" customHeight="1" x14ac:dyDescent="0.2">
      <c r="A111" s="58">
        <v>44652</v>
      </c>
      <c r="B111" s="48">
        <v>0</v>
      </c>
      <c r="C111" s="48">
        <v>1199.1119999999999</v>
      </c>
      <c r="D111" s="48">
        <v>0</v>
      </c>
      <c r="E111" s="48">
        <v>1180.3652249275481</v>
      </c>
      <c r="F111" s="48">
        <v>1199.1119999999999</v>
      </c>
      <c r="G111" s="48">
        <v>1180.3652249275481</v>
      </c>
    </row>
    <row r="112" spans="1:7" ht="11.25" customHeight="1" x14ac:dyDescent="0.2">
      <c r="A112" s="58">
        <v>44682</v>
      </c>
      <c r="B112" s="48">
        <v>0</v>
      </c>
      <c r="C112" s="48">
        <v>1221.1104589999998</v>
      </c>
      <c r="D112" s="48">
        <v>0</v>
      </c>
      <c r="E112" s="48">
        <v>1202.019719311329</v>
      </c>
      <c r="F112" s="48">
        <v>1221.1104589999998</v>
      </c>
      <c r="G112" s="48">
        <v>1202.019719311329</v>
      </c>
    </row>
    <row r="113" spans="1:7" ht="11.25" customHeight="1" x14ac:dyDescent="0.2">
      <c r="A113" s="58">
        <v>44713</v>
      </c>
      <c r="B113" s="48">
        <v>0</v>
      </c>
      <c r="C113" s="48">
        <v>1246.28307</v>
      </c>
      <c r="D113" s="48">
        <v>0</v>
      </c>
      <c r="E113" s="48">
        <v>1226.7987098787421</v>
      </c>
      <c r="F113" s="48">
        <v>1246.28307</v>
      </c>
      <c r="G113" s="48">
        <v>1226.7987098787421</v>
      </c>
    </row>
    <row r="114" spans="1:7" ht="11.25" customHeight="1" x14ac:dyDescent="0.2">
      <c r="A114" s="58">
        <v>44743</v>
      </c>
      <c r="B114" s="48">
        <v>0</v>
      </c>
      <c r="C114" s="48">
        <v>1146.21</v>
      </c>
      <c r="D114" s="48">
        <v>0</v>
      </c>
      <c r="E114" s="48">
        <v>1128.2902885336857</v>
      </c>
      <c r="F114" s="48">
        <v>1146.21</v>
      </c>
      <c r="G114" s="48">
        <v>1128.2902885336857</v>
      </c>
    </row>
    <row r="115" spans="1:7" ht="11.25" customHeight="1" x14ac:dyDescent="0.2">
      <c r="A115" s="58">
        <v>44774</v>
      </c>
      <c r="B115" s="48">
        <v>0</v>
      </c>
      <c r="C115" s="48">
        <v>1155.027</v>
      </c>
      <c r="D115" s="48">
        <v>0</v>
      </c>
      <c r="E115" s="48">
        <v>1136.9694445993293</v>
      </c>
      <c r="F115" s="48">
        <v>1155.027</v>
      </c>
      <c r="G115" s="48">
        <v>1136.9694445993293</v>
      </c>
    </row>
    <row r="116" spans="1:7" ht="11.25" customHeight="1" x14ac:dyDescent="0.2">
      <c r="A116" s="54" t="s">
        <v>30</v>
      </c>
      <c r="B116" s="48">
        <v>0</v>
      </c>
      <c r="C116" s="48">
        <v>11020.704099999999</v>
      </c>
      <c r="D116" s="48">
        <v>0</v>
      </c>
      <c r="E116" s="48">
        <v>10848.499997128221</v>
      </c>
      <c r="F116" s="48">
        <v>11020.704099999999</v>
      </c>
      <c r="G116" s="48">
        <v>10848.499997128221</v>
      </c>
    </row>
    <row r="117" spans="1:7" ht="11.25" customHeight="1" x14ac:dyDescent="0.2">
      <c r="A117" s="55" t="s">
        <v>25</v>
      </c>
      <c r="B117" s="48">
        <v>0</v>
      </c>
      <c r="C117" s="48">
        <v>11020.704099999999</v>
      </c>
      <c r="D117" s="48">
        <v>0</v>
      </c>
      <c r="E117" s="48">
        <v>10848.499997128221</v>
      </c>
      <c r="F117" s="48">
        <v>11020.704099999999</v>
      </c>
      <c r="G117" s="48">
        <v>10848.499997128221</v>
      </c>
    </row>
    <row r="118" spans="1:7" ht="11.25" customHeight="1" x14ac:dyDescent="0.2">
      <c r="A118" s="56" t="s">
        <v>25</v>
      </c>
      <c r="B118" s="48">
        <v>0</v>
      </c>
      <c r="C118" s="48">
        <v>11020.704099999999</v>
      </c>
      <c r="D118" s="48">
        <v>0</v>
      </c>
      <c r="E118" s="48">
        <v>10848.499997128221</v>
      </c>
      <c r="F118" s="48">
        <v>11020.704099999999</v>
      </c>
      <c r="G118" s="48">
        <v>10848.499997128221</v>
      </c>
    </row>
    <row r="119" spans="1:7" ht="11.25" customHeight="1" x14ac:dyDescent="0.2">
      <c r="A119" s="57" t="s">
        <v>25</v>
      </c>
      <c r="B119" s="48">
        <v>0</v>
      </c>
      <c r="C119" s="48">
        <v>11020.704099999999</v>
      </c>
      <c r="D119" s="48">
        <v>0</v>
      </c>
      <c r="E119" s="48">
        <v>10848.499997128221</v>
      </c>
      <c r="F119" s="48">
        <v>11020.704099999999</v>
      </c>
      <c r="G119" s="48">
        <v>10848.499997128221</v>
      </c>
    </row>
    <row r="120" spans="1:7" ht="11.25" customHeight="1" x14ac:dyDescent="0.2">
      <c r="A120" s="58">
        <v>44440</v>
      </c>
      <c r="B120" s="48">
        <v>0</v>
      </c>
      <c r="C120" s="48">
        <v>374.38019999999989</v>
      </c>
      <c r="D120" s="48">
        <v>0</v>
      </c>
      <c r="E120" s="48">
        <v>368.53031909502619</v>
      </c>
      <c r="F120" s="48">
        <v>374.38019999999989</v>
      </c>
      <c r="G120" s="48">
        <v>368.53031909502619</v>
      </c>
    </row>
    <row r="121" spans="1:7" ht="11.25" customHeight="1" x14ac:dyDescent="0.2">
      <c r="A121" s="58">
        <v>44470</v>
      </c>
      <c r="B121" s="48">
        <v>0</v>
      </c>
      <c r="C121" s="48">
        <v>405.84983999999992</v>
      </c>
      <c r="D121" s="48">
        <v>0</v>
      </c>
      <c r="E121" s="48">
        <v>399.50822997547772</v>
      </c>
      <c r="F121" s="48">
        <v>405.84983999999992</v>
      </c>
      <c r="G121" s="48">
        <v>399.50822997547772</v>
      </c>
    </row>
    <row r="122" spans="1:7" ht="11.25" customHeight="1" x14ac:dyDescent="0.2">
      <c r="A122" s="58">
        <v>44501</v>
      </c>
      <c r="B122" s="48">
        <v>0</v>
      </c>
      <c r="C122" s="48">
        <v>453.0542999999999</v>
      </c>
      <c r="D122" s="48">
        <v>0</v>
      </c>
      <c r="E122" s="48">
        <v>445.9750962961549</v>
      </c>
      <c r="F122" s="48">
        <v>453.0542999999999</v>
      </c>
      <c r="G122" s="48">
        <v>445.9750962961549</v>
      </c>
    </row>
    <row r="123" spans="1:7" ht="11.25" customHeight="1" x14ac:dyDescent="0.2">
      <c r="A123" s="58">
        <v>44531</v>
      </c>
      <c r="B123" s="48">
        <v>0</v>
      </c>
      <c r="C123" s="48">
        <v>442.02183999999988</v>
      </c>
      <c r="D123" s="48">
        <v>0</v>
      </c>
      <c r="E123" s="48">
        <v>435.11502409093913</v>
      </c>
      <c r="F123" s="48">
        <v>442.02183999999988</v>
      </c>
      <c r="G123" s="48">
        <v>435.11502409093913</v>
      </c>
    </row>
    <row r="124" spans="1:7" ht="11.25" customHeight="1" x14ac:dyDescent="0.2">
      <c r="A124" s="58">
        <v>44562</v>
      </c>
      <c r="B124" s="48">
        <v>0</v>
      </c>
      <c r="C124" s="48">
        <v>456.30977999999993</v>
      </c>
      <c r="D124" s="48">
        <v>0</v>
      </c>
      <c r="E124" s="48">
        <v>449.17970776654647</v>
      </c>
      <c r="F124" s="48">
        <v>456.30977999999993</v>
      </c>
      <c r="G124" s="48">
        <v>449.17970776654647</v>
      </c>
    </row>
    <row r="125" spans="1:7" ht="11.25" customHeight="1" x14ac:dyDescent="0.2">
      <c r="A125" s="58">
        <v>44593</v>
      </c>
      <c r="B125" s="48">
        <v>0</v>
      </c>
      <c r="C125" s="48">
        <v>864.14907999999969</v>
      </c>
      <c r="D125" s="48">
        <v>0</v>
      </c>
      <c r="E125" s="48">
        <v>850.64631141837447</v>
      </c>
      <c r="F125" s="48">
        <v>864.14907999999969</v>
      </c>
      <c r="G125" s="48">
        <v>850.64631141837447</v>
      </c>
    </row>
    <row r="126" spans="1:7" ht="11.25" customHeight="1" x14ac:dyDescent="0.2">
      <c r="A126" s="58">
        <v>44621</v>
      </c>
      <c r="B126" s="48">
        <v>0</v>
      </c>
      <c r="C126" s="48">
        <v>876.08583999999985</v>
      </c>
      <c r="D126" s="48">
        <v>0</v>
      </c>
      <c r="E126" s="48">
        <v>862.39655347647681</v>
      </c>
      <c r="F126" s="48">
        <v>876.08583999999985</v>
      </c>
      <c r="G126" s="48">
        <v>862.39655347647681</v>
      </c>
    </row>
    <row r="127" spans="1:7" ht="11.25" customHeight="1" x14ac:dyDescent="0.2">
      <c r="A127" s="58">
        <v>44652</v>
      </c>
      <c r="B127" s="48">
        <v>0</v>
      </c>
      <c r="C127" s="48">
        <v>1466.4128799999999</v>
      </c>
      <c r="D127" s="48">
        <v>0</v>
      </c>
      <c r="E127" s="48">
        <v>1443.4994334408079</v>
      </c>
      <c r="F127" s="48">
        <v>1466.4128799999999</v>
      </c>
      <c r="G127" s="48">
        <v>1443.4994334408079</v>
      </c>
    </row>
    <row r="128" spans="1:7" ht="11.25" customHeight="1" x14ac:dyDescent="0.2">
      <c r="A128" s="58">
        <v>44682</v>
      </c>
      <c r="B128" s="48">
        <v>0</v>
      </c>
      <c r="C128" s="48">
        <v>1478.1687799999997</v>
      </c>
      <c r="D128" s="48">
        <v>0</v>
      </c>
      <c r="E128" s="48">
        <v>1455.071641528333</v>
      </c>
      <c r="F128" s="48">
        <v>1478.1687799999997</v>
      </c>
      <c r="G128" s="48">
        <v>1455.071641528333</v>
      </c>
    </row>
    <row r="129" spans="1:7" ht="11.25" customHeight="1" x14ac:dyDescent="0.2">
      <c r="A129" s="58">
        <v>44713</v>
      </c>
      <c r="B129" s="48">
        <v>0</v>
      </c>
      <c r="C129" s="48">
        <v>1502.5848799999997</v>
      </c>
      <c r="D129" s="48">
        <v>0</v>
      </c>
      <c r="E129" s="48">
        <v>1479.1062275562695</v>
      </c>
      <c r="F129" s="48">
        <v>1502.5848799999997</v>
      </c>
      <c r="G129" s="48">
        <v>1479.1062275562695</v>
      </c>
    </row>
    <row r="130" spans="1:7" ht="11.25" customHeight="1" x14ac:dyDescent="0.2">
      <c r="A130" s="58">
        <v>44743</v>
      </c>
      <c r="B130" s="48">
        <v>0</v>
      </c>
      <c r="C130" s="48">
        <v>1332.0338999999997</v>
      </c>
      <c r="D130" s="48">
        <v>0</v>
      </c>
      <c r="E130" s="48">
        <v>1311.2201933018687</v>
      </c>
      <c r="F130" s="48">
        <v>1332.0338999999997</v>
      </c>
      <c r="G130" s="48">
        <v>1311.2201933018687</v>
      </c>
    </row>
    <row r="131" spans="1:7" ht="11.25" customHeight="1" x14ac:dyDescent="0.2">
      <c r="A131" s="58">
        <v>44774</v>
      </c>
      <c r="B131" s="48">
        <v>0</v>
      </c>
      <c r="C131" s="48">
        <v>1369.6527799999997</v>
      </c>
      <c r="D131" s="48">
        <v>0</v>
      </c>
      <c r="E131" s="48">
        <v>1348.2512591819486</v>
      </c>
      <c r="F131" s="48">
        <v>1369.6527799999997</v>
      </c>
      <c r="G131" s="48">
        <v>1348.2512591819486</v>
      </c>
    </row>
    <row r="132" spans="1:7" ht="11.25" customHeight="1" x14ac:dyDescent="0.2">
      <c r="A132" s="54" t="s">
        <v>31</v>
      </c>
      <c r="B132" s="48">
        <v>0</v>
      </c>
      <c r="C132" s="48">
        <v>2661.6935399999988</v>
      </c>
      <c r="D132" s="48">
        <v>0</v>
      </c>
      <c r="E132" s="48">
        <v>2620.3929959420975</v>
      </c>
      <c r="F132" s="48">
        <v>2661.6935399999988</v>
      </c>
      <c r="G132" s="48">
        <v>2620.3929959420975</v>
      </c>
    </row>
    <row r="133" spans="1:7" ht="11.25" customHeight="1" x14ac:dyDescent="0.2">
      <c r="A133" s="55" t="s">
        <v>25</v>
      </c>
      <c r="B133" s="48">
        <v>0</v>
      </c>
      <c r="C133" s="48">
        <v>2661.6935399999988</v>
      </c>
      <c r="D133" s="48">
        <v>0</v>
      </c>
      <c r="E133" s="48">
        <v>2620.3929959420975</v>
      </c>
      <c r="F133" s="48">
        <v>2661.6935399999988</v>
      </c>
      <c r="G133" s="48">
        <v>2620.3929959420975</v>
      </c>
    </row>
    <row r="134" spans="1:7" ht="11.25" customHeight="1" x14ac:dyDescent="0.2">
      <c r="A134" s="56" t="s">
        <v>25</v>
      </c>
      <c r="B134" s="48">
        <v>0</v>
      </c>
      <c r="C134" s="48">
        <v>2661.6935399999988</v>
      </c>
      <c r="D134" s="48">
        <v>0</v>
      </c>
      <c r="E134" s="48">
        <v>2620.3929959420975</v>
      </c>
      <c r="F134" s="48">
        <v>2661.6935399999988</v>
      </c>
      <c r="G134" s="48">
        <v>2620.3929959420975</v>
      </c>
    </row>
    <row r="135" spans="1:7" ht="11.25" customHeight="1" x14ac:dyDescent="0.2">
      <c r="A135" s="57" t="s">
        <v>25</v>
      </c>
      <c r="B135" s="48">
        <v>0</v>
      </c>
      <c r="C135" s="48">
        <v>2661.6935399999988</v>
      </c>
      <c r="D135" s="48">
        <v>0</v>
      </c>
      <c r="E135" s="48">
        <v>2620.3929959420975</v>
      </c>
      <c r="F135" s="48">
        <v>2661.6935399999988</v>
      </c>
      <c r="G135" s="48">
        <v>2620.3929959420975</v>
      </c>
    </row>
    <row r="136" spans="1:7" ht="11.25" customHeight="1" x14ac:dyDescent="0.2">
      <c r="A136" s="58">
        <v>44440</v>
      </c>
      <c r="B136" s="48">
        <v>0</v>
      </c>
      <c r="C136" s="48">
        <v>94.62452999999995</v>
      </c>
      <c r="D136" s="48">
        <v>0</v>
      </c>
      <c r="E136" s="48">
        <v>93.156275104576068</v>
      </c>
      <c r="F136" s="48">
        <v>94.62452999999995</v>
      </c>
      <c r="G136" s="48">
        <v>93.156275104576068</v>
      </c>
    </row>
    <row r="137" spans="1:7" ht="11.25" customHeight="1" x14ac:dyDescent="0.2">
      <c r="A137" s="58">
        <v>44470</v>
      </c>
      <c r="B137" s="48">
        <v>0</v>
      </c>
      <c r="C137" s="48">
        <v>99.552419999999955</v>
      </c>
      <c r="D137" s="48">
        <v>0</v>
      </c>
      <c r="E137" s="48">
        <v>98.00770080280769</v>
      </c>
      <c r="F137" s="48">
        <v>99.552419999999955</v>
      </c>
      <c r="G137" s="48">
        <v>98.00770080280769</v>
      </c>
    </row>
    <row r="138" spans="1:7" ht="11.25" customHeight="1" x14ac:dyDescent="0.2">
      <c r="A138" s="58">
        <v>44501</v>
      </c>
      <c r="B138" s="48">
        <v>0</v>
      </c>
      <c r="C138" s="48">
        <v>101.90333999999996</v>
      </c>
      <c r="D138" s="48">
        <v>0</v>
      </c>
      <c r="E138" s="48">
        <v>100.32214242031269</v>
      </c>
      <c r="F138" s="48">
        <v>101.90333999999996</v>
      </c>
      <c r="G138" s="48">
        <v>100.32214242031269</v>
      </c>
    </row>
    <row r="139" spans="1:7" ht="11.25" customHeight="1" x14ac:dyDescent="0.2">
      <c r="A139" s="58">
        <v>44531</v>
      </c>
      <c r="B139" s="48">
        <v>0</v>
      </c>
      <c r="C139" s="48">
        <v>117.59120999999995</v>
      </c>
      <c r="D139" s="48">
        <v>0</v>
      </c>
      <c r="E139" s="48">
        <v>115.7665893678941</v>
      </c>
      <c r="F139" s="48">
        <v>117.59120999999995</v>
      </c>
      <c r="G139" s="48">
        <v>115.7665893678941</v>
      </c>
    </row>
    <row r="140" spans="1:7" ht="11.25" customHeight="1" x14ac:dyDescent="0.2">
      <c r="A140" s="58">
        <v>44562</v>
      </c>
      <c r="B140" s="48">
        <v>0</v>
      </c>
      <c r="C140" s="48">
        <v>112.79894999999995</v>
      </c>
      <c r="D140" s="48">
        <v>0</v>
      </c>
      <c r="E140" s="48">
        <v>111.04868914759545</v>
      </c>
      <c r="F140" s="48">
        <v>112.79894999999995</v>
      </c>
      <c r="G140" s="48">
        <v>111.04868914759545</v>
      </c>
    </row>
    <row r="141" spans="1:7" ht="11.25" customHeight="1" x14ac:dyDescent="0.2">
      <c r="A141" s="58">
        <v>44593</v>
      </c>
      <c r="B141" s="48">
        <v>0</v>
      </c>
      <c r="C141" s="48">
        <v>192.14249999999993</v>
      </c>
      <c r="D141" s="48">
        <v>0</v>
      </c>
      <c r="E141" s="48">
        <v>189.16109373838904</v>
      </c>
      <c r="F141" s="48">
        <v>192.14249999999993</v>
      </c>
      <c r="G141" s="48">
        <v>189.16109373838904</v>
      </c>
    </row>
    <row r="142" spans="1:7" ht="11.25" customHeight="1" x14ac:dyDescent="0.2">
      <c r="A142" s="58">
        <v>44621</v>
      </c>
      <c r="B142" s="48">
        <v>0</v>
      </c>
      <c r="C142" s="48">
        <v>190.6505699999999</v>
      </c>
      <c r="D142" s="48">
        <v>0</v>
      </c>
      <c r="E142" s="48">
        <v>187.69231348112626</v>
      </c>
      <c r="F142" s="48">
        <v>190.6505699999999</v>
      </c>
      <c r="G142" s="48">
        <v>187.69231348112626</v>
      </c>
    </row>
    <row r="143" spans="1:7" ht="11.25" customHeight="1" x14ac:dyDescent="0.2">
      <c r="A143" s="58">
        <v>44652</v>
      </c>
      <c r="B143" s="48">
        <v>0</v>
      </c>
      <c r="C143" s="48">
        <v>360.59495999999984</v>
      </c>
      <c r="D143" s="48">
        <v>0</v>
      </c>
      <c r="E143" s="48">
        <v>354.99973733115087</v>
      </c>
      <c r="F143" s="48">
        <v>360.59495999999984</v>
      </c>
      <c r="G143" s="48">
        <v>354.99973733115087</v>
      </c>
    </row>
    <row r="144" spans="1:7" ht="11.25" customHeight="1" x14ac:dyDescent="0.2">
      <c r="A144" s="58">
        <v>44682</v>
      </c>
      <c r="B144" s="48">
        <v>0</v>
      </c>
      <c r="C144" s="48">
        <v>357.79193999999984</v>
      </c>
      <c r="D144" s="48">
        <v>0</v>
      </c>
      <c r="E144" s="48">
        <v>352.24021078720256</v>
      </c>
      <c r="F144" s="48">
        <v>357.79193999999984</v>
      </c>
      <c r="G144" s="48">
        <v>352.24021078720256</v>
      </c>
    </row>
    <row r="145" spans="1:7" ht="11.25" customHeight="1" x14ac:dyDescent="0.2">
      <c r="A145" s="58">
        <v>44713</v>
      </c>
      <c r="B145" s="48">
        <v>0</v>
      </c>
      <c r="C145" s="48">
        <v>358.37966999999981</v>
      </c>
      <c r="D145" s="48">
        <v>0</v>
      </c>
      <c r="E145" s="48">
        <v>352.81882119157882</v>
      </c>
      <c r="F145" s="48">
        <v>358.37966999999981</v>
      </c>
      <c r="G145" s="48">
        <v>352.81882119157882</v>
      </c>
    </row>
    <row r="146" spans="1:7" ht="11.25" customHeight="1" x14ac:dyDescent="0.2">
      <c r="A146" s="58">
        <v>44743</v>
      </c>
      <c r="B146" s="48">
        <v>0</v>
      </c>
      <c r="C146" s="48">
        <v>347.9361599999998</v>
      </c>
      <c r="D146" s="48">
        <v>0</v>
      </c>
      <c r="E146" s="48">
        <v>342.53735939073931</v>
      </c>
      <c r="F146" s="48">
        <v>347.9361599999998</v>
      </c>
      <c r="G146" s="48">
        <v>342.53735939073931</v>
      </c>
    </row>
    <row r="147" spans="1:7" ht="11.25" customHeight="1" x14ac:dyDescent="0.2">
      <c r="A147" s="58">
        <v>44774</v>
      </c>
      <c r="B147" s="48">
        <v>0</v>
      </c>
      <c r="C147" s="48">
        <v>327.72728999999981</v>
      </c>
      <c r="D147" s="48">
        <v>0</v>
      </c>
      <c r="E147" s="48">
        <v>322.64206317872521</v>
      </c>
      <c r="F147" s="48">
        <v>327.72728999999981</v>
      </c>
      <c r="G147" s="48">
        <v>322.64206317872521</v>
      </c>
    </row>
    <row r="148" spans="1:7" ht="11.25" customHeight="1" x14ac:dyDescent="0.2">
      <c r="A148" s="54" t="s">
        <v>32</v>
      </c>
      <c r="B148" s="48">
        <v>0</v>
      </c>
      <c r="C148" s="48">
        <v>0</v>
      </c>
      <c r="D148" s="48">
        <v>0</v>
      </c>
      <c r="E148" s="48">
        <v>0</v>
      </c>
      <c r="F148" s="48">
        <v>0</v>
      </c>
      <c r="G148" s="48">
        <v>0</v>
      </c>
    </row>
    <row r="149" spans="1:7" ht="11.25" customHeight="1" x14ac:dyDescent="0.2">
      <c r="A149" s="55" t="s">
        <v>25</v>
      </c>
      <c r="B149" s="48">
        <v>0</v>
      </c>
      <c r="C149" s="48">
        <v>0</v>
      </c>
      <c r="D149" s="48">
        <v>0</v>
      </c>
      <c r="E149" s="48">
        <v>0</v>
      </c>
      <c r="F149" s="48">
        <v>0</v>
      </c>
      <c r="G149" s="48">
        <v>0</v>
      </c>
    </row>
    <row r="150" spans="1:7" ht="11.25" customHeight="1" x14ac:dyDescent="0.2">
      <c r="A150" s="56" t="s">
        <v>25</v>
      </c>
      <c r="B150" s="48">
        <v>0</v>
      </c>
      <c r="C150" s="48">
        <v>0</v>
      </c>
      <c r="D150" s="48">
        <v>0</v>
      </c>
      <c r="E150" s="48">
        <v>0</v>
      </c>
      <c r="F150" s="48">
        <v>0</v>
      </c>
      <c r="G150" s="48">
        <v>0</v>
      </c>
    </row>
    <row r="151" spans="1:7" ht="11.25" customHeight="1" x14ac:dyDescent="0.2">
      <c r="A151" s="57" t="s">
        <v>25</v>
      </c>
      <c r="B151" s="48">
        <v>0</v>
      </c>
      <c r="C151" s="48">
        <v>0</v>
      </c>
      <c r="D151" s="48">
        <v>0</v>
      </c>
      <c r="E151" s="48">
        <v>0</v>
      </c>
      <c r="F151" s="48">
        <v>0</v>
      </c>
      <c r="G151" s="48">
        <v>0</v>
      </c>
    </row>
    <row r="152" spans="1:7" ht="11.25" customHeight="1" x14ac:dyDescent="0.2">
      <c r="A152" s="58">
        <v>44440</v>
      </c>
      <c r="B152" s="48">
        <v>0</v>
      </c>
      <c r="C152" s="48">
        <v>0</v>
      </c>
      <c r="D152" s="48">
        <v>0</v>
      </c>
      <c r="E152" s="48">
        <v>0</v>
      </c>
      <c r="F152" s="48">
        <v>0</v>
      </c>
      <c r="G152" s="48">
        <v>0</v>
      </c>
    </row>
    <row r="153" spans="1:7" ht="11.25" customHeight="1" x14ac:dyDescent="0.2">
      <c r="A153" s="58">
        <v>44470</v>
      </c>
      <c r="B153" s="48">
        <v>0</v>
      </c>
      <c r="C153" s="48">
        <v>0</v>
      </c>
      <c r="D153" s="48">
        <v>0</v>
      </c>
      <c r="E153" s="48">
        <v>0</v>
      </c>
      <c r="F153" s="48">
        <v>0</v>
      </c>
      <c r="G153" s="48">
        <v>0</v>
      </c>
    </row>
    <row r="154" spans="1:7" ht="11.25" customHeight="1" x14ac:dyDescent="0.2">
      <c r="A154" s="58">
        <v>44501</v>
      </c>
      <c r="B154" s="48">
        <v>0</v>
      </c>
      <c r="C154" s="48">
        <v>0</v>
      </c>
      <c r="D154" s="48">
        <v>0</v>
      </c>
      <c r="E154" s="48">
        <v>0</v>
      </c>
      <c r="F154" s="48">
        <v>0</v>
      </c>
      <c r="G154" s="48">
        <v>0</v>
      </c>
    </row>
    <row r="155" spans="1:7" ht="11.25" customHeight="1" x14ac:dyDescent="0.2">
      <c r="A155" s="58">
        <v>44531</v>
      </c>
      <c r="B155" s="48">
        <v>0</v>
      </c>
      <c r="C155" s="48">
        <v>0</v>
      </c>
      <c r="D155" s="48">
        <v>0</v>
      </c>
      <c r="E155" s="48">
        <v>0</v>
      </c>
      <c r="F155" s="48">
        <v>0</v>
      </c>
      <c r="G155" s="48">
        <v>0</v>
      </c>
    </row>
    <row r="156" spans="1:7" ht="11.25" customHeight="1" x14ac:dyDescent="0.2">
      <c r="A156" s="58">
        <v>44562</v>
      </c>
      <c r="B156" s="48">
        <v>0</v>
      </c>
      <c r="C156" s="48">
        <v>0</v>
      </c>
      <c r="D156" s="48">
        <v>0</v>
      </c>
      <c r="E156" s="48">
        <v>0</v>
      </c>
      <c r="F156" s="48">
        <v>0</v>
      </c>
      <c r="G156" s="48">
        <v>0</v>
      </c>
    </row>
    <row r="157" spans="1:7" ht="11.25" customHeight="1" x14ac:dyDescent="0.2">
      <c r="A157" s="58">
        <v>44593</v>
      </c>
      <c r="B157" s="48">
        <v>0</v>
      </c>
      <c r="C157" s="48">
        <v>0</v>
      </c>
      <c r="D157" s="48">
        <v>0</v>
      </c>
      <c r="E157" s="48">
        <v>0</v>
      </c>
      <c r="F157" s="48">
        <v>0</v>
      </c>
      <c r="G157" s="48">
        <v>0</v>
      </c>
    </row>
    <row r="158" spans="1:7" ht="11.25" customHeight="1" x14ac:dyDescent="0.2">
      <c r="A158" s="58">
        <v>44621</v>
      </c>
      <c r="B158" s="48">
        <v>0</v>
      </c>
      <c r="C158" s="48">
        <v>0</v>
      </c>
      <c r="D158" s="48">
        <v>0</v>
      </c>
      <c r="E158" s="48">
        <v>0</v>
      </c>
      <c r="F158" s="48">
        <v>0</v>
      </c>
      <c r="G158" s="48">
        <v>0</v>
      </c>
    </row>
    <row r="159" spans="1:7" ht="11.25" customHeight="1" x14ac:dyDescent="0.2">
      <c r="A159" s="58">
        <v>44652</v>
      </c>
      <c r="B159" s="48">
        <v>0</v>
      </c>
      <c r="C159" s="48">
        <v>0</v>
      </c>
      <c r="D159" s="48">
        <v>0</v>
      </c>
      <c r="E159" s="48">
        <v>0</v>
      </c>
      <c r="F159" s="48">
        <v>0</v>
      </c>
      <c r="G159" s="48">
        <v>0</v>
      </c>
    </row>
    <row r="160" spans="1:7" ht="11.25" customHeight="1" x14ac:dyDescent="0.2">
      <c r="A160" s="58">
        <v>44682</v>
      </c>
      <c r="B160" s="48">
        <v>0</v>
      </c>
      <c r="C160" s="48">
        <v>0</v>
      </c>
      <c r="D160" s="48">
        <v>0</v>
      </c>
      <c r="E160" s="48">
        <v>0</v>
      </c>
      <c r="F160" s="48">
        <v>0</v>
      </c>
      <c r="G160" s="48">
        <v>0</v>
      </c>
    </row>
    <row r="161" spans="1:7" ht="11.25" customHeight="1" x14ac:dyDescent="0.2">
      <c r="A161" s="58">
        <v>44713</v>
      </c>
      <c r="B161" s="48">
        <v>0</v>
      </c>
      <c r="C161" s="48">
        <v>0</v>
      </c>
      <c r="D161" s="48">
        <v>0</v>
      </c>
      <c r="E161" s="48">
        <v>0</v>
      </c>
      <c r="F161" s="48">
        <v>0</v>
      </c>
      <c r="G161" s="48">
        <v>0</v>
      </c>
    </row>
    <row r="162" spans="1:7" ht="11.25" customHeight="1" x14ac:dyDescent="0.2">
      <c r="A162" s="58">
        <v>44743</v>
      </c>
      <c r="B162" s="48">
        <v>0</v>
      </c>
      <c r="C162" s="48">
        <v>0</v>
      </c>
      <c r="D162" s="48">
        <v>0</v>
      </c>
      <c r="E162" s="48">
        <v>0</v>
      </c>
      <c r="F162" s="48">
        <v>0</v>
      </c>
      <c r="G162" s="48">
        <v>0</v>
      </c>
    </row>
    <row r="163" spans="1:7" ht="11.25" customHeight="1" x14ac:dyDescent="0.2">
      <c r="A163" s="58">
        <v>44774</v>
      </c>
      <c r="B163" s="48">
        <v>0</v>
      </c>
      <c r="C163" s="48">
        <v>0</v>
      </c>
      <c r="D163" s="48">
        <v>0</v>
      </c>
      <c r="E163" s="48">
        <v>0</v>
      </c>
      <c r="F163" s="48">
        <v>0</v>
      </c>
      <c r="G163" s="48">
        <v>0</v>
      </c>
    </row>
    <row r="164" spans="1:7" ht="11.25" customHeight="1" x14ac:dyDescent="0.2">
      <c r="A164" s="50" t="s">
        <v>589</v>
      </c>
      <c r="B164" s="48">
        <v>16848.315000000002</v>
      </c>
      <c r="C164" s="48">
        <v>0</v>
      </c>
      <c r="D164" s="48">
        <v>17050.837447486396</v>
      </c>
      <c r="E164" s="48">
        <v>0</v>
      </c>
      <c r="F164" s="48">
        <v>16848.315000000002</v>
      </c>
      <c r="G164" s="48">
        <v>17050.837447486396</v>
      </c>
    </row>
    <row r="165" spans="1:7" ht="11.25" customHeight="1" x14ac:dyDescent="0.2">
      <c r="A165" s="51" t="s">
        <v>35</v>
      </c>
      <c r="B165" s="48">
        <v>16848.315000000002</v>
      </c>
      <c r="C165" s="48">
        <v>0</v>
      </c>
      <c r="D165" s="48">
        <v>17050.837447486396</v>
      </c>
      <c r="E165" s="48">
        <v>0</v>
      </c>
      <c r="F165" s="48">
        <v>16848.315000000002</v>
      </c>
      <c r="G165" s="48">
        <v>17050.837447486396</v>
      </c>
    </row>
    <row r="166" spans="1:7" ht="11.25" customHeight="1" x14ac:dyDescent="0.2">
      <c r="A166" s="52" t="s">
        <v>53</v>
      </c>
      <c r="B166" s="48">
        <v>16848.315000000002</v>
      </c>
      <c r="C166" s="48">
        <v>0</v>
      </c>
      <c r="D166" s="48">
        <v>17050.837447486396</v>
      </c>
      <c r="E166" s="48">
        <v>0</v>
      </c>
      <c r="F166" s="48">
        <v>16848.315000000002</v>
      </c>
      <c r="G166" s="48">
        <v>17050.837447486396</v>
      </c>
    </row>
    <row r="167" spans="1:7" ht="11.25" customHeight="1" x14ac:dyDescent="0.2">
      <c r="A167" s="53" t="s">
        <v>25</v>
      </c>
      <c r="B167" s="48">
        <v>16848.315000000002</v>
      </c>
      <c r="C167" s="48">
        <v>0</v>
      </c>
      <c r="D167" s="48">
        <v>17050.837447486396</v>
      </c>
      <c r="E167" s="48">
        <v>0</v>
      </c>
      <c r="F167" s="48">
        <v>16848.315000000002</v>
      </c>
      <c r="G167" s="48">
        <v>17050.837447486396</v>
      </c>
    </row>
    <row r="168" spans="1:7" ht="11.25" customHeight="1" x14ac:dyDescent="0.2">
      <c r="A168" s="54" t="s">
        <v>25</v>
      </c>
      <c r="B168" s="48">
        <v>16848.315000000002</v>
      </c>
      <c r="C168" s="48">
        <v>0</v>
      </c>
      <c r="D168" s="48">
        <v>17050.837447486396</v>
      </c>
      <c r="E168" s="48">
        <v>0</v>
      </c>
      <c r="F168" s="48">
        <v>16848.315000000002</v>
      </c>
      <c r="G168" s="48">
        <v>17050.837447486396</v>
      </c>
    </row>
    <row r="169" spans="1:7" ht="11.25" customHeight="1" x14ac:dyDescent="0.2">
      <c r="A169" s="55" t="s">
        <v>25</v>
      </c>
      <c r="B169" s="48">
        <v>16848.315000000002</v>
      </c>
      <c r="C169" s="48">
        <v>0</v>
      </c>
      <c r="D169" s="48">
        <v>17050.837447486396</v>
      </c>
      <c r="E169" s="48">
        <v>0</v>
      </c>
      <c r="F169" s="48">
        <v>16848.315000000002</v>
      </c>
      <c r="G169" s="48">
        <v>17050.837447486396</v>
      </c>
    </row>
    <row r="170" spans="1:7" ht="11.25" customHeight="1" x14ac:dyDescent="0.2">
      <c r="A170" s="56" t="s">
        <v>54</v>
      </c>
      <c r="B170" s="48">
        <v>16848.315000000002</v>
      </c>
      <c r="C170" s="48">
        <v>0</v>
      </c>
      <c r="D170" s="48">
        <v>17050.837447486396</v>
      </c>
      <c r="E170" s="48">
        <v>0</v>
      </c>
      <c r="F170" s="48">
        <v>16848.315000000002</v>
      </c>
      <c r="G170" s="48">
        <v>17050.837447486396</v>
      </c>
    </row>
    <row r="171" spans="1:7" ht="11.25" customHeight="1" x14ac:dyDescent="0.2">
      <c r="A171" s="57" t="s">
        <v>25</v>
      </c>
      <c r="B171" s="48">
        <v>16848.315000000002</v>
      </c>
      <c r="C171" s="48">
        <v>0</v>
      </c>
      <c r="D171" s="48">
        <v>17050.837447486396</v>
      </c>
      <c r="E171" s="48">
        <v>0</v>
      </c>
      <c r="F171" s="48">
        <v>16848.315000000002</v>
      </c>
      <c r="G171" s="48">
        <v>17050.837447486396</v>
      </c>
    </row>
    <row r="172" spans="1:7" ht="11.25" customHeight="1" x14ac:dyDescent="0.2">
      <c r="A172" s="58">
        <v>44440</v>
      </c>
      <c r="B172" s="48">
        <v>0</v>
      </c>
      <c r="C172" s="48">
        <v>0</v>
      </c>
      <c r="D172" s="48">
        <v>0</v>
      </c>
      <c r="E172" s="48">
        <v>0</v>
      </c>
      <c r="F172" s="48">
        <v>0</v>
      </c>
      <c r="G172" s="48">
        <v>0</v>
      </c>
    </row>
    <row r="173" spans="1:7" ht="11.25" customHeight="1" x14ac:dyDescent="0.2">
      <c r="A173" s="58">
        <v>44470</v>
      </c>
      <c r="B173" s="48">
        <v>1531.665</v>
      </c>
      <c r="C173" s="48">
        <v>0</v>
      </c>
      <c r="D173" s="48">
        <v>1550.0761315896723</v>
      </c>
      <c r="E173" s="48">
        <v>0</v>
      </c>
      <c r="F173" s="48">
        <v>1531.665</v>
      </c>
      <c r="G173" s="48">
        <v>1550.0761315896723</v>
      </c>
    </row>
    <row r="174" spans="1:7" ht="11.25" customHeight="1" x14ac:dyDescent="0.2">
      <c r="A174" s="58">
        <v>44501</v>
      </c>
      <c r="B174" s="48">
        <v>1531.665</v>
      </c>
      <c r="C174" s="48">
        <v>0</v>
      </c>
      <c r="D174" s="48">
        <v>1550.0761315896723</v>
      </c>
      <c r="E174" s="48">
        <v>0</v>
      </c>
      <c r="F174" s="48">
        <v>1531.665</v>
      </c>
      <c r="G174" s="48">
        <v>1550.0761315896723</v>
      </c>
    </row>
    <row r="175" spans="1:7" ht="11.25" customHeight="1" x14ac:dyDescent="0.2">
      <c r="A175" s="58">
        <v>44531</v>
      </c>
      <c r="B175" s="48">
        <v>1531.665</v>
      </c>
      <c r="C175" s="48">
        <v>0</v>
      </c>
      <c r="D175" s="48">
        <v>1550.0761315896723</v>
      </c>
      <c r="E175" s="48">
        <v>0</v>
      </c>
      <c r="F175" s="48">
        <v>1531.665</v>
      </c>
      <c r="G175" s="48">
        <v>1550.0761315896723</v>
      </c>
    </row>
    <row r="176" spans="1:7" ht="11.25" customHeight="1" x14ac:dyDescent="0.2">
      <c r="A176" s="58">
        <v>44562</v>
      </c>
      <c r="B176" s="48">
        <v>1531.665</v>
      </c>
      <c r="C176" s="48">
        <v>0</v>
      </c>
      <c r="D176" s="48">
        <v>1550.0761315896723</v>
      </c>
      <c r="E176" s="48">
        <v>0</v>
      </c>
      <c r="F176" s="48">
        <v>1531.665</v>
      </c>
      <c r="G176" s="48">
        <v>1550.0761315896723</v>
      </c>
    </row>
    <row r="177" spans="1:7" ht="11.25" customHeight="1" x14ac:dyDescent="0.2">
      <c r="A177" s="58">
        <v>44593</v>
      </c>
      <c r="B177" s="48">
        <v>1531.665</v>
      </c>
      <c r="C177" s="48">
        <v>0</v>
      </c>
      <c r="D177" s="48">
        <v>1550.0761315896723</v>
      </c>
      <c r="E177" s="48">
        <v>0</v>
      </c>
      <c r="F177" s="48">
        <v>1531.665</v>
      </c>
      <c r="G177" s="48">
        <v>1550.0761315896723</v>
      </c>
    </row>
    <row r="178" spans="1:7" ht="11.25" customHeight="1" x14ac:dyDescent="0.2">
      <c r="A178" s="58">
        <v>44621</v>
      </c>
      <c r="B178" s="48">
        <v>1531.665</v>
      </c>
      <c r="C178" s="48">
        <v>0</v>
      </c>
      <c r="D178" s="48">
        <v>1550.0761315896723</v>
      </c>
      <c r="E178" s="48">
        <v>0</v>
      </c>
      <c r="F178" s="48">
        <v>1531.665</v>
      </c>
      <c r="G178" s="48">
        <v>1550.0761315896723</v>
      </c>
    </row>
    <row r="179" spans="1:7" ht="11.25" customHeight="1" x14ac:dyDescent="0.2">
      <c r="A179" s="58">
        <v>44652</v>
      </c>
      <c r="B179" s="48">
        <v>1531.665</v>
      </c>
      <c r="C179" s="48">
        <v>0</v>
      </c>
      <c r="D179" s="48">
        <v>1550.0761315896723</v>
      </c>
      <c r="E179" s="48">
        <v>0</v>
      </c>
      <c r="F179" s="48">
        <v>1531.665</v>
      </c>
      <c r="G179" s="48">
        <v>1550.0761315896723</v>
      </c>
    </row>
    <row r="180" spans="1:7" ht="11.25" customHeight="1" x14ac:dyDescent="0.2">
      <c r="A180" s="58">
        <v>44682</v>
      </c>
      <c r="B180" s="48">
        <v>1531.665</v>
      </c>
      <c r="C180" s="48">
        <v>0</v>
      </c>
      <c r="D180" s="48">
        <v>1550.0761315896723</v>
      </c>
      <c r="E180" s="48">
        <v>0</v>
      </c>
      <c r="F180" s="48">
        <v>1531.665</v>
      </c>
      <c r="G180" s="48">
        <v>1550.0761315896723</v>
      </c>
    </row>
    <row r="181" spans="1:7" ht="11.25" customHeight="1" x14ac:dyDescent="0.2">
      <c r="A181" s="58">
        <v>44713</v>
      </c>
      <c r="B181" s="48">
        <v>1531.665</v>
      </c>
      <c r="C181" s="48">
        <v>0</v>
      </c>
      <c r="D181" s="48">
        <v>1550.0761315896723</v>
      </c>
      <c r="E181" s="48">
        <v>0</v>
      </c>
      <c r="F181" s="48">
        <v>1531.665</v>
      </c>
      <c r="G181" s="48">
        <v>1550.0761315896723</v>
      </c>
    </row>
    <row r="182" spans="1:7" ht="11.25" customHeight="1" x14ac:dyDescent="0.2">
      <c r="A182" s="58">
        <v>44743</v>
      </c>
      <c r="B182" s="48">
        <v>1531.665</v>
      </c>
      <c r="C182" s="48">
        <v>0</v>
      </c>
      <c r="D182" s="48">
        <v>1550.0761315896723</v>
      </c>
      <c r="E182" s="48">
        <v>0</v>
      </c>
      <c r="F182" s="48">
        <v>1531.665</v>
      </c>
      <c r="G182" s="48">
        <v>1550.0761315896723</v>
      </c>
    </row>
    <row r="183" spans="1:7" ht="11.25" customHeight="1" x14ac:dyDescent="0.2">
      <c r="A183" s="58">
        <v>44774</v>
      </c>
      <c r="B183" s="48">
        <v>1531.665</v>
      </c>
      <c r="C183" s="48">
        <v>0</v>
      </c>
      <c r="D183" s="48">
        <v>1550.0761315896723</v>
      </c>
      <c r="E183" s="48">
        <v>0</v>
      </c>
      <c r="F183" s="48">
        <v>1531.665</v>
      </c>
      <c r="G183" s="48">
        <v>1550.0761315896723</v>
      </c>
    </row>
    <row r="184" spans="1:7" ht="11.25" customHeight="1" x14ac:dyDescent="0.2">
      <c r="A184" s="50" t="s">
        <v>592</v>
      </c>
      <c r="B184" s="48">
        <v>0</v>
      </c>
      <c r="C184" s="48">
        <v>55048.053053999982</v>
      </c>
      <c r="D184" s="48">
        <v>0</v>
      </c>
      <c r="E184" s="48">
        <v>56399.514202222468</v>
      </c>
      <c r="F184" s="48">
        <v>55048.053053999982</v>
      </c>
      <c r="G184" s="48">
        <v>56399.514202222475</v>
      </c>
    </row>
    <row r="185" spans="1:7" ht="11.25" customHeight="1" x14ac:dyDescent="0.2">
      <c r="A185" s="51" t="s">
        <v>40</v>
      </c>
      <c r="B185" s="48">
        <v>0</v>
      </c>
      <c r="C185" s="48">
        <v>55048.053053999982</v>
      </c>
      <c r="D185" s="48">
        <v>0</v>
      </c>
      <c r="E185" s="48">
        <v>56399.514202222468</v>
      </c>
      <c r="F185" s="48">
        <v>55048.053053999982</v>
      </c>
      <c r="G185" s="48">
        <v>56399.514202222475</v>
      </c>
    </row>
    <row r="186" spans="1:7" ht="11.25" customHeight="1" x14ac:dyDescent="0.2">
      <c r="A186" s="52" t="s">
        <v>23</v>
      </c>
      <c r="B186" s="48">
        <v>0</v>
      </c>
      <c r="C186" s="48">
        <v>55048.053053999982</v>
      </c>
      <c r="D186" s="48">
        <v>0</v>
      </c>
      <c r="E186" s="48">
        <v>56399.514202222468</v>
      </c>
      <c r="F186" s="48">
        <v>55048.053053999982</v>
      </c>
      <c r="G186" s="48">
        <v>56399.514202222475</v>
      </c>
    </row>
    <row r="187" spans="1:7" ht="11.25" customHeight="1" x14ac:dyDescent="0.2">
      <c r="A187" s="53" t="s">
        <v>41</v>
      </c>
      <c r="B187" s="48">
        <v>0</v>
      </c>
      <c r="C187" s="48">
        <v>55048.053053999982</v>
      </c>
      <c r="D187" s="48">
        <v>0</v>
      </c>
      <c r="E187" s="48">
        <v>56399.514202222468</v>
      </c>
      <c r="F187" s="48">
        <v>55048.053053999982</v>
      </c>
      <c r="G187" s="48">
        <v>56399.514202222475</v>
      </c>
    </row>
    <row r="188" spans="1:7" ht="11.25" customHeight="1" x14ac:dyDescent="0.2">
      <c r="A188" s="54" t="s">
        <v>49</v>
      </c>
      <c r="B188" s="48">
        <v>0</v>
      </c>
      <c r="C188" s="48">
        <v>11946.172825999998</v>
      </c>
      <c r="D188" s="48">
        <v>0</v>
      </c>
      <c r="E188" s="48">
        <v>12239.4581930311</v>
      </c>
      <c r="F188" s="48">
        <v>11946.172825999996</v>
      </c>
      <c r="G188" s="48">
        <v>12239.4581930311</v>
      </c>
    </row>
    <row r="189" spans="1:7" ht="11.25" customHeight="1" x14ac:dyDescent="0.2">
      <c r="A189" s="55" t="s">
        <v>51</v>
      </c>
      <c r="B189" s="48">
        <v>0</v>
      </c>
      <c r="C189" s="48">
        <v>11946.172825999998</v>
      </c>
      <c r="D189" s="48">
        <v>0</v>
      </c>
      <c r="E189" s="48">
        <v>12239.4581930311</v>
      </c>
      <c r="F189" s="48">
        <v>11946.172825999996</v>
      </c>
      <c r="G189" s="48">
        <v>12239.4581930311</v>
      </c>
    </row>
    <row r="190" spans="1:7" ht="11.25" customHeight="1" x14ac:dyDescent="0.2">
      <c r="A190" s="56" t="s">
        <v>25</v>
      </c>
      <c r="B190" s="48">
        <v>0</v>
      </c>
      <c r="C190" s="48">
        <v>11946.172825999998</v>
      </c>
      <c r="D190" s="48">
        <v>0</v>
      </c>
      <c r="E190" s="48">
        <v>12239.4581930311</v>
      </c>
      <c r="F190" s="48">
        <v>11946.172825999996</v>
      </c>
      <c r="G190" s="48">
        <v>12239.4581930311</v>
      </c>
    </row>
    <row r="191" spans="1:7" ht="11.25" customHeight="1" x14ac:dyDescent="0.2">
      <c r="A191" s="57" t="s">
        <v>25</v>
      </c>
      <c r="B191" s="48">
        <v>0</v>
      </c>
      <c r="C191" s="48">
        <v>11946.172825999998</v>
      </c>
      <c r="D191" s="48">
        <v>0</v>
      </c>
      <c r="E191" s="48">
        <v>12239.4581930311</v>
      </c>
      <c r="F191" s="48">
        <v>11946.172825999996</v>
      </c>
      <c r="G191" s="48">
        <v>12239.4581930311</v>
      </c>
    </row>
    <row r="192" spans="1:7" ht="11.25" customHeight="1" x14ac:dyDescent="0.2">
      <c r="A192" s="58">
        <v>44440</v>
      </c>
      <c r="B192" s="48">
        <v>0</v>
      </c>
      <c r="C192" s="48">
        <v>1506.7487080000001</v>
      </c>
      <c r="D192" s="48">
        <v>0</v>
      </c>
      <c r="E192" s="48">
        <v>1543.7402494991854</v>
      </c>
      <c r="F192" s="48">
        <v>1506.7487080000001</v>
      </c>
      <c r="G192" s="48">
        <v>1543.7402494991854</v>
      </c>
    </row>
    <row r="193" spans="1:7" ht="11.25" customHeight="1" x14ac:dyDescent="0.2">
      <c r="A193" s="58">
        <v>44470</v>
      </c>
      <c r="B193" s="48">
        <v>0</v>
      </c>
      <c r="C193" s="48">
        <v>626.74834799999985</v>
      </c>
      <c r="D193" s="48">
        <v>0</v>
      </c>
      <c r="E193" s="48">
        <v>642.13537796822982</v>
      </c>
      <c r="F193" s="48">
        <v>626.74834799999985</v>
      </c>
      <c r="G193" s="48">
        <v>642.13537796822982</v>
      </c>
    </row>
    <row r="194" spans="1:7" ht="11.25" customHeight="1" x14ac:dyDescent="0.2">
      <c r="A194" s="58">
        <v>44501</v>
      </c>
      <c r="B194" s="48">
        <v>0</v>
      </c>
      <c r="C194" s="48">
        <v>886.04616399999975</v>
      </c>
      <c r="D194" s="48">
        <v>0</v>
      </c>
      <c r="E194" s="48">
        <v>907.79910347277087</v>
      </c>
      <c r="F194" s="48">
        <v>886.04616399999975</v>
      </c>
      <c r="G194" s="48">
        <v>907.79910347277087</v>
      </c>
    </row>
    <row r="195" spans="1:7" ht="11.25" customHeight="1" x14ac:dyDescent="0.2">
      <c r="A195" s="58">
        <v>44531</v>
      </c>
      <c r="B195" s="48">
        <v>0</v>
      </c>
      <c r="C195" s="48">
        <v>1685.0999259999999</v>
      </c>
      <c r="D195" s="48">
        <v>0</v>
      </c>
      <c r="E195" s="48">
        <v>1726.4700917827493</v>
      </c>
      <c r="F195" s="48">
        <v>1685.0999259999999</v>
      </c>
      <c r="G195" s="48">
        <v>1726.4700917827493</v>
      </c>
    </row>
    <row r="196" spans="1:7" ht="11.25" customHeight="1" x14ac:dyDescent="0.2">
      <c r="A196" s="58">
        <v>44562</v>
      </c>
      <c r="B196" s="48">
        <v>0</v>
      </c>
      <c r="C196" s="48">
        <v>2955.3905219999992</v>
      </c>
      <c r="D196" s="48">
        <v>0</v>
      </c>
      <c r="E196" s="48">
        <v>3027.9470475575858</v>
      </c>
      <c r="F196" s="48">
        <v>2955.3905219999992</v>
      </c>
      <c r="G196" s="48">
        <v>3027.9470475575858</v>
      </c>
    </row>
    <row r="197" spans="1:7" ht="11.25" customHeight="1" x14ac:dyDescent="0.2">
      <c r="A197" s="58">
        <v>44593</v>
      </c>
      <c r="B197" s="48">
        <v>0</v>
      </c>
      <c r="C197" s="48">
        <v>1570.9014059999997</v>
      </c>
      <c r="D197" s="48">
        <v>0</v>
      </c>
      <c r="E197" s="48">
        <v>1609.4679328817856</v>
      </c>
      <c r="F197" s="48">
        <v>1570.9014059999997</v>
      </c>
      <c r="G197" s="48">
        <v>1609.4679328817856</v>
      </c>
    </row>
    <row r="198" spans="1:7" ht="11.25" customHeight="1" x14ac:dyDescent="0.2">
      <c r="A198" s="58">
        <v>44621</v>
      </c>
      <c r="B198" s="48">
        <v>0</v>
      </c>
      <c r="C198" s="48">
        <v>1201.4356059999998</v>
      </c>
      <c r="D198" s="48">
        <v>0</v>
      </c>
      <c r="E198" s="48">
        <v>1230.9315364374911</v>
      </c>
      <c r="F198" s="48">
        <v>1201.4356059999998</v>
      </c>
      <c r="G198" s="48">
        <v>1230.9315364374911</v>
      </c>
    </row>
    <row r="199" spans="1:7" ht="11.25" customHeight="1" x14ac:dyDescent="0.2">
      <c r="A199" s="58">
        <v>44652</v>
      </c>
      <c r="B199" s="48">
        <v>0</v>
      </c>
      <c r="C199" s="48">
        <v>525.64906999999994</v>
      </c>
      <c r="D199" s="48">
        <v>0</v>
      </c>
      <c r="E199" s="48">
        <v>538.55405494120043</v>
      </c>
      <c r="F199" s="48">
        <v>525.64906999999994</v>
      </c>
      <c r="G199" s="48">
        <v>538.55405494120043</v>
      </c>
    </row>
    <row r="200" spans="1:7" ht="11.25" customHeight="1" x14ac:dyDescent="0.2">
      <c r="A200" s="58">
        <v>44682</v>
      </c>
      <c r="B200" s="48">
        <v>0</v>
      </c>
      <c r="C200" s="48">
        <v>221.67947999999996</v>
      </c>
      <c r="D200" s="48">
        <v>0</v>
      </c>
      <c r="E200" s="48">
        <v>227.1218378665765</v>
      </c>
      <c r="F200" s="48">
        <v>221.67947999999996</v>
      </c>
      <c r="G200" s="48">
        <v>227.1218378665765</v>
      </c>
    </row>
    <row r="201" spans="1:7" ht="11.25" customHeight="1" x14ac:dyDescent="0.2">
      <c r="A201" s="58">
        <v>44713</v>
      </c>
      <c r="B201" s="48">
        <v>0</v>
      </c>
      <c r="C201" s="48">
        <v>281.46576399999992</v>
      </c>
      <c r="D201" s="48">
        <v>0</v>
      </c>
      <c r="E201" s="48">
        <v>288.37590929119858</v>
      </c>
      <c r="F201" s="48">
        <v>281.46576399999992</v>
      </c>
      <c r="G201" s="48">
        <v>288.37590929119858</v>
      </c>
    </row>
    <row r="202" spans="1:7" ht="11.25" customHeight="1" x14ac:dyDescent="0.2">
      <c r="A202" s="58">
        <v>44743</v>
      </c>
      <c r="B202" s="48">
        <v>0</v>
      </c>
      <c r="C202" s="48">
        <v>224.03062599999996</v>
      </c>
      <c r="D202" s="48">
        <v>0</v>
      </c>
      <c r="E202" s="48">
        <v>229.53070584394925</v>
      </c>
      <c r="F202" s="48">
        <v>224.03062599999996</v>
      </c>
      <c r="G202" s="48">
        <v>229.53070584394925</v>
      </c>
    </row>
    <row r="203" spans="1:7" ht="11.25" customHeight="1" x14ac:dyDescent="0.2">
      <c r="A203" s="58">
        <v>44774</v>
      </c>
      <c r="B203" s="48">
        <v>0</v>
      </c>
      <c r="C203" s="48">
        <v>260.97720599999997</v>
      </c>
      <c r="D203" s="48">
        <v>0</v>
      </c>
      <c r="E203" s="48">
        <v>267.3843454883787</v>
      </c>
      <c r="F203" s="48">
        <v>260.97720599999997</v>
      </c>
      <c r="G203" s="48">
        <v>267.3843454883787</v>
      </c>
    </row>
    <row r="204" spans="1:7" ht="11.25" customHeight="1" x14ac:dyDescent="0.2">
      <c r="A204" s="54" t="s">
        <v>52</v>
      </c>
      <c r="B204" s="48">
        <v>0</v>
      </c>
      <c r="C204" s="48">
        <v>43101.88022799998</v>
      </c>
      <c r="D204" s="48">
        <v>0</v>
      </c>
      <c r="E204" s="48">
        <v>44160.056009191365</v>
      </c>
      <c r="F204" s="48">
        <v>43101.880227999987</v>
      </c>
      <c r="G204" s="48">
        <v>44160.056009191365</v>
      </c>
    </row>
    <row r="205" spans="1:7" ht="11.25" customHeight="1" x14ac:dyDescent="0.2">
      <c r="A205" s="55" t="s">
        <v>51</v>
      </c>
      <c r="B205" s="48">
        <v>0</v>
      </c>
      <c r="C205" s="48">
        <v>43101.88022799998</v>
      </c>
      <c r="D205" s="48">
        <v>0</v>
      </c>
      <c r="E205" s="48">
        <v>44160.056009191365</v>
      </c>
      <c r="F205" s="48">
        <v>43101.880227999987</v>
      </c>
      <c r="G205" s="48">
        <v>44160.056009191365</v>
      </c>
    </row>
    <row r="206" spans="1:7" ht="11.25" customHeight="1" x14ac:dyDescent="0.2">
      <c r="A206" s="56" t="s">
        <v>25</v>
      </c>
      <c r="B206" s="48">
        <v>0</v>
      </c>
      <c r="C206" s="48">
        <v>43101.88022799998</v>
      </c>
      <c r="D206" s="48">
        <v>0</v>
      </c>
      <c r="E206" s="48">
        <v>44160.056009191365</v>
      </c>
      <c r="F206" s="48">
        <v>43101.880227999987</v>
      </c>
      <c r="G206" s="48">
        <v>44160.056009191365</v>
      </c>
    </row>
    <row r="207" spans="1:7" ht="11.25" customHeight="1" x14ac:dyDescent="0.2">
      <c r="A207" s="57" t="s">
        <v>25</v>
      </c>
      <c r="B207" s="48">
        <v>0</v>
      </c>
      <c r="C207" s="48">
        <v>43101.88022799998</v>
      </c>
      <c r="D207" s="48">
        <v>0</v>
      </c>
      <c r="E207" s="48">
        <v>44160.056009191365</v>
      </c>
      <c r="F207" s="48">
        <v>43101.880227999987</v>
      </c>
      <c r="G207" s="48">
        <v>44160.056009191365</v>
      </c>
    </row>
    <row r="208" spans="1:7" ht="11.25" customHeight="1" x14ac:dyDescent="0.2">
      <c r="A208" s="58">
        <v>44440</v>
      </c>
      <c r="B208" s="48">
        <v>0</v>
      </c>
      <c r="C208" s="48">
        <v>3526.7189999999991</v>
      </c>
      <c r="D208" s="48">
        <v>0</v>
      </c>
      <c r="E208" s="48">
        <v>3613.3019660591713</v>
      </c>
      <c r="F208" s="48">
        <v>3526.7189999999991</v>
      </c>
      <c r="G208" s="48">
        <v>3613.3019660591713</v>
      </c>
    </row>
    <row r="209" spans="1:7" ht="11.25" customHeight="1" x14ac:dyDescent="0.2">
      <c r="A209" s="58">
        <v>44470</v>
      </c>
      <c r="B209" s="48">
        <v>0</v>
      </c>
      <c r="C209" s="48">
        <v>3403.1158959999998</v>
      </c>
      <c r="D209" s="48">
        <v>0</v>
      </c>
      <c r="E209" s="48">
        <v>3486.6643352487176</v>
      </c>
      <c r="F209" s="48">
        <v>3403.1158959999998</v>
      </c>
      <c r="G209" s="48">
        <v>3486.6643352487176</v>
      </c>
    </row>
    <row r="210" spans="1:7" ht="11.25" customHeight="1" x14ac:dyDescent="0.2">
      <c r="A210" s="58">
        <v>44501</v>
      </c>
      <c r="B210" s="48">
        <v>0</v>
      </c>
      <c r="C210" s="48">
        <v>4213.9253879999987</v>
      </c>
      <c r="D210" s="48">
        <v>0</v>
      </c>
      <c r="E210" s="48">
        <v>4317.3796634455584</v>
      </c>
      <c r="F210" s="48">
        <v>4213.9253879999987</v>
      </c>
      <c r="G210" s="48">
        <v>4317.3796634455584</v>
      </c>
    </row>
    <row r="211" spans="1:7" ht="11.25" customHeight="1" x14ac:dyDescent="0.2">
      <c r="A211" s="58">
        <v>44531</v>
      </c>
      <c r="B211" s="48">
        <v>0</v>
      </c>
      <c r="C211" s="48">
        <v>4028.1848539999992</v>
      </c>
      <c r="D211" s="48">
        <v>0</v>
      </c>
      <c r="E211" s="48">
        <v>4127.0790932331092</v>
      </c>
      <c r="F211" s="48">
        <v>4028.1848539999992</v>
      </c>
      <c r="G211" s="48">
        <v>4127.0790932331092</v>
      </c>
    </row>
    <row r="212" spans="1:7" ht="11.25" customHeight="1" x14ac:dyDescent="0.2">
      <c r="A212" s="58">
        <v>44562</v>
      </c>
      <c r="B212" s="48">
        <v>0</v>
      </c>
      <c r="C212" s="48">
        <v>5592.7045779999989</v>
      </c>
      <c r="D212" s="48">
        <v>0</v>
      </c>
      <c r="E212" s="48">
        <v>5730.0086701763112</v>
      </c>
      <c r="F212" s="48">
        <v>5592.7045779999989</v>
      </c>
      <c r="G212" s="48">
        <v>5730.0086701763112</v>
      </c>
    </row>
    <row r="213" spans="1:7" ht="11.25" customHeight="1" x14ac:dyDescent="0.2">
      <c r="A213" s="58">
        <v>44593</v>
      </c>
      <c r="B213" s="48">
        <v>0</v>
      </c>
      <c r="C213" s="48">
        <v>5943.0253319999993</v>
      </c>
      <c r="D213" s="48">
        <v>0</v>
      </c>
      <c r="E213" s="48">
        <v>6088.9299988048551</v>
      </c>
      <c r="F213" s="48">
        <v>5943.0253319999993</v>
      </c>
      <c r="G213" s="48">
        <v>6088.9299988048551</v>
      </c>
    </row>
    <row r="214" spans="1:7" ht="11.25" customHeight="1" x14ac:dyDescent="0.2">
      <c r="A214" s="58">
        <v>44621</v>
      </c>
      <c r="B214" s="48">
        <v>0</v>
      </c>
      <c r="C214" s="48">
        <v>5074.7807019999982</v>
      </c>
      <c r="D214" s="48">
        <v>0</v>
      </c>
      <c r="E214" s="48">
        <v>5199.3694671607636</v>
      </c>
      <c r="F214" s="48">
        <v>5074.7807019999982</v>
      </c>
      <c r="G214" s="48">
        <v>5199.3694671607636</v>
      </c>
    </row>
    <row r="215" spans="1:7" ht="11.25" customHeight="1" x14ac:dyDescent="0.2">
      <c r="A215" s="58">
        <v>44652</v>
      </c>
      <c r="B215" s="48">
        <v>0</v>
      </c>
      <c r="C215" s="48">
        <v>4139.6963499999983</v>
      </c>
      <c r="D215" s="48">
        <v>0</v>
      </c>
      <c r="E215" s="48">
        <v>4241.3282601599321</v>
      </c>
      <c r="F215" s="48">
        <v>4139.6963499999983</v>
      </c>
      <c r="G215" s="48">
        <v>4241.3282601599321</v>
      </c>
    </row>
    <row r="216" spans="1:7" ht="11.25" customHeight="1" x14ac:dyDescent="0.2">
      <c r="A216" s="58">
        <v>44682</v>
      </c>
      <c r="B216" s="48">
        <v>0</v>
      </c>
      <c r="C216" s="48">
        <v>2109.6497179999997</v>
      </c>
      <c r="D216" s="48">
        <v>0</v>
      </c>
      <c r="E216" s="48">
        <v>2161.4428236969197</v>
      </c>
      <c r="F216" s="48">
        <v>2109.6497179999997</v>
      </c>
      <c r="G216" s="48">
        <v>2161.4428236969197</v>
      </c>
    </row>
    <row r="217" spans="1:7" ht="11.25" customHeight="1" x14ac:dyDescent="0.2">
      <c r="A217" s="58">
        <v>44713</v>
      </c>
      <c r="B217" s="48">
        <v>0</v>
      </c>
      <c r="C217" s="48">
        <v>1896.0313099999994</v>
      </c>
      <c r="D217" s="48">
        <v>0</v>
      </c>
      <c r="E217" s="48">
        <v>1942.5799617527641</v>
      </c>
      <c r="F217" s="48">
        <v>1896.0313099999994</v>
      </c>
      <c r="G217" s="48">
        <v>1942.5799617527641</v>
      </c>
    </row>
    <row r="218" spans="1:7" ht="11.25" customHeight="1" x14ac:dyDescent="0.2">
      <c r="A218" s="58">
        <v>44743</v>
      </c>
      <c r="B218" s="48">
        <v>0</v>
      </c>
      <c r="C218" s="48">
        <v>1494.3212219999996</v>
      </c>
      <c r="D218" s="48">
        <v>0</v>
      </c>
      <c r="E218" s="48">
        <v>1531.007661618786</v>
      </c>
      <c r="F218" s="48">
        <v>1494.3212219999996</v>
      </c>
      <c r="G218" s="48">
        <v>1531.007661618786</v>
      </c>
    </row>
    <row r="219" spans="1:7" ht="11.25" customHeight="1" x14ac:dyDescent="0.2">
      <c r="A219" s="58">
        <v>44774</v>
      </c>
      <c r="B219" s="48">
        <v>0</v>
      </c>
      <c r="C219" s="48">
        <v>1679.7258779999997</v>
      </c>
      <c r="D219" s="48">
        <v>0</v>
      </c>
      <c r="E219" s="48">
        <v>1720.9641078344687</v>
      </c>
      <c r="F219" s="48">
        <v>1679.7258779999997</v>
      </c>
      <c r="G219" s="48">
        <v>1720.9641078344687</v>
      </c>
    </row>
    <row r="220" spans="1:7" ht="11.25" customHeight="1" x14ac:dyDescent="0.2">
      <c r="A220" s="50" t="s">
        <v>590</v>
      </c>
      <c r="B220" s="48">
        <v>4191.8175999999985</v>
      </c>
      <c r="C220" s="48">
        <v>2489937.8141399976</v>
      </c>
      <c r="D220" s="48">
        <v>4114.9744389672578</v>
      </c>
      <c r="E220" s="48">
        <v>1329264.2085323818</v>
      </c>
      <c r="F220" s="48">
        <v>2494129.6317399973</v>
      </c>
      <c r="G220" s="48">
        <v>1333379.1829713492</v>
      </c>
    </row>
    <row r="221" spans="1:7" ht="11.25" customHeight="1" x14ac:dyDescent="0.2">
      <c r="A221" s="51" t="s">
        <v>35</v>
      </c>
      <c r="B221" s="48">
        <v>4191.8175999999985</v>
      </c>
      <c r="C221" s="48">
        <v>8545.0091399999983</v>
      </c>
      <c r="D221" s="48">
        <v>4114.9744389672578</v>
      </c>
      <c r="E221" s="48">
        <v>9225.2374607458696</v>
      </c>
      <c r="F221" s="48">
        <v>12736.826739999995</v>
      </c>
      <c r="G221" s="48">
        <v>13340.211899713129</v>
      </c>
    </row>
    <row r="222" spans="1:7" ht="11.25" customHeight="1" x14ac:dyDescent="0.2">
      <c r="A222" s="52" t="s">
        <v>36</v>
      </c>
      <c r="B222" s="48">
        <v>4191.8175999999985</v>
      </c>
      <c r="C222" s="48">
        <v>8545.0091399999983</v>
      </c>
      <c r="D222" s="48">
        <v>4114.9744389672578</v>
      </c>
      <c r="E222" s="48">
        <v>9225.2374607458696</v>
      </c>
      <c r="F222" s="48">
        <v>12736.826739999995</v>
      </c>
      <c r="G222" s="48">
        <v>13340.211899713129</v>
      </c>
    </row>
    <row r="223" spans="1:7" ht="11.25" customHeight="1" x14ac:dyDescent="0.2">
      <c r="A223" s="53" t="s">
        <v>41</v>
      </c>
      <c r="B223" s="48">
        <v>4191.8175999999985</v>
      </c>
      <c r="C223" s="48">
        <v>8545.0091399999983</v>
      </c>
      <c r="D223" s="48">
        <v>4114.9744389672578</v>
      </c>
      <c r="E223" s="48">
        <v>9225.2374607458696</v>
      </c>
      <c r="F223" s="48">
        <v>12736.826739999995</v>
      </c>
      <c r="G223" s="48">
        <v>13340.211899713129</v>
      </c>
    </row>
    <row r="224" spans="1:7" ht="11.25" customHeight="1" x14ac:dyDescent="0.2">
      <c r="A224" s="54" t="s">
        <v>25</v>
      </c>
      <c r="B224" s="48">
        <v>4191.8175999999985</v>
      </c>
      <c r="C224" s="48">
        <v>8545.0091399999983</v>
      </c>
      <c r="D224" s="48">
        <v>4114.9744389672578</v>
      </c>
      <c r="E224" s="48">
        <v>9225.2374607458696</v>
      </c>
      <c r="F224" s="48">
        <v>12736.826739999995</v>
      </c>
      <c r="G224" s="48">
        <v>13340.211899713129</v>
      </c>
    </row>
    <row r="225" spans="1:7" ht="11.25" customHeight="1" x14ac:dyDescent="0.2">
      <c r="A225" s="55" t="s">
        <v>25</v>
      </c>
      <c r="B225" s="48">
        <v>4191.8175999999985</v>
      </c>
      <c r="C225" s="48">
        <v>8545.0091399999983</v>
      </c>
      <c r="D225" s="48">
        <v>4114.9744389672578</v>
      </c>
      <c r="E225" s="48">
        <v>9225.2374607458696</v>
      </c>
      <c r="F225" s="48">
        <v>12736.826739999995</v>
      </c>
      <c r="G225" s="48">
        <v>13340.211899713129</v>
      </c>
    </row>
    <row r="226" spans="1:7" ht="11.25" customHeight="1" x14ac:dyDescent="0.2">
      <c r="A226" s="56" t="s">
        <v>25</v>
      </c>
      <c r="B226" s="48">
        <v>4191.8175999999985</v>
      </c>
      <c r="C226" s="48">
        <v>8545.0091399999983</v>
      </c>
      <c r="D226" s="48">
        <v>4114.9744389672578</v>
      </c>
      <c r="E226" s="48">
        <v>9225.2374607458696</v>
      </c>
      <c r="F226" s="48">
        <v>12736.826739999995</v>
      </c>
      <c r="G226" s="48">
        <v>13340.211899713129</v>
      </c>
    </row>
    <row r="227" spans="1:7" ht="11.25" customHeight="1" x14ac:dyDescent="0.2">
      <c r="A227" s="57" t="s">
        <v>38</v>
      </c>
      <c r="B227" s="48">
        <v>0</v>
      </c>
      <c r="C227" s="48">
        <v>4975.1571815999996</v>
      </c>
      <c r="D227" s="48">
        <v>0</v>
      </c>
      <c r="E227" s="48">
        <v>5649.1073832105767</v>
      </c>
      <c r="F227" s="48">
        <v>4975.1571815999987</v>
      </c>
      <c r="G227" s="48">
        <v>5649.1073832105767</v>
      </c>
    </row>
    <row r="228" spans="1:7" ht="11.25" customHeight="1" x14ac:dyDescent="0.2">
      <c r="A228" s="58">
        <v>44440</v>
      </c>
      <c r="B228" s="48">
        <v>0</v>
      </c>
      <c r="C228" s="48">
        <v>507.41039520000027</v>
      </c>
      <c r="D228" s="48">
        <v>0</v>
      </c>
      <c r="E228" s="48">
        <v>576.14577896015044</v>
      </c>
      <c r="F228" s="48">
        <v>507.41039520000027</v>
      </c>
      <c r="G228" s="48">
        <v>576.14577896015044</v>
      </c>
    </row>
    <row r="229" spans="1:7" ht="11.25" customHeight="1" x14ac:dyDescent="0.2">
      <c r="A229" s="58">
        <v>44470</v>
      </c>
      <c r="B229" s="48">
        <v>0</v>
      </c>
      <c r="C229" s="48">
        <v>373.56369840000013</v>
      </c>
      <c r="D229" s="48">
        <v>0</v>
      </c>
      <c r="E229" s="48">
        <v>424.16779404188026</v>
      </c>
      <c r="F229" s="48">
        <v>373.56369840000013</v>
      </c>
      <c r="G229" s="48">
        <v>424.16779404188026</v>
      </c>
    </row>
    <row r="230" spans="1:7" ht="11.25" customHeight="1" x14ac:dyDescent="0.2">
      <c r="A230" s="58">
        <v>44501</v>
      </c>
      <c r="B230" s="48">
        <v>0</v>
      </c>
      <c r="C230" s="48">
        <v>471.33164159999984</v>
      </c>
      <c r="D230" s="48">
        <v>0</v>
      </c>
      <c r="E230" s="48">
        <v>535.17968564905402</v>
      </c>
      <c r="F230" s="48">
        <v>471.33164159999984</v>
      </c>
      <c r="G230" s="48">
        <v>535.17968564905402</v>
      </c>
    </row>
    <row r="231" spans="1:7" ht="11.25" customHeight="1" x14ac:dyDescent="0.2">
      <c r="A231" s="58">
        <v>44531</v>
      </c>
      <c r="B231" s="48">
        <v>0</v>
      </c>
      <c r="C231" s="48">
        <v>356.91068879999932</v>
      </c>
      <c r="D231" s="48">
        <v>0</v>
      </c>
      <c r="E231" s="48">
        <v>405.25891618130447</v>
      </c>
      <c r="F231" s="48">
        <v>356.91068879999932</v>
      </c>
      <c r="G231" s="48">
        <v>405.25891618130447</v>
      </c>
    </row>
    <row r="232" spans="1:7" ht="11.25" customHeight="1" x14ac:dyDescent="0.2">
      <c r="A232" s="58">
        <v>44562</v>
      </c>
      <c r="B232" s="48">
        <v>0</v>
      </c>
      <c r="C232" s="48">
        <v>513.41245199999935</v>
      </c>
      <c r="D232" s="48">
        <v>0</v>
      </c>
      <c r="E232" s="48">
        <v>582.9608929647336</v>
      </c>
      <c r="F232" s="48">
        <v>513.41245199999935</v>
      </c>
      <c r="G232" s="48">
        <v>582.9608929647336</v>
      </c>
    </row>
    <row r="233" spans="1:7" ht="11.25" customHeight="1" x14ac:dyDescent="0.2">
      <c r="A233" s="58">
        <v>44593</v>
      </c>
      <c r="B233" s="48">
        <v>0</v>
      </c>
      <c r="C233" s="48">
        <v>443.47977360000061</v>
      </c>
      <c r="D233" s="48">
        <v>0</v>
      </c>
      <c r="E233" s="48">
        <v>503.55491734285897</v>
      </c>
      <c r="F233" s="48">
        <v>443.47977360000061</v>
      </c>
      <c r="G233" s="48">
        <v>503.55491734285897</v>
      </c>
    </row>
    <row r="234" spans="1:7" ht="11.25" customHeight="1" x14ac:dyDescent="0.2">
      <c r="A234" s="58">
        <v>44621</v>
      </c>
      <c r="B234" s="48">
        <v>0</v>
      </c>
      <c r="C234" s="48">
        <v>551.28435120000051</v>
      </c>
      <c r="D234" s="48">
        <v>0</v>
      </c>
      <c r="E234" s="48">
        <v>625.96303693280208</v>
      </c>
      <c r="F234" s="48">
        <v>551.28435120000051</v>
      </c>
      <c r="G234" s="48">
        <v>625.96303693280208</v>
      </c>
    </row>
    <row r="235" spans="1:7" ht="11.25" customHeight="1" x14ac:dyDescent="0.2">
      <c r="A235" s="58">
        <v>44652</v>
      </c>
      <c r="B235" s="48">
        <v>0</v>
      </c>
      <c r="C235" s="48">
        <v>472.83423120000009</v>
      </c>
      <c r="D235" s="48">
        <v>0</v>
      </c>
      <c r="E235" s="48">
        <v>536.88582069031258</v>
      </c>
      <c r="F235" s="48">
        <v>472.83423120000009</v>
      </c>
      <c r="G235" s="48">
        <v>536.88582069031258</v>
      </c>
    </row>
    <row r="236" spans="1:7" ht="11.25" customHeight="1" x14ac:dyDescent="0.2">
      <c r="A236" s="58">
        <v>44682</v>
      </c>
      <c r="B236" s="48">
        <v>0</v>
      </c>
      <c r="C236" s="48">
        <v>376.38624239999979</v>
      </c>
      <c r="D236" s="48">
        <v>0</v>
      </c>
      <c r="E236" s="48">
        <v>427.37268859451973</v>
      </c>
      <c r="F236" s="48">
        <v>376.38624239999979</v>
      </c>
      <c r="G236" s="48">
        <v>427.37268859451973</v>
      </c>
    </row>
    <row r="237" spans="1:7" ht="11.25" customHeight="1" x14ac:dyDescent="0.2">
      <c r="A237" s="58">
        <v>44713</v>
      </c>
      <c r="B237" s="48">
        <v>0</v>
      </c>
      <c r="C237" s="48">
        <v>309.18479039999903</v>
      </c>
      <c r="D237" s="48">
        <v>0</v>
      </c>
      <c r="E237" s="48">
        <v>351.06791976034441</v>
      </c>
      <c r="F237" s="48">
        <v>309.18479039999903</v>
      </c>
      <c r="G237" s="48">
        <v>351.06791976034441</v>
      </c>
    </row>
    <row r="238" spans="1:7" ht="11.25" customHeight="1" x14ac:dyDescent="0.2">
      <c r="A238" s="58">
        <v>44743</v>
      </c>
      <c r="B238" s="48">
        <v>0</v>
      </c>
      <c r="C238" s="48">
        <v>7.2389952000000042</v>
      </c>
      <c r="D238" s="48">
        <v>0</v>
      </c>
      <c r="E238" s="48">
        <v>8.2196119114762496</v>
      </c>
      <c r="F238" s="48">
        <v>7.2389952000000042</v>
      </c>
      <c r="G238" s="48">
        <v>8.2196119114762496</v>
      </c>
    </row>
    <row r="239" spans="1:7" ht="11.25" customHeight="1" x14ac:dyDescent="0.2">
      <c r="A239" s="58">
        <v>44774</v>
      </c>
      <c r="B239" s="48">
        <v>0</v>
      </c>
      <c r="C239" s="48">
        <v>592.1199216</v>
      </c>
      <c r="D239" s="48">
        <v>0</v>
      </c>
      <c r="E239" s="48">
        <v>672.33032018114056</v>
      </c>
      <c r="F239" s="48">
        <v>592.1199216</v>
      </c>
      <c r="G239" s="48">
        <v>672.33032018114056</v>
      </c>
    </row>
    <row r="240" spans="1:7" ht="11.25" customHeight="1" x14ac:dyDescent="0.2">
      <c r="A240" s="57" t="s">
        <v>25</v>
      </c>
      <c r="B240" s="48">
        <v>4191.8175999999985</v>
      </c>
      <c r="C240" s="48">
        <v>0</v>
      </c>
      <c r="D240" s="48">
        <v>4114.9744389672578</v>
      </c>
      <c r="E240" s="48">
        <v>0</v>
      </c>
      <c r="F240" s="48">
        <v>4191.8175999999985</v>
      </c>
      <c r="G240" s="48">
        <v>4114.9744389672596</v>
      </c>
    </row>
    <row r="241" spans="1:7" ht="11.25" customHeight="1" x14ac:dyDescent="0.2">
      <c r="A241" s="58">
        <v>44440</v>
      </c>
      <c r="B241" s="48">
        <v>363.34559999999993</v>
      </c>
      <c r="C241" s="48">
        <v>0</v>
      </c>
      <c r="D241" s="48">
        <v>356.68485587522264</v>
      </c>
      <c r="E241" s="48">
        <v>0</v>
      </c>
      <c r="F241" s="48">
        <v>363.34559999999993</v>
      </c>
      <c r="G241" s="48">
        <v>356.68485587522264</v>
      </c>
    </row>
    <row r="242" spans="1:7" ht="11.25" customHeight="1" x14ac:dyDescent="0.2">
      <c r="A242" s="58">
        <v>44470</v>
      </c>
      <c r="B242" s="48">
        <v>353.08159999999975</v>
      </c>
      <c r="C242" s="48">
        <v>0</v>
      </c>
      <c r="D242" s="48">
        <v>346.60901248891679</v>
      </c>
      <c r="E242" s="48">
        <v>0</v>
      </c>
      <c r="F242" s="48">
        <v>353.08159999999975</v>
      </c>
      <c r="G242" s="48">
        <v>346.60901248891679</v>
      </c>
    </row>
    <row r="243" spans="1:7" ht="11.25" customHeight="1" x14ac:dyDescent="0.2">
      <c r="A243" s="58">
        <v>44501</v>
      </c>
      <c r="B243" s="48">
        <v>358.21360000000021</v>
      </c>
      <c r="C243" s="48">
        <v>0</v>
      </c>
      <c r="D243" s="48">
        <v>351.64693418207003</v>
      </c>
      <c r="E243" s="48">
        <v>0</v>
      </c>
      <c r="F243" s="48">
        <v>358.21360000000021</v>
      </c>
      <c r="G243" s="48">
        <v>351.64693418207003</v>
      </c>
    </row>
    <row r="244" spans="1:7" ht="11.25" customHeight="1" x14ac:dyDescent="0.2">
      <c r="A244" s="58">
        <v>44531</v>
      </c>
      <c r="B244" s="48">
        <v>378.74160000000052</v>
      </c>
      <c r="C244" s="48">
        <v>0</v>
      </c>
      <c r="D244" s="48">
        <v>371.79862095468178</v>
      </c>
      <c r="E244" s="48">
        <v>0</v>
      </c>
      <c r="F244" s="48">
        <v>378.74160000000052</v>
      </c>
      <c r="G244" s="48">
        <v>371.79862095468178</v>
      </c>
    </row>
    <row r="245" spans="1:7" ht="11.25" customHeight="1" x14ac:dyDescent="0.2">
      <c r="A245" s="58">
        <v>44562</v>
      </c>
      <c r="B245" s="48">
        <v>354.10799999999955</v>
      </c>
      <c r="C245" s="48">
        <v>0</v>
      </c>
      <c r="D245" s="48">
        <v>347.61659682754714</v>
      </c>
      <c r="E245" s="48">
        <v>0</v>
      </c>
      <c r="F245" s="48">
        <v>354.10799999999955</v>
      </c>
      <c r="G245" s="48">
        <v>347.61659682754714</v>
      </c>
    </row>
    <row r="246" spans="1:7" ht="11.25" customHeight="1" x14ac:dyDescent="0.2">
      <c r="A246" s="58">
        <v>44593</v>
      </c>
      <c r="B246" s="48">
        <v>368.47759999999965</v>
      </c>
      <c r="C246" s="48">
        <v>0</v>
      </c>
      <c r="D246" s="48">
        <v>361.72277756837519</v>
      </c>
      <c r="E246" s="48">
        <v>0</v>
      </c>
      <c r="F246" s="48">
        <v>368.47759999999965</v>
      </c>
      <c r="G246" s="48">
        <v>361.72277756837519</v>
      </c>
    </row>
    <row r="247" spans="1:7" ht="11.25" customHeight="1" x14ac:dyDescent="0.2">
      <c r="A247" s="58">
        <v>44621</v>
      </c>
      <c r="B247" s="48">
        <v>395.16400000000016</v>
      </c>
      <c r="C247" s="48">
        <v>0</v>
      </c>
      <c r="D247" s="48">
        <v>387.91997037277059</v>
      </c>
      <c r="E247" s="48">
        <v>0</v>
      </c>
      <c r="F247" s="48">
        <v>395.16400000000016</v>
      </c>
      <c r="G247" s="48">
        <v>387.91997037277059</v>
      </c>
    </row>
    <row r="248" spans="1:7" ht="11.25" customHeight="1" x14ac:dyDescent="0.2">
      <c r="A248" s="58">
        <v>44652</v>
      </c>
      <c r="B248" s="48">
        <v>369.50400000000013</v>
      </c>
      <c r="C248" s="48">
        <v>0</v>
      </c>
      <c r="D248" s="48">
        <v>362.73036190700628</v>
      </c>
      <c r="E248" s="48">
        <v>0</v>
      </c>
      <c r="F248" s="48">
        <v>369.50400000000013</v>
      </c>
      <c r="G248" s="48">
        <v>362.73036190700628</v>
      </c>
    </row>
    <row r="249" spans="1:7" ht="11.25" customHeight="1" x14ac:dyDescent="0.2">
      <c r="A249" s="58">
        <v>44682</v>
      </c>
      <c r="B249" s="48">
        <v>348.97599999999989</v>
      </c>
      <c r="C249" s="48">
        <v>0</v>
      </c>
      <c r="D249" s="48">
        <v>342.57867513439453</v>
      </c>
      <c r="E249" s="48">
        <v>0</v>
      </c>
      <c r="F249" s="48">
        <v>348.97599999999989</v>
      </c>
      <c r="G249" s="48">
        <v>342.57867513439453</v>
      </c>
    </row>
    <row r="250" spans="1:7" ht="11.25" customHeight="1" x14ac:dyDescent="0.2">
      <c r="A250" s="58">
        <v>44713</v>
      </c>
      <c r="B250" s="48">
        <v>358.21360000000021</v>
      </c>
      <c r="C250" s="48">
        <v>0</v>
      </c>
      <c r="D250" s="48">
        <v>351.64693418207003</v>
      </c>
      <c r="E250" s="48">
        <v>0</v>
      </c>
      <c r="F250" s="48">
        <v>358.21360000000021</v>
      </c>
      <c r="G250" s="48">
        <v>351.64693418207003</v>
      </c>
    </row>
    <row r="251" spans="1:7" ht="11.25" customHeight="1" x14ac:dyDescent="0.2">
      <c r="A251" s="58">
        <v>44743</v>
      </c>
      <c r="B251" s="48">
        <v>195.01599999999985</v>
      </c>
      <c r="C251" s="48">
        <v>0</v>
      </c>
      <c r="D251" s="48">
        <v>191.44102433980868</v>
      </c>
      <c r="E251" s="48">
        <v>0</v>
      </c>
      <c r="F251" s="48">
        <v>195.01599999999985</v>
      </c>
      <c r="G251" s="48">
        <v>191.44102433980868</v>
      </c>
    </row>
    <row r="252" spans="1:7" ht="11.25" customHeight="1" x14ac:dyDescent="0.2">
      <c r="A252" s="58">
        <v>44774</v>
      </c>
      <c r="B252" s="48">
        <v>348.97599999999989</v>
      </c>
      <c r="C252" s="48">
        <v>0</v>
      </c>
      <c r="D252" s="48">
        <v>342.57867513439453</v>
      </c>
      <c r="E252" s="48">
        <v>0</v>
      </c>
      <c r="F252" s="48">
        <v>348.97599999999989</v>
      </c>
      <c r="G252" s="48">
        <v>342.57867513439453</v>
      </c>
    </row>
    <row r="253" spans="1:7" ht="11.25" customHeight="1" x14ac:dyDescent="0.2">
      <c r="A253" s="57" t="s">
        <v>37</v>
      </c>
      <c r="B253" s="48">
        <v>0</v>
      </c>
      <c r="C253" s="48">
        <v>3569.8519583999978</v>
      </c>
      <c r="D253" s="48">
        <v>0</v>
      </c>
      <c r="E253" s="48">
        <v>3576.1300775352947</v>
      </c>
      <c r="F253" s="48">
        <v>3569.8519583999978</v>
      </c>
      <c r="G253" s="48">
        <v>3576.1300775352938</v>
      </c>
    </row>
    <row r="254" spans="1:7" ht="11.25" customHeight="1" x14ac:dyDescent="0.2">
      <c r="A254" s="58">
        <v>44440</v>
      </c>
      <c r="B254" s="48">
        <v>0</v>
      </c>
      <c r="C254" s="48">
        <v>377.77259520000109</v>
      </c>
      <c r="D254" s="48">
        <v>0</v>
      </c>
      <c r="E254" s="48">
        <v>378.43696486752611</v>
      </c>
      <c r="F254" s="48">
        <v>377.77259520000109</v>
      </c>
      <c r="G254" s="48">
        <v>378.43696486752611</v>
      </c>
    </row>
    <row r="255" spans="1:7" ht="11.25" customHeight="1" x14ac:dyDescent="0.2">
      <c r="A255" s="58">
        <v>44470</v>
      </c>
      <c r="B255" s="48">
        <v>0</v>
      </c>
      <c r="C255" s="48">
        <v>250.72014239999959</v>
      </c>
      <c r="D255" s="48">
        <v>0</v>
      </c>
      <c r="E255" s="48">
        <v>251.16107130740204</v>
      </c>
      <c r="F255" s="48">
        <v>250.72014239999959</v>
      </c>
      <c r="G255" s="48">
        <v>251.16107130740204</v>
      </c>
    </row>
    <row r="256" spans="1:7" ht="11.25" customHeight="1" x14ac:dyDescent="0.2">
      <c r="A256" s="58">
        <v>44501</v>
      </c>
      <c r="B256" s="48">
        <v>0</v>
      </c>
      <c r="C256" s="48">
        <v>364.9765391999988</v>
      </c>
      <c r="D256" s="48">
        <v>0</v>
      </c>
      <c r="E256" s="48">
        <v>365.61840508726459</v>
      </c>
      <c r="F256" s="48">
        <v>364.9765391999988</v>
      </c>
      <c r="G256" s="48">
        <v>365.61840508726459</v>
      </c>
    </row>
    <row r="257" spans="1:7" ht="11.25" customHeight="1" x14ac:dyDescent="0.2">
      <c r="A257" s="58">
        <v>44531</v>
      </c>
      <c r="B257" s="48">
        <v>0</v>
      </c>
      <c r="C257" s="48">
        <v>254.27001600000006</v>
      </c>
      <c r="D257" s="48">
        <v>0</v>
      </c>
      <c r="E257" s="48">
        <v>254.71718789160343</v>
      </c>
      <c r="F257" s="48">
        <v>254.27001600000006</v>
      </c>
      <c r="G257" s="48">
        <v>254.71718789160343</v>
      </c>
    </row>
    <row r="258" spans="1:7" ht="11.25" customHeight="1" x14ac:dyDescent="0.2">
      <c r="A258" s="58">
        <v>44562</v>
      </c>
      <c r="B258" s="48">
        <v>0</v>
      </c>
      <c r="C258" s="48">
        <v>391.0639823999993</v>
      </c>
      <c r="D258" s="48">
        <v>0</v>
      </c>
      <c r="E258" s="48">
        <v>391.75172696185808</v>
      </c>
      <c r="F258" s="48">
        <v>391.0639823999993</v>
      </c>
      <c r="G258" s="48">
        <v>391.75172696185808</v>
      </c>
    </row>
    <row r="259" spans="1:7" ht="11.25" customHeight="1" x14ac:dyDescent="0.2">
      <c r="A259" s="58">
        <v>44593</v>
      </c>
      <c r="B259" s="48">
        <v>0</v>
      </c>
      <c r="C259" s="48">
        <v>389.41287839999944</v>
      </c>
      <c r="D259" s="48">
        <v>0</v>
      </c>
      <c r="E259" s="48">
        <v>390.09771924827646</v>
      </c>
      <c r="F259" s="48">
        <v>389.41287839999944</v>
      </c>
      <c r="G259" s="48">
        <v>390.09771924827646</v>
      </c>
    </row>
    <row r="260" spans="1:7" ht="11.25" customHeight="1" x14ac:dyDescent="0.2">
      <c r="A260" s="58">
        <v>44621</v>
      </c>
      <c r="B260" s="48">
        <v>0</v>
      </c>
      <c r="C260" s="48">
        <v>485.50713119999932</v>
      </c>
      <c r="D260" s="48">
        <v>0</v>
      </c>
      <c r="E260" s="48">
        <v>486.36096817873943</v>
      </c>
      <c r="F260" s="48">
        <v>485.50713119999932</v>
      </c>
      <c r="G260" s="48">
        <v>486.36096817873943</v>
      </c>
    </row>
    <row r="261" spans="1:7" ht="11.25" customHeight="1" x14ac:dyDescent="0.2">
      <c r="A261" s="58">
        <v>44652</v>
      </c>
      <c r="B261" s="48">
        <v>0</v>
      </c>
      <c r="C261" s="48">
        <v>364.39865280000055</v>
      </c>
      <c r="D261" s="48">
        <v>0</v>
      </c>
      <c r="E261" s="48">
        <v>365.03950238751264</v>
      </c>
      <c r="F261" s="48">
        <v>364.39865280000055</v>
      </c>
      <c r="G261" s="48">
        <v>365.03950238751264</v>
      </c>
    </row>
    <row r="262" spans="1:7" ht="11.25" customHeight="1" x14ac:dyDescent="0.2">
      <c r="A262" s="58">
        <v>44682</v>
      </c>
      <c r="B262" s="48">
        <v>0</v>
      </c>
      <c r="C262" s="48">
        <v>337.32054720000008</v>
      </c>
      <c r="D262" s="48">
        <v>0</v>
      </c>
      <c r="E262" s="48">
        <v>337.91377588476996</v>
      </c>
      <c r="F262" s="48">
        <v>337.32054720000008</v>
      </c>
      <c r="G262" s="48">
        <v>337.91377588476996</v>
      </c>
    </row>
    <row r="263" spans="1:7" ht="11.25" customHeight="1" x14ac:dyDescent="0.2">
      <c r="A263" s="58">
        <v>44713</v>
      </c>
      <c r="B263" s="48">
        <v>0</v>
      </c>
      <c r="C263" s="48">
        <v>217.86317279999983</v>
      </c>
      <c r="D263" s="48">
        <v>0</v>
      </c>
      <c r="E263" s="48">
        <v>218.24631780712369</v>
      </c>
      <c r="F263" s="48">
        <v>217.86317279999983</v>
      </c>
      <c r="G263" s="48">
        <v>218.24631780712369</v>
      </c>
    </row>
    <row r="264" spans="1:7" ht="11.25" customHeight="1" x14ac:dyDescent="0.2">
      <c r="A264" s="58">
        <v>44743</v>
      </c>
      <c r="B264" s="48">
        <v>0</v>
      </c>
      <c r="C264" s="48">
        <v>9.8240688000000009</v>
      </c>
      <c r="D264" s="48">
        <v>0</v>
      </c>
      <c r="E264" s="48">
        <v>9.8413458958119495</v>
      </c>
      <c r="F264" s="48">
        <v>9.8240688000000009</v>
      </c>
      <c r="G264" s="48">
        <v>9.8413458958119495</v>
      </c>
    </row>
    <row r="265" spans="1:7" ht="11.25" customHeight="1" x14ac:dyDescent="0.2">
      <c r="A265" s="58">
        <v>44774</v>
      </c>
      <c r="B265" s="48">
        <v>0</v>
      </c>
      <c r="C265" s="48">
        <v>126.72223199999979</v>
      </c>
      <c r="D265" s="48">
        <v>0</v>
      </c>
      <c r="E265" s="48">
        <v>126.94509201740601</v>
      </c>
      <c r="F265" s="48">
        <v>126.72223199999979</v>
      </c>
      <c r="G265" s="48">
        <v>126.94509201740601</v>
      </c>
    </row>
    <row r="266" spans="1:7" ht="11.25" customHeight="1" x14ac:dyDescent="0.2">
      <c r="A266" s="51" t="s">
        <v>40</v>
      </c>
      <c r="B266" s="48">
        <v>0</v>
      </c>
      <c r="C266" s="48">
        <v>2481392.8049999978</v>
      </c>
      <c r="D266" s="48">
        <v>0</v>
      </c>
      <c r="E266" s="48">
        <v>1320038.9710716358</v>
      </c>
      <c r="F266" s="48">
        <v>2481392.8049999974</v>
      </c>
      <c r="G266" s="48">
        <v>1320038.9710716356</v>
      </c>
    </row>
    <row r="267" spans="1:7" ht="11.25" customHeight="1" x14ac:dyDescent="0.2">
      <c r="A267" s="52" t="s">
        <v>23</v>
      </c>
      <c r="B267" s="48">
        <v>0</v>
      </c>
      <c r="C267" s="48">
        <v>2481392.8049999978</v>
      </c>
      <c r="D267" s="48">
        <v>0</v>
      </c>
      <c r="E267" s="48">
        <v>1320038.9710716358</v>
      </c>
      <c r="F267" s="48">
        <v>2481392.8049999974</v>
      </c>
      <c r="G267" s="48">
        <v>1320038.9710716356</v>
      </c>
    </row>
    <row r="268" spans="1:7" ht="11.25" customHeight="1" x14ac:dyDescent="0.2">
      <c r="A268" s="53" t="s">
        <v>41</v>
      </c>
      <c r="B268" s="48">
        <v>0</v>
      </c>
      <c r="C268" s="48">
        <v>2481392.8049999978</v>
      </c>
      <c r="D268" s="48">
        <v>0</v>
      </c>
      <c r="E268" s="48">
        <v>1320038.9710716358</v>
      </c>
      <c r="F268" s="48">
        <v>2481392.8049999974</v>
      </c>
      <c r="G268" s="48">
        <v>1320038.9710716356</v>
      </c>
    </row>
    <row r="269" spans="1:7" ht="11.25" customHeight="1" x14ac:dyDescent="0.2">
      <c r="A269" s="54" t="s">
        <v>49</v>
      </c>
      <c r="B269" s="48">
        <v>0</v>
      </c>
      <c r="C269" s="48">
        <v>2672.1741999999977</v>
      </c>
      <c r="D269" s="48">
        <v>0</v>
      </c>
      <c r="E269" s="48">
        <v>1421.529906262532</v>
      </c>
      <c r="F269" s="48">
        <v>2672.1741999999972</v>
      </c>
      <c r="G269" s="48">
        <v>1421.5299062625327</v>
      </c>
    </row>
    <row r="270" spans="1:7" ht="11.25" customHeight="1" x14ac:dyDescent="0.2">
      <c r="A270" s="55" t="s">
        <v>50</v>
      </c>
      <c r="B270" s="48">
        <v>0</v>
      </c>
      <c r="C270" s="48">
        <v>2672.1741999999977</v>
      </c>
      <c r="D270" s="48">
        <v>0</v>
      </c>
      <c r="E270" s="48">
        <v>1421.529906262532</v>
      </c>
      <c r="F270" s="48">
        <v>2672.1741999999972</v>
      </c>
      <c r="G270" s="48">
        <v>1421.5299062625327</v>
      </c>
    </row>
    <row r="271" spans="1:7" ht="11.25" customHeight="1" x14ac:dyDescent="0.2">
      <c r="A271" s="56" t="s">
        <v>25</v>
      </c>
      <c r="B271" s="48">
        <v>0</v>
      </c>
      <c r="C271" s="48">
        <v>2672.1741999999977</v>
      </c>
      <c r="D271" s="48">
        <v>0</v>
      </c>
      <c r="E271" s="48">
        <v>1421.529906262532</v>
      </c>
      <c r="F271" s="48">
        <v>2672.1741999999972</v>
      </c>
      <c r="G271" s="48">
        <v>1421.5299062625327</v>
      </c>
    </row>
    <row r="272" spans="1:7" ht="11.25" customHeight="1" x14ac:dyDescent="0.2">
      <c r="A272" s="57" t="s">
        <v>25</v>
      </c>
      <c r="B272" s="48">
        <v>0</v>
      </c>
      <c r="C272" s="48">
        <v>2672.1741999999977</v>
      </c>
      <c r="D272" s="48">
        <v>0</v>
      </c>
      <c r="E272" s="48">
        <v>1421.529906262532</v>
      </c>
      <c r="F272" s="48">
        <v>2672.1741999999972</v>
      </c>
      <c r="G272" s="48">
        <v>1421.5299062625327</v>
      </c>
    </row>
    <row r="273" spans="1:7" ht="11.25" customHeight="1" x14ac:dyDescent="0.2">
      <c r="A273" s="58">
        <v>44440</v>
      </c>
      <c r="B273" s="48">
        <v>0</v>
      </c>
      <c r="C273" s="48">
        <v>275.42159999999973</v>
      </c>
      <c r="D273" s="48">
        <v>0</v>
      </c>
      <c r="E273" s="48">
        <v>146.51740939294922</v>
      </c>
      <c r="F273" s="48">
        <v>275.42159999999973</v>
      </c>
      <c r="G273" s="48">
        <v>146.51740939294922</v>
      </c>
    </row>
    <row r="274" spans="1:7" ht="11.25" customHeight="1" x14ac:dyDescent="0.2">
      <c r="A274" s="58">
        <v>44470</v>
      </c>
      <c r="B274" s="48">
        <v>0</v>
      </c>
      <c r="C274" s="48">
        <v>199.53759999999983</v>
      </c>
      <c r="D274" s="48">
        <v>0</v>
      </c>
      <c r="E274" s="48">
        <v>106.14901746444923</v>
      </c>
      <c r="F274" s="48">
        <v>199.53759999999983</v>
      </c>
      <c r="G274" s="48">
        <v>106.14901746444923</v>
      </c>
    </row>
    <row r="275" spans="1:7" ht="11.25" customHeight="1" x14ac:dyDescent="0.2">
      <c r="A275" s="58">
        <v>44501</v>
      </c>
      <c r="B275" s="48">
        <v>0</v>
      </c>
      <c r="C275" s="48">
        <v>219.87699999999981</v>
      </c>
      <c r="D275" s="48">
        <v>0</v>
      </c>
      <c r="E275" s="48">
        <v>116.96907005512095</v>
      </c>
      <c r="F275" s="48">
        <v>219.87699999999981</v>
      </c>
      <c r="G275" s="48">
        <v>116.96907005512095</v>
      </c>
    </row>
    <row r="276" spans="1:7" ht="11.25" customHeight="1" x14ac:dyDescent="0.2">
      <c r="A276" s="58">
        <v>44531</v>
      </c>
      <c r="B276" s="48">
        <v>0</v>
      </c>
      <c r="C276" s="48">
        <v>232.3791999999998</v>
      </c>
      <c r="D276" s="48">
        <v>0</v>
      </c>
      <c r="E276" s="48">
        <v>123.61992806957055</v>
      </c>
      <c r="F276" s="48">
        <v>232.3791999999998</v>
      </c>
      <c r="G276" s="48">
        <v>123.61992806957055</v>
      </c>
    </row>
    <row r="277" spans="1:7" ht="11.25" customHeight="1" x14ac:dyDescent="0.2">
      <c r="A277" s="58">
        <v>44562</v>
      </c>
      <c r="B277" s="48">
        <v>0</v>
      </c>
      <c r="C277" s="48">
        <v>294.57919999999973</v>
      </c>
      <c r="D277" s="48">
        <v>0</v>
      </c>
      <c r="E277" s="48">
        <v>156.70877391260333</v>
      </c>
      <c r="F277" s="48">
        <v>294.57919999999973</v>
      </c>
      <c r="G277" s="48">
        <v>156.70877391260333</v>
      </c>
    </row>
    <row r="278" spans="1:7" ht="11.25" customHeight="1" x14ac:dyDescent="0.2">
      <c r="A278" s="58">
        <v>44593</v>
      </c>
      <c r="B278" s="48">
        <v>0</v>
      </c>
      <c r="C278" s="48">
        <v>297.93799999999976</v>
      </c>
      <c r="D278" s="48">
        <v>0</v>
      </c>
      <c r="E278" s="48">
        <v>158.49557158812712</v>
      </c>
      <c r="F278" s="48">
        <v>297.93799999999976</v>
      </c>
      <c r="G278" s="48">
        <v>158.49557158812712</v>
      </c>
    </row>
    <row r="279" spans="1:7" ht="11.25" customHeight="1" x14ac:dyDescent="0.2">
      <c r="A279" s="58">
        <v>44621</v>
      </c>
      <c r="B279" s="48">
        <v>0</v>
      </c>
      <c r="C279" s="48">
        <v>253.21619999999979</v>
      </c>
      <c r="D279" s="48">
        <v>0</v>
      </c>
      <c r="E279" s="48">
        <v>134.70469142698653</v>
      </c>
      <c r="F279" s="48">
        <v>253.21619999999979</v>
      </c>
      <c r="G279" s="48">
        <v>134.70469142698653</v>
      </c>
    </row>
    <row r="280" spans="1:7" ht="11.25" customHeight="1" x14ac:dyDescent="0.2">
      <c r="A280" s="58">
        <v>44652</v>
      </c>
      <c r="B280" s="48">
        <v>0</v>
      </c>
      <c r="C280" s="48">
        <v>206.69059999999982</v>
      </c>
      <c r="D280" s="48">
        <v>0</v>
      </c>
      <c r="E280" s="48">
        <v>109.95423473639799</v>
      </c>
      <c r="F280" s="48">
        <v>206.69059999999982</v>
      </c>
      <c r="G280" s="48">
        <v>109.95423473639799</v>
      </c>
    </row>
    <row r="281" spans="1:7" ht="11.25" customHeight="1" x14ac:dyDescent="0.2">
      <c r="A281" s="58">
        <v>44682</v>
      </c>
      <c r="B281" s="48">
        <v>0</v>
      </c>
      <c r="C281" s="48">
        <v>156.43299999999985</v>
      </c>
      <c r="D281" s="48">
        <v>0</v>
      </c>
      <c r="E281" s="48">
        <v>83.218447295227492</v>
      </c>
      <c r="F281" s="48">
        <v>156.43299999999985</v>
      </c>
      <c r="G281" s="48">
        <v>83.218447295227492</v>
      </c>
    </row>
    <row r="282" spans="1:7" ht="11.25" customHeight="1" x14ac:dyDescent="0.2">
      <c r="A282" s="58">
        <v>44713</v>
      </c>
      <c r="B282" s="48">
        <v>0</v>
      </c>
      <c r="C282" s="48">
        <v>192.26019999999986</v>
      </c>
      <c r="D282" s="48">
        <v>0</v>
      </c>
      <c r="E282" s="48">
        <v>102.27762250081439</v>
      </c>
      <c r="F282" s="48">
        <v>192.26019999999986</v>
      </c>
      <c r="G282" s="48">
        <v>102.27762250081439</v>
      </c>
    </row>
    <row r="283" spans="1:7" ht="11.25" customHeight="1" x14ac:dyDescent="0.2">
      <c r="A283" s="58">
        <v>44743</v>
      </c>
      <c r="B283" s="48">
        <v>0</v>
      </c>
      <c r="C283" s="48">
        <v>162.96399999999983</v>
      </c>
      <c r="D283" s="48">
        <v>0</v>
      </c>
      <c r="E283" s="48">
        <v>86.692776108745946</v>
      </c>
      <c r="F283" s="48">
        <v>162.96399999999983</v>
      </c>
      <c r="G283" s="48">
        <v>86.692776108745946</v>
      </c>
    </row>
    <row r="284" spans="1:7" ht="11.25" customHeight="1" x14ac:dyDescent="0.2">
      <c r="A284" s="58">
        <v>44774</v>
      </c>
      <c r="B284" s="48">
        <v>0</v>
      </c>
      <c r="C284" s="48">
        <v>180.87759999999983</v>
      </c>
      <c r="D284" s="48">
        <v>0</v>
      </c>
      <c r="E284" s="48">
        <v>96.222363711539387</v>
      </c>
      <c r="F284" s="48">
        <v>180.87759999999983</v>
      </c>
      <c r="G284" s="48">
        <v>96.222363711539387</v>
      </c>
    </row>
    <row r="285" spans="1:7" ht="11.25" customHeight="1" x14ac:dyDescent="0.2">
      <c r="A285" s="54" t="s">
        <v>52</v>
      </c>
      <c r="B285" s="48">
        <v>0</v>
      </c>
      <c r="C285" s="48">
        <v>5262.3687999999947</v>
      </c>
      <c r="D285" s="48">
        <v>0</v>
      </c>
      <c r="E285" s="48">
        <v>2799.4487137039469</v>
      </c>
      <c r="F285" s="48">
        <v>5262.3687999999938</v>
      </c>
      <c r="G285" s="48">
        <v>2799.4487137039469</v>
      </c>
    </row>
    <row r="286" spans="1:7" ht="11.25" customHeight="1" x14ac:dyDescent="0.2">
      <c r="A286" s="55" t="s">
        <v>50</v>
      </c>
      <c r="B286" s="48">
        <v>0</v>
      </c>
      <c r="C286" s="48">
        <v>5262.3687999999947</v>
      </c>
      <c r="D286" s="48">
        <v>0</v>
      </c>
      <c r="E286" s="48">
        <v>2799.4487137039469</v>
      </c>
      <c r="F286" s="48">
        <v>5262.3687999999938</v>
      </c>
      <c r="G286" s="48">
        <v>2799.4487137039469</v>
      </c>
    </row>
    <row r="287" spans="1:7" ht="11.25" customHeight="1" x14ac:dyDescent="0.2">
      <c r="A287" s="56" t="s">
        <v>25</v>
      </c>
      <c r="B287" s="48">
        <v>0</v>
      </c>
      <c r="C287" s="48">
        <v>5262.3687999999947</v>
      </c>
      <c r="D287" s="48">
        <v>0</v>
      </c>
      <c r="E287" s="48">
        <v>2799.4487137039469</v>
      </c>
      <c r="F287" s="48">
        <v>5262.3687999999938</v>
      </c>
      <c r="G287" s="48">
        <v>2799.4487137039469</v>
      </c>
    </row>
    <row r="288" spans="1:7" ht="11.25" customHeight="1" x14ac:dyDescent="0.2">
      <c r="A288" s="57" t="s">
        <v>25</v>
      </c>
      <c r="B288" s="48">
        <v>0</v>
      </c>
      <c r="C288" s="48">
        <v>5262.3687999999947</v>
      </c>
      <c r="D288" s="48">
        <v>0</v>
      </c>
      <c r="E288" s="48">
        <v>2799.4487137039469</v>
      </c>
      <c r="F288" s="48">
        <v>5262.3687999999938</v>
      </c>
      <c r="G288" s="48">
        <v>2799.4487137039469</v>
      </c>
    </row>
    <row r="289" spans="1:7" ht="11.25" customHeight="1" x14ac:dyDescent="0.2">
      <c r="A289" s="58">
        <v>44440</v>
      </c>
      <c r="B289" s="48">
        <v>0</v>
      </c>
      <c r="C289" s="48">
        <v>486.15519999999958</v>
      </c>
      <c r="D289" s="48">
        <v>0</v>
      </c>
      <c r="E289" s="48">
        <v>258.6224191091444</v>
      </c>
      <c r="F289" s="48">
        <v>486.15519999999958</v>
      </c>
      <c r="G289" s="48">
        <v>258.6224191091444</v>
      </c>
    </row>
    <row r="290" spans="1:7" ht="11.25" customHeight="1" x14ac:dyDescent="0.2">
      <c r="A290" s="58">
        <v>44470</v>
      </c>
      <c r="B290" s="48">
        <v>0</v>
      </c>
      <c r="C290" s="48">
        <v>463.8253999999996</v>
      </c>
      <c r="D290" s="48">
        <v>0</v>
      </c>
      <c r="E290" s="48">
        <v>246.74352345149558</v>
      </c>
      <c r="F290" s="48">
        <v>463.8253999999996</v>
      </c>
      <c r="G290" s="48">
        <v>246.74352345149558</v>
      </c>
    </row>
    <row r="291" spans="1:7" ht="11.25" customHeight="1" x14ac:dyDescent="0.2">
      <c r="A291" s="58">
        <v>44501</v>
      </c>
      <c r="B291" s="48">
        <v>0</v>
      </c>
      <c r="C291" s="48">
        <v>395.71639999999962</v>
      </c>
      <c r="D291" s="48">
        <v>0</v>
      </c>
      <c r="E291" s="48">
        <v>210.51123725337465</v>
      </c>
      <c r="F291" s="48">
        <v>395.71639999999962</v>
      </c>
      <c r="G291" s="48">
        <v>210.51123725337465</v>
      </c>
    </row>
    <row r="292" spans="1:7" ht="11.25" customHeight="1" x14ac:dyDescent="0.2">
      <c r="A292" s="58">
        <v>44531</v>
      </c>
      <c r="B292" s="48">
        <v>0</v>
      </c>
      <c r="C292" s="48">
        <v>362.50159999999971</v>
      </c>
      <c r="D292" s="48">
        <v>0</v>
      </c>
      <c r="E292" s="48">
        <v>192.84179357319516</v>
      </c>
      <c r="F292" s="48">
        <v>362.50159999999971</v>
      </c>
      <c r="G292" s="48">
        <v>192.84179357319516</v>
      </c>
    </row>
    <row r="293" spans="1:7" ht="11.25" customHeight="1" x14ac:dyDescent="0.2">
      <c r="A293" s="58">
        <v>44562</v>
      </c>
      <c r="B293" s="48">
        <v>0</v>
      </c>
      <c r="C293" s="48">
        <v>604.52179999999942</v>
      </c>
      <c r="D293" s="48">
        <v>0</v>
      </c>
      <c r="E293" s="48">
        <v>321.59049274843579</v>
      </c>
      <c r="F293" s="48">
        <v>604.52179999999942</v>
      </c>
      <c r="G293" s="48">
        <v>321.59049274843579</v>
      </c>
    </row>
    <row r="294" spans="1:7" ht="11.25" customHeight="1" x14ac:dyDescent="0.2">
      <c r="A294" s="58">
        <v>44593</v>
      </c>
      <c r="B294" s="48">
        <v>0</v>
      </c>
      <c r="C294" s="48">
        <v>785.0883999999993</v>
      </c>
      <c r="D294" s="48">
        <v>0</v>
      </c>
      <c r="E294" s="48">
        <v>417.64741223075998</v>
      </c>
      <c r="F294" s="48">
        <v>785.0883999999993</v>
      </c>
      <c r="G294" s="48">
        <v>417.64741223075998</v>
      </c>
    </row>
    <row r="295" spans="1:7" ht="11.25" customHeight="1" x14ac:dyDescent="0.2">
      <c r="A295" s="58">
        <v>44621</v>
      </c>
      <c r="B295" s="48">
        <v>0</v>
      </c>
      <c r="C295" s="48">
        <v>553.70439999999951</v>
      </c>
      <c r="D295" s="48">
        <v>0</v>
      </c>
      <c r="E295" s="48">
        <v>294.55690569467799</v>
      </c>
      <c r="F295" s="48">
        <v>553.70439999999951</v>
      </c>
      <c r="G295" s="48">
        <v>294.55690569467799</v>
      </c>
    </row>
    <row r="296" spans="1:7" ht="11.25" customHeight="1" x14ac:dyDescent="0.2">
      <c r="A296" s="58">
        <v>44652</v>
      </c>
      <c r="B296" s="48">
        <v>0</v>
      </c>
      <c r="C296" s="48">
        <v>499.83919999999955</v>
      </c>
      <c r="D296" s="48">
        <v>0</v>
      </c>
      <c r="E296" s="48">
        <v>265.90196519461159</v>
      </c>
      <c r="F296" s="48">
        <v>499.83919999999955</v>
      </c>
      <c r="G296" s="48">
        <v>265.90196519461159</v>
      </c>
    </row>
    <row r="297" spans="1:7" ht="11.25" customHeight="1" x14ac:dyDescent="0.2">
      <c r="A297" s="58">
        <v>44682</v>
      </c>
      <c r="B297" s="48">
        <v>0</v>
      </c>
      <c r="C297" s="48">
        <v>321.44959999999969</v>
      </c>
      <c r="D297" s="48">
        <v>0</v>
      </c>
      <c r="E297" s="48">
        <v>171.00315531679351</v>
      </c>
      <c r="F297" s="48">
        <v>321.44959999999969</v>
      </c>
      <c r="G297" s="48">
        <v>171.00315531679351</v>
      </c>
    </row>
    <row r="298" spans="1:7" ht="11.25" customHeight="1" x14ac:dyDescent="0.2">
      <c r="A298" s="58">
        <v>44713</v>
      </c>
      <c r="B298" s="48">
        <v>0</v>
      </c>
      <c r="C298" s="48">
        <v>326.17679999999967</v>
      </c>
      <c r="D298" s="48">
        <v>0</v>
      </c>
      <c r="E298" s="48">
        <v>173.51790760086399</v>
      </c>
      <c r="F298" s="48">
        <v>326.17679999999967</v>
      </c>
      <c r="G298" s="48">
        <v>173.51790760086399</v>
      </c>
    </row>
    <row r="299" spans="1:7" ht="11.25" customHeight="1" x14ac:dyDescent="0.2">
      <c r="A299" s="58">
        <v>44743</v>
      </c>
      <c r="B299" s="48">
        <v>0</v>
      </c>
      <c r="C299" s="48">
        <v>220.25019999999984</v>
      </c>
      <c r="D299" s="48">
        <v>0</v>
      </c>
      <c r="E299" s="48">
        <v>117.16760313017915</v>
      </c>
      <c r="F299" s="48">
        <v>220.25019999999984</v>
      </c>
      <c r="G299" s="48">
        <v>117.16760313017915</v>
      </c>
    </row>
    <row r="300" spans="1:7" ht="11.25" customHeight="1" x14ac:dyDescent="0.2">
      <c r="A300" s="58">
        <v>44774</v>
      </c>
      <c r="B300" s="48">
        <v>0</v>
      </c>
      <c r="C300" s="48">
        <v>243.13979999999981</v>
      </c>
      <c r="D300" s="48">
        <v>0</v>
      </c>
      <c r="E300" s="48">
        <v>129.34429840041523</v>
      </c>
      <c r="F300" s="48">
        <v>243.13979999999981</v>
      </c>
      <c r="G300" s="48">
        <v>129.34429840041523</v>
      </c>
    </row>
    <row r="301" spans="1:7" ht="11.25" customHeight="1" x14ac:dyDescent="0.2">
      <c r="A301" s="54" t="s">
        <v>25</v>
      </c>
      <c r="B301" s="48">
        <v>0</v>
      </c>
      <c r="C301" s="48">
        <v>2473458.2619999978</v>
      </c>
      <c r="D301" s="48">
        <v>0</v>
      </c>
      <c r="E301" s="48">
        <v>1315817.9924516694</v>
      </c>
      <c r="F301" s="48">
        <v>2473458.2619999973</v>
      </c>
      <c r="G301" s="48">
        <v>1315817.9924516694</v>
      </c>
    </row>
    <row r="302" spans="1:7" ht="11.25" customHeight="1" x14ac:dyDescent="0.2">
      <c r="A302" s="55" t="s">
        <v>25</v>
      </c>
      <c r="B302" s="48">
        <v>0</v>
      </c>
      <c r="C302" s="48">
        <v>2473458.2619999978</v>
      </c>
      <c r="D302" s="48">
        <v>0</v>
      </c>
      <c r="E302" s="48">
        <v>1315817.9924516694</v>
      </c>
      <c r="F302" s="48">
        <v>2473458.2619999973</v>
      </c>
      <c r="G302" s="48">
        <v>1315817.9924516694</v>
      </c>
    </row>
    <row r="303" spans="1:7" ht="11.25" customHeight="1" x14ac:dyDescent="0.2">
      <c r="A303" s="56" t="s">
        <v>25</v>
      </c>
      <c r="B303" s="48">
        <v>0</v>
      </c>
      <c r="C303" s="48">
        <v>2473458.2619999978</v>
      </c>
      <c r="D303" s="48">
        <v>0</v>
      </c>
      <c r="E303" s="48">
        <v>1315817.9924516694</v>
      </c>
      <c r="F303" s="48">
        <v>2473458.2619999973</v>
      </c>
      <c r="G303" s="48">
        <v>1315817.9924516694</v>
      </c>
    </row>
    <row r="304" spans="1:7" ht="11.25" customHeight="1" x14ac:dyDescent="0.2">
      <c r="A304" s="57" t="s">
        <v>25</v>
      </c>
      <c r="B304" s="48">
        <v>0</v>
      </c>
      <c r="C304" s="48">
        <v>2473458.2619999978</v>
      </c>
      <c r="D304" s="48">
        <v>0</v>
      </c>
      <c r="E304" s="48">
        <v>1315817.9924516694</v>
      </c>
      <c r="F304" s="48">
        <v>2473458.2619999973</v>
      </c>
      <c r="G304" s="48">
        <v>1315817.9924516694</v>
      </c>
    </row>
    <row r="305" spans="1:7" ht="11.25" customHeight="1" x14ac:dyDescent="0.2">
      <c r="A305" s="58">
        <v>44440</v>
      </c>
      <c r="B305" s="48">
        <v>0</v>
      </c>
      <c r="C305" s="48">
        <v>220297.78299999979</v>
      </c>
      <c r="D305" s="48">
        <v>0</v>
      </c>
      <c r="E305" s="48">
        <v>117192.91609724905</v>
      </c>
      <c r="F305" s="48">
        <v>220297.78299999979</v>
      </c>
      <c r="G305" s="48">
        <v>117192.91609724905</v>
      </c>
    </row>
    <row r="306" spans="1:7" ht="11.25" customHeight="1" x14ac:dyDescent="0.2">
      <c r="A306" s="58">
        <v>44470</v>
      </c>
      <c r="B306" s="48">
        <v>0</v>
      </c>
      <c r="C306" s="48">
        <v>213537.26499999981</v>
      </c>
      <c r="D306" s="48">
        <v>0</v>
      </c>
      <c r="E306" s="48">
        <v>113596.48944256983</v>
      </c>
      <c r="F306" s="48">
        <v>213537.26499999981</v>
      </c>
      <c r="G306" s="48">
        <v>113596.48944256983</v>
      </c>
    </row>
    <row r="307" spans="1:7" ht="11.25" customHeight="1" x14ac:dyDescent="0.2">
      <c r="A307" s="58">
        <v>44501</v>
      </c>
      <c r="B307" s="48">
        <v>0</v>
      </c>
      <c r="C307" s="48">
        <v>215836.61239999978</v>
      </c>
      <c r="D307" s="48">
        <v>0</v>
      </c>
      <c r="E307" s="48">
        <v>114819.68480684923</v>
      </c>
      <c r="F307" s="48">
        <v>215836.61239999978</v>
      </c>
      <c r="G307" s="48">
        <v>114819.68480684923</v>
      </c>
    </row>
    <row r="308" spans="1:7" ht="11.25" customHeight="1" x14ac:dyDescent="0.2">
      <c r="A308" s="58">
        <v>44531</v>
      </c>
      <c r="B308" s="48">
        <v>0</v>
      </c>
      <c r="C308" s="48">
        <v>208426.29099999982</v>
      </c>
      <c r="D308" s="48">
        <v>0</v>
      </c>
      <c r="E308" s="48">
        <v>110877.57897964782</v>
      </c>
      <c r="F308" s="48">
        <v>208426.29099999982</v>
      </c>
      <c r="G308" s="48">
        <v>110877.57897964782</v>
      </c>
    </row>
    <row r="309" spans="1:7" ht="11.25" customHeight="1" x14ac:dyDescent="0.2">
      <c r="A309" s="58">
        <v>44562</v>
      </c>
      <c r="B309" s="48">
        <v>0</v>
      </c>
      <c r="C309" s="48">
        <v>254207.60579999976</v>
      </c>
      <c r="D309" s="48">
        <v>0</v>
      </c>
      <c r="E309" s="48">
        <v>135232.09454087861</v>
      </c>
      <c r="F309" s="48">
        <v>254207.60579999976</v>
      </c>
      <c r="G309" s="48">
        <v>135232.09454087861</v>
      </c>
    </row>
    <row r="310" spans="1:7" ht="11.25" customHeight="1" x14ac:dyDescent="0.2">
      <c r="A310" s="58">
        <v>44593</v>
      </c>
      <c r="B310" s="48">
        <v>0</v>
      </c>
      <c r="C310" s="48">
        <v>247916.69779999979</v>
      </c>
      <c r="D310" s="48">
        <v>0</v>
      </c>
      <c r="E310" s="48">
        <v>131885.4886723143</v>
      </c>
      <c r="F310" s="48">
        <v>247916.69779999979</v>
      </c>
      <c r="G310" s="48">
        <v>131885.4886723143</v>
      </c>
    </row>
    <row r="311" spans="1:7" ht="11.25" customHeight="1" x14ac:dyDescent="0.2">
      <c r="A311" s="58">
        <v>44621</v>
      </c>
      <c r="B311" s="48">
        <v>0</v>
      </c>
      <c r="C311" s="48">
        <v>218559.97719999982</v>
      </c>
      <c r="D311" s="48">
        <v>0</v>
      </c>
      <c r="E311" s="48">
        <v>116268.44683324057</v>
      </c>
      <c r="F311" s="48">
        <v>218559.97719999982</v>
      </c>
      <c r="G311" s="48">
        <v>116268.44683324057</v>
      </c>
    </row>
    <row r="312" spans="1:7" ht="11.25" customHeight="1" x14ac:dyDescent="0.2">
      <c r="A312" s="58">
        <v>44652</v>
      </c>
      <c r="B312" s="48">
        <v>0</v>
      </c>
      <c r="C312" s="48">
        <v>194700.99019999985</v>
      </c>
      <c r="D312" s="48">
        <v>0</v>
      </c>
      <c r="E312" s="48">
        <v>103576.06190054084</v>
      </c>
      <c r="F312" s="48">
        <v>194700.99019999985</v>
      </c>
      <c r="G312" s="48">
        <v>103576.06190054084</v>
      </c>
    </row>
    <row r="313" spans="1:7" ht="11.25" customHeight="1" x14ac:dyDescent="0.2">
      <c r="A313" s="58">
        <v>44682</v>
      </c>
      <c r="B313" s="48">
        <v>0</v>
      </c>
      <c r="C313" s="48">
        <v>174224.62579999983</v>
      </c>
      <c r="D313" s="48">
        <v>0</v>
      </c>
      <c r="E313" s="48">
        <v>92683.147671322731</v>
      </c>
      <c r="F313" s="48">
        <v>174224.62579999983</v>
      </c>
      <c r="G313" s="48">
        <v>92683.147671322731</v>
      </c>
    </row>
    <row r="314" spans="1:7" ht="11.25" customHeight="1" x14ac:dyDescent="0.2">
      <c r="A314" s="58">
        <v>44713</v>
      </c>
      <c r="B314" s="48">
        <v>0</v>
      </c>
      <c r="C314" s="48">
        <v>178366.52379999985</v>
      </c>
      <c r="D314" s="48">
        <v>0</v>
      </c>
      <c r="E314" s="48">
        <v>94886.533916010318</v>
      </c>
      <c r="F314" s="48">
        <v>178366.52379999985</v>
      </c>
      <c r="G314" s="48">
        <v>94886.533916010318</v>
      </c>
    </row>
    <row r="315" spans="1:7" ht="11.25" customHeight="1" x14ac:dyDescent="0.2">
      <c r="A315" s="58">
        <v>44743</v>
      </c>
      <c r="B315" s="48">
        <v>0</v>
      </c>
      <c r="C315" s="48">
        <v>174258.96019999983</v>
      </c>
      <c r="D315" s="48">
        <v>0</v>
      </c>
      <c r="E315" s="48">
        <v>92701.412714228107</v>
      </c>
      <c r="F315" s="48">
        <v>174258.96019999983</v>
      </c>
      <c r="G315" s="48">
        <v>92701.412714228107</v>
      </c>
    </row>
    <row r="316" spans="1:7" ht="11.25" customHeight="1" x14ac:dyDescent="0.2">
      <c r="A316" s="58">
        <v>44774</v>
      </c>
      <c r="B316" s="48">
        <v>0</v>
      </c>
      <c r="C316" s="48">
        <v>173124.92979999984</v>
      </c>
      <c r="D316" s="48">
        <v>0</v>
      </c>
      <c r="E316" s="48">
        <v>92098.136876817938</v>
      </c>
      <c r="F316" s="48">
        <v>173124.92979999984</v>
      </c>
      <c r="G316" s="48">
        <v>92098.136876817938</v>
      </c>
    </row>
    <row r="317" spans="1:7" ht="11.25" customHeight="1" x14ac:dyDescent="0.2">
      <c r="A317" s="50" t="s">
        <v>598</v>
      </c>
      <c r="B317" s="48">
        <v>0</v>
      </c>
      <c r="C317" s="48">
        <v>0</v>
      </c>
      <c r="D317" s="48">
        <v>0</v>
      </c>
      <c r="E317" s="48">
        <v>0</v>
      </c>
      <c r="F317" s="48">
        <v>0</v>
      </c>
      <c r="G317" s="48">
        <v>0</v>
      </c>
    </row>
    <row r="318" spans="1:7" ht="11.25" customHeight="1" x14ac:dyDescent="0.2">
      <c r="A318" s="51" t="s">
        <v>22</v>
      </c>
      <c r="B318" s="48">
        <v>0</v>
      </c>
      <c r="C318" s="48">
        <v>0</v>
      </c>
      <c r="D318" s="48">
        <v>0</v>
      </c>
      <c r="E318" s="48">
        <v>0</v>
      </c>
      <c r="F318" s="48">
        <v>0</v>
      </c>
      <c r="G318" s="48">
        <v>0</v>
      </c>
    </row>
    <row r="319" spans="1:7" ht="11.25" customHeight="1" x14ac:dyDescent="0.2">
      <c r="A319" s="52" t="s">
        <v>23</v>
      </c>
      <c r="B319" s="48">
        <v>0</v>
      </c>
      <c r="C319" s="48">
        <v>0</v>
      </c>
      <c r="D319" s="48">
        <v>0</v>
      </c>
      <c r="E319" s="48">
        <v>0</v>
      </c>
      <c r="F319" s="48">
        <v>0</v>
      </c>
      <c r="G319" s="48">
        <v>0</v>
      </c>
    </row>
    <row r="320" spans="1:7" ht="11.25" customHeight="1" x14ac:dyDescent="0.2">
      <c r="A320" s="53" t="s">
        <v>24</v>
      </c>
      <c r="B320" s="48">
        <v>0</v>
      </c>
      <c r="C320" s="48">
        <v>0</v>
      </c>
      <c r="D320" s="48">
        <v>0</v>
      </c>
      <c r="E320" s="48">
        <v>0</v>
      </c>
      <c r="F320" s="48">
        <v>0</v>
      </c>
      <c r="G320" s="48">
        <v>0</v>
      </c>
    </row>
    <row r="321" spans="1:7" ht="11.25" customHeight="1" x14ac:dyDescent="0.2">
      <c r="A321" s="54" t="s">
        <v>24</v>
      </c>
      <c r="B321" s="48">
        <v>0</v>
      </c>
      <c r="C321" s="48">
        <v>0</v>
      </c>
      <c r="D321" s="48">
        <v>0</v>
      </c>
      <c r="E321" s="48">
        <v>0</v>
      </c>
      <c r="F321" s="48">
        <v>0</v>
      </c>
      <c r="G321" s="48">
        <v>0</v>
      </c>
    </row>
    <row r="322" spans="1:7" ht="11.25" customHeight="1" x14ac:dyDescent="0.2">
      <c r="A322" s="55" t="s">
        <v>25</v>
      </c>
      <c r="B322" s="48">
        <v>0</v>
      </c>
      <c r="C322" s="48">
        <v>0</v>
      </c>
      <c r="D322" s="48">
        <v>0</v>
      </c>
      <c r="E322" s="48">
        <v>0</v>
      </c>
      <c r="F322" s="48">
        <v>0</v>
      </c>
      <c r="G322" s="48">
        <v>0</v>
      </c>
    </row>
    <row r="323" spans="1:7" ht="11.25" customHeight="1" x14ac:dyDescent="0.2">
      <c r="A323" s="56" t="s">
        <v>25</v>
      </c>
      <c r="B323" s="48">
        <v>0</v>
      </c>
      <c r="C323" s="48">
        <v>0</v>
      </c>
      <c r="D323" s="48">
        <v>0</v>
      </c>
      <c r="E323" s="48">
        <v>0</v>
      </c>
      <c r="F323" s="48">
        <v>0</v>
      </c>
      <c r="G323" s="48">
        <v>0</v>
      </c>
    </row>
    <row r="324" spans="1:7" ht="11.25" customHeight="1" x14ac:dyDescent="0.2">
      <c r="A324" s="57" t="s">
        <v>25</v>
      </c>
      <c r="B324" s="48">
        <v>0</v>
      </c>
      <c r="C324" s="48">
        <v>0</v>
      </c>
      <c r="D324" s="48">
        <v>0</v>
      </c>
      <c r="E324" s="48">
        <v>0</v>
      </c>
      <c r="F324" s="48">
        <v>0</v>
      </c>
      <c r="G324" s="48">
        <v>0</v>
      </c>
    </row>
    <row r="325" spans="1:7" ht="11.25" customHeight="1" x14ac:dyDescent="0.2">
      <c r="A325" s="58">
        <v>44440</v>
      </c>
      <c r="B325" s="48">
        <v>0</v>
      </c>
      <c r="C325" s="48">
        <v>0</v>
      </c>
      <c r="D325" s="48">
        <v>0</v>
      </c>
      <c r="E325" s="48">
        <v>0</v>
      </c>
      <c r="F325" s="48">
        <v>0</v>
      </c>
      <c r="G325" s="48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CE88-B85F-4FD6-9317-52729940AF5F}">
  <dimension ref="A1:V35"/>
  <sheetViews>
    <sheetView showGridLines="0" workbookViewId="0">
      <selection sqref="A1:J1"/>
    </sheetView>
  </sheetViews>
  <sheetFormatPr defaultRowHeight="11.25" customHeight="1" x14ac:dyDescent="0.25"/>
  <cols>
    <col min="1" max="1" width="9.28515625" style="8" bestFit="1" customWidth="1"/>
    <col min="2" max="2" width="11.140625" style="8" bestFit="1" customWidth="1"/>
    <col min="3" max="3" width="10.28515625" style="8" bestFit="1" customWidth="1"/>
    <col min="4" max="4" width="6.28515625" style="8" bestFit="1" customWidth="1"/>
    <col min="5" max="10" width="7.7109375" style="8" customWidth="1"/>
    <col min="11" max="12" width="9.140625" style="8"/>
    <col min="13" max="13" width="14.28515625" style="8" customWidth="1"/>
    <col min="14" max="14" width="16.7109375" style="8" customWidth="1"/>
    <col min="15" max="15" width="31.7109375" style="8" customWidth="1"/>
    <col min="16" max="22" width="7.7109375" style="8" customWidth="1"/>
    <col min="23" max="16384" width="9.140625" style="8"/>
  </cols>
  <sheetData>
    <row r="1" spans="1:22" ht="11.25" customHeight="1" x14ac:dyDescent="0.25">
      <c r="A1" s="90" t="s">
        <v>664</v>
      </c>
      <c r="B1" s="112"/>
      <c r="C1" s="112"/>
      <c r="D1" s="112"/>
      <c r="E1" s="112"/>
      <c r="F1" s="112"/>
      <c r="G1" s="112"/>
      <c r="H1" s="112"/>
      <c r="I1" s="112"/>
      <c r="J1" s="112"/>
      <c r="L1" s="90" t="s">
        <v>674</v>
      </c>
      <c r="M1" s="91"/>
      <c r="N1" s="91"/>
      <c r="O1" s="91"/>
      <c r="P1" s="91"/>
      <c r="Q1" s="91"/>
      <c r="R1" s="91"/>
      <c r="S1" s="91"/>
      <c r="T1" s="91"/>
      <c r="U1" s="91"/>
      <c r="V1" s="91"/>
    </row>
    <row r="2" spans="1:22" ht="11.25" customHeight="1" x14ac:dyDescent="0.25">
      <c r="A2" s="104" t="s">
        <v>62</v>
      </c>
      <c r="B2" s="104" t="s">
        <v>63</v>
      </c>
      <c r="C2" s="104" t="s">
        <v>665</v>
      </c>
      <c r="D2" s="104" t="s">
        <v>68</v>
      </c>
      <c r="E2" s="104" t="s">
        <v>666</v>
      </c>
      <c r="F2" s="111"/>
      <c r="G2" s="111"/>
      <c r="H2" s="104" t="s">
        <v>428</v>
      </c>
      <c r="I2" s="111"/>
      <c r="J2" s="111"/>
      <c r="L2" s="104" t="s">
        <v>62</v>
      </c>
      <c r="M2" s="104" t="s">
        <v>63</v>
      </c>
      <c r="N2" s="104" t="s">
        <v>64</v>
      </c>
      <c r="O2" s="104" t="s">
        <v>65</v>
      </c>
      <c r="P2" s="104" t="s">
        <v>68</v>
      </c>
      <c r="Q2" s="104" t="s">
        <v>666</v>
      </c>
      <c r="R2" s="109"/>
      <c r="S2" s="109"/>
      <c r="T2" s="104" t="s">
        <v>428</v>
      </c>
      <c r="U2" s="109"/>
      <c r="V2" s="109"/>
    </row>
    <row r="3" spans="1:22" ht="11.25" customHeight="1" x14ac:dyDescent="0.25">
      <c r="A3" s="111"/>
      <c r="B3" s="111"/>
      <c r="C3" s="111"/>
      <c r="D3" s="111"/>
      <c r="E3" s="104" t="s">
        <v>386</v>
      </c>
      <c r="F3" s="111"/>
      <c r="G3" s="39" t="s">
        <v>414</v>
      </c>
      <c r="H3" s="104" t="s">
        <v>386</v>
      </c>
      <c r="I3" s="111"/>
      <c r="J3" s="39" t="s">
        <v>414</v>
      </c>
      <c r="L3" s="109"/>
      <c r="M3" s="109"/>
      <c r="N3" s="109"/>
      <c r="O3" s="109"/>
      <c r="P3" s="109"/>
      <c r="Q3" s="104" t="s">
        <v>386</v>
      </c>
      <c r="R3" s="109"/>
      <c r="S3" s="39" t="s">
        <v>414</v>
      </c>
      <c r="T3" s="104" t="s">
        <v>386</v>
      </c>
      <c r="U3" s="109"/>
      <c r="V3" s="39" t="s">
        <v>414</v>
      </c>
    </row>
    <row r="4" spans="1:22" ht="11.25" customHeight="1" x14ac:dyDescent="0.25">
      <c r="A4" s="111"/>
      <c r="B4" s="111"/>
      <c r="C4" s="111"/>
      <c r="D4" s="111"/>
      <c r="E4" s="39" t="s">
        <v>667</v>
      </c>
      <c r="F4" s="39" t="s">
        <v>668</v>
      </c>
      <c r="G4" s="39" t="s">
        <v>668</v>
      </c>
      <c r="H4" s="39" t="s">
        <v>667</v>
      </c>
      <c r="I4" s="39" t="s">
        <v>668</v>
      </c>
      <c r="J4" s="39" t="s">
        <v>668</v>
      </c>
      <c r="L4" s="109"/>
      <c r="M4" s="109"/>
      <c r="N4" s="109"/>
      <c r="O4" s="109"/>
      <c r="P4" s="109"/>
      <c r="Q4" s="39" t="s">
        <v>667</v>
      </c>
      <c r="R4" s="39" t="s">
        <v>668</v>
      </c>
      <c r="S4" s="39" t="s">
        <v>668</v>
      </c>
      <c r="T4" s="39" t="s">
        <v>667</v>
      </c>
      <c r="U4" s="39" t="s">
        <v>668</v>
      </c>
      <c r="V4" s="39" t="s">
        <v>668</v>
      </c>
    </row>
    <row r="5" spans="1:22" ht="11.25" customHeight="1" x14ac:dyDescent="0.25">
      <c r="A5" s="110" t="s">
        <v>35</v>
      </c>
      <c r="B5" s="110" t="s">
        <v>48</v>
      </c>
      <c r="C5" s="110" t="s">
        <v>25</v>
      </c>
      <c r="D5" s="40" t="s">
        <v>669</v>
      </c>
      <c r="E5" s="38">
        <f ca="1">ROUND('TUSD BE'!$AM$5+'TUSD BF'!$AM$5+'TUSD CVA'!$AM$5,2)</f>
        <v>76.16</v>
      </c>
      <c r="F5" s="38">
        <f ca="1">ROUND('TUSD BE'!$AM$7+'TUSD BF'!$AM$7+'TUSD CVA'!$AM$7,2)</f>
        <v>99.85</v>
      </c>
      <c r="G5" s="38">
        <f>ROUND('TE BE'!$AB$5+'TE BF'!$AB$5+'TE CVA'!$AB$5,2)</f>
        <v>135.81</v>
      </c>
      <c r="H5" s="38">
        <f ca="1">ROUND('TUSD BE'!$AM$5,2)</f>
        <v>118.38</v>
      </c>
      <c r="I5" s="38">
        <f ca="1">ROUND('TUSD BE'!$AM$7,2)</f>
        <v>97.34</v>
      </c>
      <c r="J5" s="38">
        <f>ROUND('TE BE'!$AB$5,2)</f>
        <v>128.41999999999999</v>
      </c>
      <c r="L5" s="106" t="s">
        <v>22</v>
      </c>
      <c r="M5" s="106" t="s">
        <v>675</v>
      </c>
      <c r="N5" s="106" t="s">
        <v>676</v>
      </c>
      <c r="O5" s="106" t="s">
        <v>676</v>
      </c>
      <c r="P5" s="40" t="s">
        <v>669</v>
      </c>
      <c r="Q5" s="38">
        <v>0</v>
      </c>
      <c r="R5" s="38">
        <f ca="1">ROUND('TUSD BE'!$AM$17+'TUSD BF'!$AM$17+'TUSD CVA'!$AM$17,2)</f>
        <v>906.62</v>
      </c>
      <c r="S5" s="38">
        <f>ROUND('TE BE'!$AB$7+'TE BF'!$AB$7+'TE CVA'!$AB$7,2)</f>
        <v>135.81</v>
      </c>
      <c r="T5" s="38">
        <v>0</v>
      </c>
      <c r="U5" s="38">
        <f ca="1">ROUND('TUSD BE'!$AM$17,2)</f>
        <v>1365.06</v>
      </c>
      <c r="V5" s="38">
        <f>ROUND('TE BE'!$AB$7,2)</f>
        <v>128.41999999999999</v>
      </c>
    </row>
    <row r="6" spans="1:22" ht="11.25" customHeight="1" x14ac:dyDescent="0.25">
      <c r="A6" s="111"/>
      <c r="B6" s="111"/>
      <c r="C6" s="111"/>
      <c r="D6" s="40" t="s">
        <v>670</v>
      </c>
      <c r="E6" s="38">
        <f ca="1">ROUND('TUSD BE'!$AM$6+'TUSD BF'!$AM$6+'TUSD CVA'!$AM$6,2)</f>
        <v>25.19</v>
      </c>
      <c r="F6" s="38">
        <f ca="1">ROUND('TUSD BE'!$AM$7+'TUSD BF'!$AM$7+'TUSD CVA'!$AM$7,2)</f>
        <v>99.85</v>
      </c>
      <c r="G6" s="38">
        <f>ROUND('TE BE'!$AB$6+'TE BF'!$AB$6+'TE CVA'!$AB$6,2)</f>
        <v>135.81</v>
      </c>
      <c r="H6" s="38">
        <f ca="1">ROUND('TUSD BE'!$AM$6,2)</f>
        <v>37.630000000000003</v>
      </c>
      <c r="I6" s="38">
        <f ca="1">ROUND('TUSD BE'!$AM$7,2)</f>
        <v>97.34</v>
      </c>
      <c r="J6" s="38">
        <f>ROUND('TE BE'!$AB$6,2)</f>
        <v>128.41999999999999</v>
      </c>
      <c r="L6" s="107"/>
      <c r="M6" s="107"/>
      <c r="N6" s="107"/>
      <c r="O6" s="107"/>
      <c r="P6" s="40" t="s">
        <v>677</v>
      </c>
      <c r="Q6" s="38">
        <v>0</v>
      </c>
      <c r="R6" s="38">
        <f ca="1">ROUND('TUSD BE'!$AM$18+'TUSD BF'!$AM$18+'TUSD CVA'!$AM$18,2)</f>
        <v>594.75</v>
      </c>
      <c r="S6" s="38">
        <f>ROUND('TE BE'!$AB$8+'TE BF'!$AB$8+'TE CVA'!$AB$8,2)</f>
        <v>135.81</v>
      </c>
      <c r="T6" s="38">
        <v>0</v>
      </c>
      <c r="U6" s="38">
        <f ca="1">ROUND('TUSD BE'!$AM$18,2)</f>
        <v>868.42</v>
      </c>
      <c r="V6" s="38">
        <f>ROUND('TE BE'!$AB$8,2)</f>
        <v>128.41999999999999</v>
      </c>
    </row>
    <row r="7" spans="1:22" ht="11.25" customHeight="1" x14ac:dyDescent="0.25">
      <c r="A7" s="111"/>
      <c r="B7" s="110" t="s">
        <v>671</v>
      </c>
      <c r="C7" s="110" t="s">
        <v>25</v>
      </c>
      <c r="D7" s="40" t="s">
        <v>669</v>
      </c>
      <c r="E7" s="38">
        <f ca="1">ROUND('TUSD BE'!$AM$5+'TUSD BF'!$AM$5+'TUSD CVA'!$AM$5,2)</f>
        <v>76.16</v>
      </c>
      <c r="F7" s="38">
        <f ca="1">ROUND('TUSD BE'!$AM$8+'TUSD BF'!$AM$8+'TUSD CVA'!$AM$8,2)</f>
        <v>8.16</v>
      </c>
      <c r="G7" s="38">
        <v>0</v>
      </c>
      <c r="H7" s="38">
        <f ca="1">ROUND('TUSD BE'!$AM$5,2)</f>
        <v>118.38</v>
      </c>
      <c r="I7" s="38">
        <f ca="1">ROUND('TUSD BE'!$AM$8,2)</f>
        <v>7.73</v>
      </c>
      <c r="J7" s="38">
        <v>0</v>
      </c>
      <c r="L7" s="107"/>
      <c r="M7" s="108"/>
      <c r="N7" s="108"/>
      <c r="O7" s="108"/>
      <c r="P7" s="40" t="s">
        <v>670</v>
      </c>
      <c r="Q7" s="38">
        <v>0</v>
      </c>
      <c r="R7" s="38">
        <f ca="1">ROUND('TUSD BE'!$AM$19+'TUSD BF'!$AM$19+'TUSD CVA'!$AM$19,2)</f>
        <v>282.94</v>
      </c>
      <c r="S7" s="38">
        <f>ROUND('TE BE'!$AB$9+'TE BF'!$AB$9+'TE CVA'!$AB$9,2)</f>
        <v>135.81</v>
      </c>
      <c r="T7" s="38">
        <v>0</v>
      </c>
      <c r="U7" s="38">
        <f ca="1">ROUND('TUSD BE'!$AM$19,2)</f>
        <v>371.83</v>
      </c>
      <c r="V7" s="38">
        <f>ROUND('TE BE'!$AB$9,2)</f>
        <v>128.41999999999999</v>
      </c>
    </row>
    <row r="8" spans="1:22" ht="11.25" customHeight="1" x14ac:dyDescent="0.25">
      <c r="A8" s="111"/>
      <c r="B8" s="111"/>
      <c r="C8" s="111"/>
      <c r="D8" s="40" t="s">
        <v>670</v>
      </c>
      <c r="E8" s="38">
        <f ca="1">ROUND('TUSD BE'!$AM$6+'TUSD BF'!$AM$6+'TUSD CVA'!$AM$6,2)</f>
        <v>25.19</v>
      </c>
      <c r="F8" s="38">
        <f ca="1">ROUND('TUSD BE'!$AM$8+'TUSD BF'!$AM$8+'TUSD CVA'!$AM$8,2)</f>
        <v>8.16</v>
      </c>
      <c r="G8" s="38">
        <v>0</v>
      </c>
      <c r="H8" s="38">
        <f ca="1">ROUND('TUSD BE'!$AM$6,2)</f>
        <v>37.630000000000003</v>
      </c>
      <c r="I8" s="38">
        <f ca="1">ROUND('TUSD BE'!$AM$8,2)</f>
        <v>7.73</v>
      </c>
      <c r="J8" s="38">
        <v>0</v>
      </c>
      <c r="L8" s="107"/>
      <c r="M8" s="40" t="s">
        <v>678</v>
      </c>
      <c r="N8" s="40" t="s">
        <v>676</v>
      </c>
      <c r="O8" s="40" t="s">
        <v>676</v>
      </c>
      <c r="P8" s="40" t="s">
        <v>672</v>
      </c>
      <c r="Q8" s="38">
        <v>0</v>
      </c>
      <c r="R8" s="38">
        <f ca="1">ROUND('TUSD BE'!$AM$25+'TUSD BF'!$AM$25+'TUSD CVA'!$AM$25,2)</f>
        <v>415.67</v>
      </c>
      <c r="S8" s="38">
        <f>ROUND('TE BE'!$AB$15+'TE BF'!$AB$15+'TE CVA'!$AB$15,2)</f>
        <v>135.81</v>
      </c>
      <c r="T8" s="38">
        <v>0</v>
      </c>
      <c r="U8" s="38">
        <f ca="1">ROUND('TUSD BE'!$AM$25,2)</f>
        <v>583.25</v>
      </c>
      <c r="V8" s="38">
        <f>ROUND('TE BE'!$AB$15,2)</f>
        <v>128.41999999999999</v>
      </c>
    </row>
    <row r="9" spans="1:22" ht="11.25" customHeight="1" x14ac:dyDescent="0.25">
      <c r="A9" s="111"/>
      <c r="B9" s="110" t="s">
        <v>36</v>
      </c>
      <c r="C9" s="110" t="s">
        <v>25</v>
      </c>
      <c r="D9" s="40" t="s">
        <v>672</v>
      </c>
      <c r="E9" s="38">
        <f ca="1">ROUND('TUSD BE'!$AM$10+'TUSD BF'!$AM$10+'TUSD CVA'!$AM$10,2)</f>
        <v>25.19</v>
      </c>
      <c r="F9" s="38">
        <v>0</v>
      </c>
      <c r="G9" s="38">
        <v>0</v>
      </c>
      <c r="H9" s="38">
        <f ca="1">ROUND('TUSD BE'!$AM$10,2)</f>
        <v>37.630000000000003</v>
      </c>
      <c r="I9" s="38">
        <v>0</v>
      </c>
      <c r="J9" s="38">
        <v>0</v>
      </c>
      <c r="L9" s="107"/>
      <c r="M9" s="40" t="s">
        <v>680</v>
      </c>
      <c r="N9" s="40" t="s">
        <v>676</v>
      </c>
      <c r="O9" s="40" t="s">
        <v>676</v>
      </c>
      <c r="P9" s="40" t="s">
        <v>672</v>
      </c>
      <c r="Q9" s="38">
        <v>0</v>
      </c>
      <c r="R9" s="38">
        <f ca="1">ROUND('TUSD BE'!$AM$20+'TUSD BF'!$AM$20+'TUSD CVA'!$AM$20,2)</f>
        <v>415.67</v>
      </c>
      <c r="S9" s="38">
        <f>ROUND('TE BE'!$AB$10+'TE BF'!$AB$10+'TE CVA'!$AB$10,2)</f>
        <v>135.81</v>
      </c>
      <c r="T9" s="38">
        <v>0</v>
      </c>
      <c r="U9" s="38">
        <f ca="1">ROUND('TUSD BE'!$AM$20,2)</f>
        <v>583.25</v>
      </c>
      <c r="V9" s="38">
        <f>ROUND('TE BE'!$AB$10,2)</f>
        <v>128.41999999999999</v>
      </c>
    </row>
    <row r="10" spans="1:22" ht="11.25" customHeight="1" x14ac:dyDescent="0.25">
      <c r="A10" s="111"/>
      <c r="B10" s="111"/>
      <c r="C10" s="111"/>
      <c r="D10" s="40" t="s">
        <v>669</v>
      </c>
      <c r="E10" s="38">
        <v>0</v>
      </c>
      <c r="F10" s="38">
        <f ca="1">ROUND('TUSD BE'!$AM$11+'TUSD BF'!$AM$11+'TUSD CVA'!$AM$11,2)</f>
        <v>1931.7</v>
      </c>
      <c r="G10" s="38">
        <f>ROUND('TE BE'!$AB$5+'TE BF'!$AB$5+'TE CVA'!$AB$5,2)</f>
        <v>135.81</v>
      </c>
      <c r="H10" s="38">
        <v>0</v>
      </c>
      <c r="I10" s="38">
        <f ca="1">ROUND('TUSD BE'!$AM$11,2)</f>
        <v>2944.72</v>
      </c>
      <c r="J10" s="38">
        <f>ROUND('TE BE'!$AB$5,2)</f>
        <v>128.41999999999999</v>
      </c>
      <c r="L10" s="107"/>
      <c r="M10" s="40" t="s">
        <v>678</v>
      </c>
      <c r="N10" s="40" t="s">
        <v>676</v>
      </c>
      <c r="O10" s="40" t="s">
        <v>679</v>
      </c>
      <c r="P10" s="40" t="s">
        <v>672</v>
      </c>
      <c r="Q10" s="38">
        <v>0</v>
      </c>
      <c r="R10" s="38">
        <f ca="1">ROUND('TUSD BE'!$AM$26+'TUSD BF'!$AM$26+'TUSD CVA'!$AM$26,2)</f>
        <v>309.27999999999997</v>
      </c>
      <c r="S10" s="38">
        <f>ROUND('TE BE'!$AB$16+'TE BF'!$AB$16+'TE CVA'!$AB$16,2)</f>
        <v>135.81</v>
      </c>
      <c r="T10" s="38">
        <v>0</v>
      </c>
      <c r="U10" s="38">
        <f ca="1">ROUND('TUSD BE'!$AM$26,2)</f>
        <v>479.27</v>
      </c>
      <c r="V10" s="38">
        <f>ROUND('TE BE'!$AB$16,2)</f>
        <v>128.41999999999999</v>
      </c>
    </row>
    <row r="11" spans="1:22" ht="11.25" customHeight="1" x14ac:dyDescent="0.25">
      <c r="A11" s="111"/>
      <c r="B11" s="111"/>
      <c r="C11" s="111"/>
      <c r="D11" s="40" t="s">
        <v>670</v>
      </c>
      <c r="E11" s="38">
        <v>0</v>
      </c>
      <c r="F11" s="38">
        <f ca="1">ROUND('TUSD BE'!$AM$12+'TUSD BF'!$AM$12+'TUSD CVA'!$AM$12,2)</f>
        <v>99.85</v>
      </c>
      <c r="G11" s="38">
        <f>ROUND('TE BE'!$AB$6+'TE BF'!$AB$6+'TE CVA'!$AB$6,2)</f>
        <v>135.81</v>
      </c>
      <c r="H11" s="38">
        <v>0</v>
      </c>
      <c r="I11" s="38">
        <f ca="1">ROUND('TUSD BE'!$AM$12,2)</f>
        <v>97.34</v>
      </c>
      <c r="J11" s="38">
        <f>ROUND('TE BE'!$AB$6,2)</f>
        <v>128.41999999999999</v>
      </c>
      <c r="L11" s="108"/>
      <c r="M11" s="40" t="s">
        <v>680</v>
      </c>
      <c r="N11" s="40" t="s">
        <v>676</v>
      </c>
      <c r="O11" s="40" t="s">
        <v>679</v>
      </c>
      <c r="P11" s="40" t="s">
        <v>672</v>
      </c>
      <c r="Q11" s="38">
        <v>0</v>
      </c>
      <c r="R11" s="38">
        <f ca="1">ROUND('TUSD BE'!$AM$21+'TUSD BF'!$AM$21+'TUSD CVA'!$AM$21,2)</f>
        <v>309.27999999999997</v>
      </c>
      <c r="S11" s="38">
        <f>ROUND('TE BE'!$AB$11+'TE BF'!$AB$11+'TE CVA'!$AB$11,2)</f>
        <v>135.81</v>
      </c>
      <c r="T11" s="38">
        <v>0</v>
      </c>
      <c r="U11" s="38">
        <f ca="1">ROUND('TUSD BE'!$AM$21,2)</f>
        <v>479.27</v>
      </c>
      <c r="V11" s="38">
        <f>ROUND('TE BE'!$AB$11,2)</f>
        <v>128.41999999999999</v>
      </c>
    </row>
    <row r="12" spans="1:22" ht="11.25" customHeight="1" x14ac:dyDescent="0.25">
      <c r="A12" s="111"/>
      <c r="B12" s="110" t="s">
        <v>673</v>
      </c>
      <c r="C12" s="110" t="s">
        <v>25</v>
      </c>
      <c r="D12" s="40" t="s">
        <v>672</v>
      </c>
      <c r="E12" s="38">
        <f ca="1">ROUND('TUSD BE'!$AM$10+'TUSD BF'!$AM$10+'TUSD CVA'!$AM$10,2)</f>
        <v>25.19</v>
      </c>
      <c r="F12" s="38">
        <v>0</v>
      </c>
      <c r="G12" s="38">
        <v>0</v>
      </c>
      <c r="H12" s="38">
        <f ca="1">ROUND('TUSD BE'!$AM$10,2)</f>
        <v>37.630000000000003</v>
      </c>
      <c r="I12" s="38">
        <v>0</v>
      </c>
      <c r="J12" s="38">
        <v>0</v>
      </c>
      <c r="L12" s="106" t="s">
        <v>40</v>
      </c>
      <c r="M12" s="106" t="s">
        <v>675</v>
      </c>
      <c r="N12" s="106" t="s">
        <v>681</v>
      </c>
      <c r="O12" s="106" t="s">
        <v>682</v>
      </c>
      <c r="P12" s="40" t="s">
        <v>669</v>
      </c>
      <c r="Q12" s="38">
        <v>0</v>
      </c>
      <c r="R12" s="38">
        <f ca="1">ROUND(('TUSD BE'!$AM$30+'TUSD BF'!$AM$30+'TUSD CVA'!$AM$30)*(1-CUSTOS!$M$38),2)</f>
        <v>919.96</v>
      </c>
      <c r="S12" s="38">
        <f>ROUND(('TE BE'!$AB$20+'TE BF'!$AB$20+'TE CVA'!$AB$20)*(1-CUSTOS!$M$38),2)</f>
        <v>127.66</v>
      </c>
      <c r="T12" s="38">
        <v>0</v>
      </c>
      <c r="U12" s="38">
        <f ca="1">ROUND('TUSD BE'!$AM$30*(1-CUSTOS!$M$38),2)</f>
        <v>1391.09</v>
      </c>
      <c r="V12" s="38">
        <f>ROUND('TE BE'!$AB$20*(1-CUSTOS!$M$38),2)</f>
        <v>120.72</v>
      </c>
    </row>
    <row r="13" spans="1:22" ht="11.25" customHeight="1" x14ac:dyDescent="0.25">
      <c r="A13" s="111"/>
      <c r="B13" s="111"/>
      <c r="C13" s="111"/>
      <c r="D13" s="40" t="s">
        <v>669</v>
      </c>
      <c r="E13" s="38">
        <v>0</v>
      </c>
      <c r="F13" s="38">
        <f ca="1">ROUND('TUSD BE'!$AM$13+'TUSD BF'!$AM$13+'TUSD CVA'!$AM$13,2)</f>
        <v>1840.01</v>
      </c>
      <c r="G13" s="38">
        <v>0</v>
      </c>
      <c r="H13" s="38">
        <v>0</v>
      </c>
      <c r="I13" s="38">
        <f ca="1">ROUND('TUSD BE'!$AM$13,2)</f>
        <v>2855.11</v>
      </c>
      <c r="J13" s="38">
        <v>0</v>
      </c>
      <c r="L13" s="107"/>
      <c r="M13" s="107"/>
      <c r="N13" s="107"/>
      <c r="O13" s="107"/>
      <c r="P13" s="40" t="s">
        <v>677</v>
      </c>
      <c r="Q13" s="38">
        <v>0</v>
      </c>
      <c r="R13" s="38">
        <f ca="1">ROUND(('TUSD BE'!$AM$31+'TUSD BF'!$AM$31+'TUSD CVA'!$AM$31)*(1-CUSTOS!$M$38),2)</f>
        <v>599.70000000000005</v>
      </c>
      <c r="S13" s="38">
        <f>ROUND(('TE BE'!$AB$21+'TE BF'!$AB$21+'TE CVA'!$AB$21)*(1-CUSTOS!$M$38),2)</f>
        <v>127.66</v>
      </c>
      <c r="T13" s="38">
        <v>0</v>
      </c>
      <c r="U13" s="38">
        <f ca="1">ROUND('TUSD BE'!$AM$31*(1-CUSTOS!$M$38),2)</f>
        <v>881.05</v>
      </c>
      <c r="V13" s="38">
        <f>ROUND('TE BE'!$AB$21*(1-CUSTOS!$M$38),2)</f>
        <v>120.72</v>
      </c>
    </row>
    <row r="14" spans="1:22" ht="11.25" customHeight="1" x14ac:dyDescent="0.25">
      <c r="A14" s="111"/>
      <c r="B14" s="111"/>
      <c r="C14" s="111"/>
      <c r="D14" s="40" t="s">
        <v>670</v>
      </c>
      <c r="E14" s="38">
        <v>0</v>
      </c>
      <c r="F14" s="38">
        <f ca="1">ROUND('TUSD BE'!$AM$14+'TUSD BF'!$AM$14+'TUSD CVA'!$AM$14,2)</f>
        <v>8.16</v>
      </c>
      <c r="G14" s="38">
        <v>0</v>
      </c>
      <c r="H14" s="38">
        <v>0</v>
      </c>
      <c r="I14" s="38">
        <f ca="1">ROUND('TUSD BE'!$AM$14,2)</f>
        <v>7.73</v>
      </c>
      <c r="J14" s="38">
        <v>0</v>
      </c>
      <c r="L14" s="107"/>
      <c r="M14" s="108"/>
      <c r="N14" s="108"/>
      <c r="O14" s="108"/>
      <c r="P14" s="40" t="s">
        <v>670</v>
      </c>
      <c r="Q14" s="38">
        <v>0</v>
      </c>
      <c r="R14" s="38">
        <f ca="1">ROUND(('TUSD BE'!$AM$32+'TUSD BF'!$AM$32+'TUSD CVA'!$AM$32)*(1-CUSTOS!$M$38),2)</f>
        <v>279.43</v>
      </c>
      <c r="S14" s="38">
        <f>ROUND(('TE BE'!$AB$22+'TE BF'!$AB$22+'TE CVA'!$AB$22)*(1-CUSTOS!$M$38),2)</f>
        <v>127.66</v>
      </c>
      <c r="T14" s="38">
        <v>0</v>
      </c>
      <c r="U14" s="38">
        <f ca="1">ROUND('TUSD BE'!$AM$32*(1-CUSTOS!$M$38),2)</f>
        <v>371.01</v>
      </c>
      <c r="V14" s="38">
        <f>ROUND('TE BE'!$AB$22*(1-CUSTOS!$M$38),2)</f>
        <v>120.72</v>
      </c>
    </row>
    <row r="15" spans="1:22" ht="11.25" customHeight="1" x14ac:dyDescent="0.25">
      <c r="A15" s="111"/>
      <c r="B15" s="40" t="s">
        <v>53</v>
      </c>
      <c r="C15" s="40" t="s">
        <v>25</v>
      </c>
      <c r="D15" s="40" t="s">
        <v>672</v>
      </c>
      <c r="E15" s="38">
        <f ca="1">ROUND('TUSD BE'!$AM$9+'TUSD BF'!$AM$9+'TUSD CVA'!$AM$9,2)</f>
        <v>3.41</v>
      </c>
      <c r="F15" s="38">
        <v>0</v>
      </c>
      <c r="G15" s="38">
        <v>0</v>
      </c>
      <c r="H15" s="38">
        <f ca="1">ROUND('TUSD BE'!$AM$9,2)</f>
        <v>6.22</v>
      </c>
      <c r="I15" s="38">
        <v>0</v>
      </c>
      <c r="J15" s="38">
        <v>0</v>
      </c>
      <c r="L15" s="107"/>
      <c r="M15" s="40" t="s">
        <v>678</v>
      </c>
      <c r="N15" s="40" t="s">
        <v>681</v>
      </c>
      <c r="O15" s="40" t="s">
        <v>682</v>
      </c>
      <c r="P15" s="40" t="s">
        <v>672</v>
      </c>
      <c r="Q15" s="38">
        <v>0</v>
      </c>
      <c r="R15" s="38">
        <f ca="1">ROUND(('TUSD BE'!$AM$42+'TUSD BF'!$AM$42+'TUSD CVA'!$AM$42)*(1-CUSTOS!$M$38),2)</f>
        <v>390.73</v>
      </c>
      <c r="S15" s="38">
        <f>ROUND(('TE BE'!$AB$32+'TE BF'!$AB$32+'TE CVA'!$AB$32)*(1-CUSTOS!$M$38),2)</f>
        <v>127.66</v>
      </c>
      <c r="T15" s="38">
        <v>0</v>
      </c>
      <c r="U15" s="38">
        <f ca="1">ROUND(('TUSD BE'!$AM$42)*(1-CUSTOS!$M$38),2)</f>
        <v>548.26</v>
      </c>
      <c r="V15" s="38">
        <f>ROUND(('TE BE'!$AB$32)*(1-CUSTOS!$M$38),2)</f>
        <v>120.72</v>
      </c>
    </row>
    <row r="16" spans="1:22" ht="11.25" customHeight="1" x14ac:dyDescent="0.25">
      <c r="L16" s="107"/>
      <c r="M16" s="40" t="s">
        <v>680</v>
      </c>
      <c r="N16" s="40" t="s">
        <v>681</v>
      </c>
      <c r="O16" s="40" t="s">
        <v>682</v>
      </c>
      <c r="P16" s="40" t="s">
        <v>672</v>
      </c>
      <c r="Q16" s="38">
        <v>0</v>
      </c>
      <c r="R16" s="38">
        <f ca="1">ROUND(('TUSD BE'!$AM$33+'TUSD BF'!$AM$33+'TUSD CVA'!$AM$33)*(1-CUSTOS!$M$38),2)</f>
        <v>390.73</v>
      </c>
      <c r="S16" s="38">
        <f>ROUND(('TE BE'!$AB$23+'TE BF'!$AB$23+'TE CVA'!$AB$23)*(1-CUSTOS!$M$38),2)</f>
        <v>127.66</v>
      </c>
      <c r="T16" s="38">
        <v>0</v>
      </c>
      <c r="U16" s="38">
        <f ca="1">ROUND(('TUSD BE'!$AM$33)*(1-CUSTOS!$M$38),2)</f>
        <v>548.26</v>
      </c>
      <c r="V16" s="38">
        <f>ROUND(('TE BE'!$AB$23)*(1-CUSTOS!$M$38),2)</f>
        <v>120.72</v>
      </c>
    </row>
    <row r="17" spans="12:22" ht="11.25" customHeight="1" x14ac:dyDescent="0.25">
      <c r="L17" s="107"/>
      <c r="M17" s="106" t="s">
        <v>675</v>
      </c>
      <c r="N17" s="106" t="s">
        <v>681</v>
      </c>
      <c r="O17" s="106" t="s">
        <v>683</v>
      </c>
      <c r="P17" s="40" t="s">
        <v>669</v>
      </c>
      <c r="Q17" s="38">
        <v>0</v>
      </c>
      <c r="R17" s="38">
        <f ca="1">ROUND(('TUSD BE'!$AM$34+'TUSD BF'!$AM$34+'TUSD CVA'!$AM$34)*(1-CUSTOS!$M$39),2)</f>
        <v>919.96</v>
      </c>
      <c r="S17" s="38">
        <f>ROUND(('TE BE'!$AB$24+'TE BF'!$AB$24+'TE CVA'!$AB$24)*(1-CUSTOS!$M$39),2)</f>
        <v>127.66</v>
      </c>
      <c r="T17" s="38">
        <v>0</v>
      </c>
      <c r="U17" s="38">
        <f ca="1">ROUND('TUSD BE'!$AM$34*(1-CUSTOS!$M$39),2)</f>
        <v>1391.09</v>
      </c>
      <c r="V17" s="38">
        <f>ROUND('TE BE'!$AB$24*(1-CUSTOS!$M$39),2)</f>
        <v>120.72</v>
      </c>
    </row>
    <row r="18" spans="12:22" ht="11.25" customHeight="1" x14ac:dyDescent="0.25">
      <c r="L18" s="107"/>
      <c r="M18" s="107"/>
      <c r="N18" s="107"/>
      <c r="O18" s="107"/>
      <c r="P18" s="40" t="s">
        <v>677</v>
      </c>
      <c r="Q18" s="38">
        <v>0</v>
      </c>
      <c r="R18" s="38">
        <f ca="1">ROUND(('TUSD BE'!$AM$35+'TUSD BF'!$AM$35+'TUSD CVA'!$AM$35)*(1-CUSTOS!$M$39),2)</f>
        <v>599.70000000000005</v>
      </c>
      <c r="S18" s="38">
        <f>ROUND(('TE BE'!$AB$25+'TE BF'!$AB$25+'TE CVA'!$AB$25)*(1-CUSTOS!$M$39),2)</f>
        <v>127.66</v>
      </c>
      <c r="T18" s="38">
        <v>0</v>
      </c>
      <c r="U18" s="38">
        <f ca="1">ROUND('TUSD BE'!$AM$35*(1-CUSTOS!$M$39),2)</f>
        <v>881.05</v>
      </c>
      <c r="V18" s="38">
        <f>ROUND('TE BE'!$AB$25*(1-CUSTOS!$M$39),2)</f>
        <v>120.72</v>
      </c>
    </row>
    <row r="19" spans="12:22" ht="11.25" customHeight="1" x14ac:dyDescent="0.25">
      <c r="L19" s="107"/>
      <c r="M19" s="108"/>
      <c r="N19" s="108"/>
      <c r="O19" s="108"/>
      <c r="P19" s="40" t="s">
        <v>670</v>
      </c>
      <c r="Q19" s="38">
        <v>0</v>
      </c>
      <c r="R19" s="38">
        <f ca="1">ROUND(('TUSD BE'!$AM$36+'TUSD BF'!$AM$36+'TUSD CVA'!$AM$36)*(1-CUSTOS!$M$39),2)</f>
        <v>279.43</v>
      </c>
      <c r="S19" s="38">
        <f>ROUND(('TE BE'!$AB$26+'TE BF'!$AB$26+'TE CVA'!$AB$26)*(1-CUSTOS!$M$39),2)</f>
        <v>127.66</v>
      </c>
      <c r="T19" s="38">
        <v>0</v>
      </c>
      <c r="U19" s="38">
        <f ca="1">ROUND('TUSD BE'!$AM$36*(1-CUSTOS!$M$39),2)</f>
        <v>371.01</v>
      </c>
      <c r="V19" s="38">
        <f>ROUND('TE BE'!$AB$26*(1-CUSTOS!$M$39),2)</f>
        <v>120.72</v>
      </c>
    </row>
    <row r="20" spans="12:22" ht="11.25" customHeight="1" x14ac:dyDescent="0.25">
      <c r="L20" s="107"/>
      <c r="M20" s="40" t="s">
        <v>678</v>
      </c>
      <c r="N20" s="40" t="s">
        <v>681</v>
      </c>
      <c r="O20" s="40" t="s">
        <v>683</v>
      </c>
      <c r="P20" s="40" t="s">
        <v>672</v>
      </c>
      <c r="Q20" s="38">
        <v>0</v>
      </c>
      <c r="R20" s="38">
        <f ca="1">ROUND(('TUSD BE'!$AM$42+'TUSD BF'!$AM$42+'TUSD CVA'!$AM$42)*(1-CUSTOS!$M$39),2)</f>
        <v>390.73</v>
      </c>
      <c r="S20" s="38">
        <f>ROUND(('TE BE'!$AB$32+'TE BF'!$AB$32+'TE CVA'!$AB$32)*(1-CUSTOS!$M$39),2)</f>
        <v>127.66</v>
      </c>
      <c r="T20" s="38">
        <v>0</v>
      </c>
      <c r="U20" s="38">
        <f ca="1">ROUND(('TUSD BE'!$AM$42)*(1-CUSTOS!$M$39),2)</f>
        <v>548.26</v>
      </c>
      <c r="V20" s="38">
        <f>ROUND(('TE BE'!$AB$32)*(1-CUSTOS!$M$39),2)</f>
        <v>120.72</v>
      </c>
    </row>
    <row r="21" spans="12:22" ht="11.25" customHeight="1" x14ac:dyDescent="0.25">
      <c r="L21" s="107"/>
      <c r="M21" s="40" t="s">
        <v>680</v>
      </c>
      <c r="N21" s="40" t="s">
        <v>681</v>
      </c>
      <c r="O21" s="40" t="s">
        <v>683</v>
      </c>
      <c r="P21" s="40" t="s">
        <v>672</v>
      </c>
      <c r="Q21" s="38">
        <v>0</v>
      </c>
      <c r="R21" s="38">
        <f ca="1">ROUND(('TUSD BE'!$AM$33+'TUSD BF'!$AM$33+'TUSD CVA'!$AM$33)*(1-CUSTOS!$M$39),2)</f>
        <v>390.73</v>
      </c>
      <c r="S21" s="38">
        <f>ROUND(('TE BE'!$AB$23+'TE BF'!$AB$23+'TE CVA'!$AB$23)*(1-CUSTOS!$M$39),2)</f>
        <v>127.66</v>
      </c>
      <c r="T21" s="38">
        <v>0</v>
      </c>
      <c r="U21" s="38">
        <f ca="1">ROUND(('TUSD BE'!$AM$33)*(1-CUSTOS!$M$39),2)</f>
        <v>548.26</v>
      </c>
      <c r="V21" s="38">
        <f>ROUND(('TE BE'!$AB$23)*(1-CUSTOS!$M$39),2)</f>
        <v>120.72</v>
      </c>
    </row>
    <row r="22" spans="12:22" ht="11.25" customHeight="1" x14ac:dyDescent="0.25">
      <c r="L22" s="107"/>
      <c r="M22" s="106" t="s">
        <v>675</v>
      </c>
      <c r="N22" s="106" t="s">
        <v>681</v>
      </c>
      <c r="O22" s="106" t="s">
        <v>684</v>
      </c>
      <c r="P22" s="40" t="s">
        <v>669</v>
      </c>
      <c r="Q22" s="38">
        <v>0</v>
      </c>
      <c r="R22" s="38">
        <f ca="1">ROUND(('TUSD BE'!$AM$38+'TUSD BF'!$AM$38+'TUSD CVA'!$AM$38)*(1-CUSTOS!$M$40),2)</f>
        <v>900.39</v>
      </c>
      <c r="S22" s="38">
        <f>ROUND(('TE BE'!$AB$28+'TE BF'!$AB$28+'TE CVA'!$AB$28)*(1-CUSTOS!$M$40),2)</f>
        <v>124.94</v>
      </c>
      <c r="T22" s="38">
        <v>0</v>
      </c>
      <c r="U22" s="38">
        <f ca="1">ROUND('TUSD BE'!$AM$38*(1-CUSTOS!$M$40),2)</f>
        <v>1361.49</v>
      </c>
      <c r="V22" s="38">
        <f>ROUND('TE BE'!$AB$28*(1-CUSTOS!$M$40),2)</f>
        <v>118.15</v>
      </c>
    </row>
    <row r="23" spans="12:22" ht="11.25" customHeight="1" x14ac:dyDescent="0.25">
      <c r="L23" s="107"/>
      <c r="M23" s="107"/>
      <c r="N23" s="107"/>
      <c r="O23" s="107"/>
      <c r="P23" s="40" t="s">
        <v>677</v>
      </c>
      <c r="Q23" s="38">
        <v>0</v>
      </c>
      <c r="R23" s="38">
        <f ca="1">ROUND(('TUSD BE'!$AM$39+'TUSD BF'!$AM$39+'TUSD CVA'!$AM$39)*(1-CUSTOS!$M$40),2)</f>
        <v>586.94000000000005</v>
      </c>
      <c r="S23" s="38">
        <f>ROUND(('TE BE'!$AB$29+'TE BF'!$AB$29+'TE CVA'!$AB$29)*(1-CUSTOS!$M$40),2)</f>
        <v>124.94</v>
      </c>
      <c r="T23" s="38">
        <v>0</v>
      </c>
      <c r="U23" s="38">
        <f ca="1">ROUND('TUSD BE'!$AM$39*(1-CUSTOS!$M$40),2)</f>
        <v>862.3</v>
      </c>
      <c r="V23" s="38">
        <f>ROUND('TE BE'!$AB$29*(1-CUSTOS!$M$40),2)</f>
        <v>118.15</v>
      </c>
    </row>
    <row r="24" spans="12:22" ht="11.25" customHeight="1" x14ac:dyDescent="0.25">
      <c r="L24" s="107"/>
      <c r="M24" s="108"/>
      <c r="N24" s="108"/>
      <c r="O24" s="108"/>
      <c r="P24" s="40" t="s">
        <v>670</v>
      </c>
      <c r="Q24" s="38">
        <v>0</v>
      </c>
      <c r="R24" s="38">
        <f ca="1">ROUND(('TUSD BE'!$AM$40+'TUSD BF'!$AM$40+'TUSD CVA'!$AM$40)*(1-CUSTOS!$M$40),2)</f>
        <v>273.48</v>
      </c>
      <c r="S24" s="38">
        <f>ROUND(('TE BE'!$AB$30+'TE BF'!$AB$30+'TE CVA'!$AB$30)*(1-CUSTOS!$M$40),2)</f>
        <v>124.94</v>
      </c>
      <c r="T24" s="38">
        <v>0</v>
      </c>
      <c r="U24" s="38">
        <f ca="1">ROUND('TUSD BE'!$AM$40*(1-CUSTOS!$M$40),2)</f>
        <v>363.12</v>
      </c>
      <c r="V24" s="38">
        <f>ROUND('TE BE'!$AB$30*(1-CUSTOS!$M$40),2)</f>
        <v>118.15</v>
      </c>
    </row>
    <row r="25" spans="12:22" ht="11.25" customHeight="1" x14ac:dyDescent="0.25">
      <c r="L25" s="107"/>
      <c r="M25" s="40" t="s">
        <v>678</v>
      </c>
      <c r="N25" s="40" t="s">
        <v>681</v>
      </c>
      <c r="O25" s="40" t="s">
        <v>684</v>
      </c>
      <c r="P25" s="40" t="s">
        <v>672</v>
      </c>
      <c r="Q25" s="38">
        <v>0</v>
      </c>
      <c r="R25" s="38">
        <f ca="1">ROUND(('TUSD BE'!$AM$42+'TUSD BF'!$AM$42+'TUSD CVA'!$AM$42)*(1-CUSTOS!$M$40),2)</f>
        <v>382.42</v>
      </c>
      <c r="S25" s="38">
        <f>ROUND(('TE BE'!$AB$32+'TE BF'!$AB$32+'TE CVA'!$AB$32)*(1-CUSTOS!$M$40),2)</f>
        <v>124.94</v>
      </c>
      <c r="T25" s="38">
        <v>0</v>
      </c>
      <c r="U25" s="38">
        <f ca="1">ROUND(('TUSD BE'!$AM$42)*(1-CUSTOS!$M$40),2)</f>
        <v>536.59</v>
      </c>
      <c r="V25" s="38">
        <f>ROUND(('TE BE'!$AB$32)*(1-CUSTOS!$M$40),2)</f>
        <v>118.15</v>
      </c>
    </row>
    <row r="26" spans="12:22" ht="11.25" customHeight="1" x14ac:dyDescent="0.25">
      <c r="L26" s="108"/>
      <c r="M26" s="40" t="s">
        <v>680</v>
      </c>
      <c r="N26" s="40" t="s">
        <v>681</v>
      </c>
      <c r="O26" s="40" t="s">
        <v>684</v>
      </c>
      <c r="P26" s="40" t="s">
        <v>672</v>
      </c>
      <c r="Q26" s="38">
        <v>0</v>
      </c>
      <c r="R26" s="38">
        <f ca="1">ROUND(('TUSD BE'!$AM$33+'TUSD BF'!$AM$33+'TUSD CVA'!$AM$33)*(1-CUSTOS!$M$40),2)</f>
        <v>382.42</v>
      </c>
      <c r="S26" s="38">
        <f>ROUND(('TE BE'!$AB$23+'TE BF'!$AB$23+'TE CVA'!$AB$23)*(1-CUSTOS!$M$40),2)</f>
        <v>124.94</v>
      </c>
      <c r="T26" s="38">
        <v>0</v>
      </c>
      <c r="U26" s="38">
        <f ca="1">ROUND(('TUSD BE'!$AM$33)*(1-CUSTOS!$M$40),2)</f>
        <v>536.59</v>
      </c>
      <c r="V26" s="38">
        <f>ROUND(('TE BE'!$AB$23)*(1-CUSTOS!$M$40),2)</f>
        <v>118.15</v>
      </c>
    </row>
    <row r="27" spans="12:22" ht="11.25" customHeight="1" x14ac:dyDescent="0.25">
      <c r="L27" s="106" t="s">
        <v>33</v>
      </c>
      <c r="M27" s="106" t="s">
        <v>675</v>
      </c>
      <c r="N27" s="106" t="s">
        <v>672</v>
      </c>
      <c r="O27" s="106" t="s">
        <v>672</v>
      </c>
      <c r="P27" s="40" t="s">
        <v>669</v>
      </c>
      <c r="Q27" s="38">
        <v>0</v>
      </c>
      <c r="R27" s="38">
        <f ca="1">ROUND(('TUSD BE'!$AM$45+'TUSD BF'!$AM$45+'TUSD CVA'!$AM$45)*(1-CUSTOS!$M$31),2)</f>
        <v>1123.1199999999999</v>
      </c>
      <c r="S27" s="38">
        <f>ROUND(('TE BE'!$AB$35+'TE BF'!$AB$35+'TE CVA'!$AB$35)*(1-CUSTOS!$M$31),2)</f>
        <v>135.81</v>
      </c>
      <c r="T27" s="38">
        <v>0</v>
      </c>
      <c r="U27" s="38">
        <f ca="1">ROUND('TUSD BE'!$AM$45*(1-CUSTOS!$M$31),2)</f>
        <v>1709.87</v>
      </c>
      <c r="V27" s="38">
        <f>ROUND('TE BE'!$AB$35*(1-CUSTOS!$M$31),2)</f>
        <v>128.41999999999999</v>
      </c>
    </row>
    <row r="28" spans="12:22" ht="11.25" customHeight="1" x14ac:dyDescent="0.25">
      <c r="L28" s="107"/>
      <c r="M28" s="107"/>
      <c r="N28" s="107"/>
      <c r="O28" s="107"/>
      <c r="P28" s="40" t="s">
        <v>677</v>
      </c>
      <c r="Q28" s="38">
        <v>0</v>
      </c>
      <c r="R28" s="38">
        <f ca="1">ROUND(('TUSD BE'!$AM$46+'TUSD BF'!$AM$46+'TUSD CVA'!$AM$46)*(1-CUSTOS!$M$31),2)</f>
        <v>724.61</v>
      </c>
      <c r="S28" s="38">
        <f>ROUND(('TE BE'!$AB$36+'TE BF'!$AB$36+'TE CVA'!$AB$36)*(1-CUSTOS!$M$31),2)</f>
        <v>135.81</v>
      </c>
      <c r="T28" s="38">
        <v>0</v>
      </c>
      <c r="U28" s="38">
        <f ca="1">ROUND('TUSD BE'!$AM$46*(1-CUSTOS!$M$31),2)</f>
        <v>1075.25</v>
      </c>
      <c r="V28" s="38">
        <f>ROUND('TE BE'!$AB$36*(1-CUSTOS!$M$31),2)</f>
        <v>128.41999999999999</v>
      </c>
    </row>
    <row r="29" spans="12:22" ht="11.25" customHeight="1" x14ac:dyDescent="0.25">
      <c r="L29" s="107"/>
      <c r="M29" s="108"/>
      <c r="N29" s="108"/>
      <c r="O29" s="108"/>
      <c r="P29" s="40" t="s">
        <v>670</v>
      </c>
      <c r="Q29" s="38">
        <v>0</v>
      </c>
      <c r="R29" s="38">
        <f ca="1">ROUND(('TUSD BE'!$AM$47+'TUSD BF'!$AM$47+'TUSD CVA'!$AM$47)*(1-CUSTOS!$M$31),2)</f>
        <v>326.16000000000003</v>
      </c>
      <c r="S29" s="38">
        <f>ROUND(('TE BE'!$AB$37+'TE BF'!$AB$37+'TE CVA'!$AB$37)*(1-CUSTOS!$M$31),2)</f>
        <v>135.81</v>
      </c>
      <c r="T29" s="38">
        <v>0</v>
      </c>
      <c r="U29" s="38">
        <f ca="1">ROUND('TUSD BE'!$AM$47*(1-CUSTOS!$M$31),2)</f>
        <v>440.7</v>
      </c>
      <c r="V29" s="38">
        <f>ROUND('TE BE'!$AB$37*(1-CUSTOS!$M$31),2)</f>
        <v>128.41999999999999</v>
      </c>
    </row>
    <row r="30" spans="12:22" ht="11.25" customHeight="1" x14ac:dyDescent="0.25">
      <c r="L30" s="107"/>
      <c r="M30" s="40" t="s">
        <v>678</v>
      </c>
      <c r="N30" s="40" t="s">
        <v>672</v>
      </c>
      <c r="O30" s="40" t="s">
        <v>672</v>
      </c>
      <c r="P30" s="40" t="s">
        <v>672</v>
      </c>
      <c r="Q30" s="38">
        <v>0</v>
      </c>
      <c r="R30" s="38">
        <f ca="1">ROUND(('TUSD BE'!$AM$49+'TUSD BF'!$AM$49+'TUSD CVA'!$AM$49)*(1-CUSTOS!$M$31),2)</f>
        <v>415.67</v>
      </c>
      <c r="S30" s="38">
        <f>ROUND(('TE BE'!$AB$39+'TE BF'!$AB$39+'TE CVA'!$AB$39)*(1-CUSTOS!$M$31),2)</f>
        <v>135.81</v>
      </c>
      <c r="T30" s="38">
        <v>0</v>
      </c>
      <c r="U30" s="38">
        <f ca="1">ROUND(('TUSD BE'!$AM$49)*(1-CUSTOS!$M$31),2)</f>
        <v>583.25</v>
      </c>
      <c r="V30" s="38">
        <f>ROUND(('TE BE'!$AB$39)*(1-CUSTOS!$M$31),2)</f>
        <v>128.41999999999999</v>
      </c>
    </row>
    <row r="31" spans="12:22" ht="11.25" customHeight="1" x14ac:dyDescent="0.25">
      <c r="L31" s="108"/>
      <c r="M31" s="40" t="s">
        <v>680</v>
      </c>
      <c r="N31" s="40" t="s">
        <v>672</v>
      </c>
      <c r="O31" s="40" t="s">
        <v>672</v>
      </c>
      <c r="P31" s="40" t="s">
        <v>672</v>
      </c>
      <c r="Q31" s="38">
        <v>0</v>
      </c>
      <c r="R31" s="38">
        <f ca="1">ROUND(('TUSD BE'!$AM$48+'TUSD BF'!$AM$48+'TUSD CVA'!$AM$48)*(1-CUSTOS!$M$31),2)</f>
        <v>415.67</v>
      </c>
      <c r="S31" s="38">
        <f>ROUND(('TE BE'!$AB$38+'TE BF'!$AB$38+'TE CVA'!$AB$38)*(1-CUSTOS!$M$31),2)</f>
        <v>135.81</v>
      </c>
      <c r="T31" s="38">
        <v>0</v>
      </c>
      <c r="U31" s="38">
        <f ca="1">ROUND(('TUSD BE'!$AM$48)*(1-CUSTOS!$M$31),2)</f>
        <v>583.25</v>
      </c>
      <c r="V31" s="38">
        <f>ROUND(('TE BE'!$AB$38)*(1-CUSTOS!$M$31),2)</f>
        <v>128.41999999999999</v>
      </c>
    </row>
    <row r="32" spans="12:22" ht="11.25" customHeight="1" x14ac:dyDescent="0.25">
      <c r="L32" s="106" t="s">
        <v>43</v>
      </c>
      <c r="M32" s="106" t="s">
        <v>680</v>
      </c>
      <c r="N32" s="106" t="s">
        <v>685</v>
      </c>
      <c r="O32" s="40" t="s">
        <v>686</v>
      </c>
      <c r="P32" s="40" t="s">
        <v>672</v>
      </c>
      <c r="Q32" s="38">
        <v>0</v>
      </c>
      <c r="R32" s="38">
        <f ca="1">ROUND(('TUSD BE'!$AM$50+'TUSD BF'!$AM$50+'TUSD CVA'!$AM$50),2)</f>
        <v>228.62</v>
      </c>
      <c r="S32" s="38">
        <f>ROUND(('TE BE'!$AB$40+'TE BF'!$AB$40+'TE CVA'!$AB$40),2)</f>
        <v>74.69</v>
      </c>
      <c r="T32" s="38">
        <v>0</v>
      </c>
      <c r="U32" s="38">
        <f ca="1">ROUND(('TUSD BE'!$AM$50),2)</f>
        <v>320.79000000000002</v>
      </c>
      <c r="V32" s="38">
        <f>ROUND(('TE BE'!$AB$40),2)</f>
        <v>70.63</v>
      </c>
    </row>
    <row r="33" spans="12:22" ht="11.25" customHeight="1" x14ac:dyDescent="0.25">
      <c r="L33" s="108"/>
      <c r="M33" s="108"/>
      <c r="N33" s="108"/>
      <c r="O33" s="40" t="s">
        <v>687</v>
      </c>
      <c r="P33" s="40" t="s">
        <v>672</v>
      </c>
      <c r="Q33" s="38">
        <v>0</v>
      </c>
      <c r="R33" s="38">
        <f ca="1">ROUND(('TUSD BE'!$AM$51+'TUSD BF'!$AM$51+'TUSD CVA'!$AM$51),2)</f>
        <v>249.4</v>
      </c>
      <c r="S33" s="38">
        <f>ROUND(('TE BE'!$AB$41+'TE BF'!$AB$41+'TE CVA'!$AB$41),2)</f>
        <v>81.48</v>
      </c>
      <c r="T33" s="38">
        <v>0</v>
      </c>
      <c r="U33" s="38">
        <f ca="1">ROUND(('TUSD BE'!$AM$51),2)</f>
        <v>349.95</v>
      </c>
      <c r="V33" s="38">
        <f>ROUND(('TE BE'!$AB$41),2)</f>
        <v>77.05</v>
      </c>
    </row>
    <row r="34" spans="12:22" ht="11.25" customHeight="1" x14ac:dyDescent="0.25">
      <c r="L34" s="106" t="s">
        <v>80</v>
      </c>
      <c r="M34" s="106" t="s">
        <v>55</v>
      </c>
      <c r="N34" s="40" t="s">
        <v>81</v>
      </c>
      <c r="O34" s="40" t="s">
        <v>672</v>
      </c>
      <c r="P34" s="40" t="s">
        <v>672</v>
      </c>
      <c r="Q34" s="38">
        <f ca="1">ROUND(('TUSD BE'!$AM$15+'TUSD BF'!$AM$15+'TUSD CVA'!$AM$15),2)</f>
        <v>5.86</v>
      </c>
      <c r="R34" s="38">
        <v>0</v>
      </c>
      <c r="S34" s="38">
        <v>0</v>
      </c>
      <c r="T34" s="38">
        <f ca="1">ROUND(('TUSD BE'!$AM$15),2)</f>
        <v>10.69</v>
      </c>
      <c r="U34" s="38">
        <v>0</v>
      </c>
      <c r="V34" s="38">
        <v>0</v>
      </c>
    </row>
    <row r="35" spans="12:22" ht="11.25" customHeight="1" x14ac:dyDescent="0.25">
      <c r="L35" s="108"/>
      <c r="M35" s="108"/>
      <c r="N35" s="40" t="s">
        <v>82</v>
      </c>
      <c r="O35" s="40" t="s">
        <v>672</v>
      </c>
      <c r="P35" s="40" t="s">
        <v>672</v>
      </c>
      <c r="Q35" s="38">
        <f ca="1">ROUND(('TUSD BE'!$AM$16+'TUSD BF'!$AM$16+'TUSD CVA'!$AM$16),2)</f>
        <v>11.9</v>
      </c>
      <c r="R35" s="38">
        <v>0</v>
      </c>
      <c r="S35" s="38">
        <v>0</v>
      </c>
      <c r="T35" s="38">
        <f ca="1">ROUND(('TUSD BE'!$AM$16),2)</f>
        <v>21.74</v>
      </c>
      <c r="U35" s="38">
        <v>0</v>
      </c>
      <c r="V35" s="38">
        <v>0</v>
      </c>
    </row>
  </sheetData>
  <mergeCells count="51">
    <mergeCell ref="C5:C6"/>
    <mergeCell ref="C7:C8"/>
    <mergeCell ref="C9:C11"/>
    <mergeCell ref="C12:C14"/>
    <mergeCell ref="A1:J1"/>
    <mergeCell ref="A2:A4"/>
    <mergeCell ref="B2:B4"/>
    <mergeCell ref="C2:C4"/>
    <mergeCell ref="D2:D4"/>
    <mergeCell ref="E2:G2"/>
    <mergeCell ref="E3:F3"/>
    <mergeCell ref="H2:J2"/>
    <mergeCell ref="H3:I3"/>
    <mergeCell ref="A5:A15"/>
    <mergeCell ref="B5:B6"/>
    <mergeCell ref="B7:B8"/>
    <mergeCell ref="B9:B11"/>
    <mergeCell ref="B12:B14"/>
    <mergeCell ref="L1:V1"/>
    <mergeCell ref="L2:L4"/>
    <mergeCell ref="M2:M4"/>
    <mergeCell ref="N2:N4"/>
    <mergeCell ref="O2:O4"/>
    <mergeCell ref="P2:P4"/>
    <mergeCell ref="Q2:S2"/>
    <mergeCell ref="Q3:R3"/>
    <mergeCell ref="T2:V2"/>
    <mergeCell ref="T3:U3"/>
    <mergeCell ref="L5:L11"/>
    <mergeCell ref="L12:L26"/>
    <mergeCell ref="L27:L31"/>
    <mergeCell ref="L32:L33"/>
    <mergeCell ref="L34:L35"/>
    <mergeCell ref="M32:M33"/>
    <mergeCell ref="M34:M35"/>
    <mergeCell ref="N5:N7"/>
    <mergeCell ref="N12:N14"/>
    <mergeCell ref="N17:N19"/>
    <mergeCell ref="N22:N24"/>
    <mergeCell ref="N27:N29"/>
    <mergeCell ref="N32:N33"/>
    <mergeCell ref="M5:M7"/>
    <mergeCell ref="M12:M14"/>
    <mergeCell ref="M17:M19"/>
    <mergeCell ref="M22:M24"/>
    <mergeCell ref="M27:M29"/>
    <mergeCell ref="O5:O7"/>
    <mergeCell ref="O12:O14"/>
    <mergeCell ref="O17:O19"/>
    <mergeCell ref="O22:O24"/>
    <mergeCell ref="O27:O29"/>
  </mergeCells>
  <pageMargins left="0.511811024" right="0.511811024" top="0.78740157499999996" bottom="0.78740157499999996" header="0.31496062000000002" footer="0.31496062000000002"/>
  <pageSetup paperSize="9" orientation="portrait" horizontalDpi="300" verticalDpi="0" copies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6F91D-7E3B-4DB4-8DA8-01C9FBBCC2D6}">
  <sheetPr codeName="Planilha21"/>
  <dimension ref="A1:AN553"/>
  <sheetViews>
    <sheetView showGridLines="0" workbookViewId="0"/>
  </sheetViews>
  <sheetFormatPr defaultRowHeight="11.25" customHeight="1" x14ac:dyDescent="0.25"/>
  <cols>
    <col min="1" max="1" width="19.140625" style="4" bestFit="1" customWidth="1"/>
    <col min="2" max="2" width="8.7109375" style="4" bestFit="1" customWidth="1"/>
    <col min="3" max="3" width="10.28515625" style="4" bestFit="1" customWidth="1"/>
    <col min="4" max="4" width="13.5703125" style="4" bestFit="1" customWidth="1"/>
    <col min="5" max="5" width="25.140625" style="4" bestFit="1" customWidth="1"/>
    <col min="6" max="6" width="12.85546875" style="4" bestFit="1" customWidth="1"/>
    <col min="7" max="7" width="13.7109375" style="4" bestFit="1" customWidth="1"/>
    <col min="8" max="8" width="10.28515625" style="4" bestFit="1" customWidth="1"/>
    <col min="9" max="9" width="8.7109375" style="5" bestFit="1" customWidth="1"/>
    <col min="10" max="10" width="10.140625" style="6" bestFit="1" customWidth="1"/>
    <col min="11" max="11" width="10.5703125" style="6" bestFit="1" customWidth="1"/>
    <col min="12" max="12" width="9.42578125" style="6" bestFit="1" customWidth="1"/>
    <col min="13" max="13" width="13.7109375" style="6" bestFit="1" customWidth="1"/>
    <col min="14" max="14" width="14.140625" style="6" bestFit="1" customWidth="1"/>
    <col min="15" max="15" width="12.85546875" style="6" bestFit="1" customWidth="1"/>
    <col min="16" max="16" width="7" style="6" bestFit="1" customWidth="1"/>
    <col min="17" max="17" width="9.28515625" style="4" bestFit="1" customWidth="1"/>
    <col min="18" max="18" width="18.85546875" style="4" bestFit="1" customWidth="1"/>
    <col min="19" max="19" width="20.28515625" style="4" bestFit="1" customWidth="1"/>
    <col min="20" max="20" width="18.140625" style="4" bestFit="1" customWidth="1"/>
    <col min="21" max="21" width="17" style="4" bestFit="1" customWidth="1"/>
    <col min="22" max="22" width="18.5703125" style="4" bestFit="1" customWidth="1"/>
    <col min="23" max="23" width="16.28515625" style="4" bestFit="1" customWidth="1"/>
    <col min="24" max="24" width="16.7109375" style="4" bestFit="1" customWidth="1"/>
    <col min="25" max="25" width="18.28515625" style="4" bestFit="1" customWidth="1"/>
    <col min="26" max="26" width="16" style="4" bestFit="1" customWidth="1"/>
    <col min="27" max="27" width="16.85546875" style="4" bestFit="1" customWidth="1"/>
    <col min="28" max="28" width="18.42578125" style="4" bestFit="1" customWidth="1"/>
    <col min="29" max="29" width="16.140625" style="4" bestFit="1" customWidth="1"/>
    <col min="30" max="30" width="17.28515625" style="4" bestFit="1" customWidth="1"/>
    <col min="31" max="31" width="21.5703125" style="4" bestFit="1" customWidth="1"/>
    <col min="32" max="32" width="11.42578125" style="4" bestFit="1" customWidth="1"/>
    <col min="33" max="33" width="12.85546875" style="4" bestFit="1" customWidth="1"/>
    <col min="34" max="34" width="10.7109375" style="4" bestFit="1" customWidth="1"/>
    <col min="35" max="35" width="11.7109375" style="4" bestFit="1" customWidth="1"/>
    <col min="36" max="36" width="16" style="4" bestFit="1" customWidth="1"/>
    <col min="37" max="37" width="9.140625" style="4"/>
    <col min="38" max="38" width="8.7109375" style="4" bestFit="1" customWidth="1"/>
    <col min="39" max="39" width="5.5703125" style="4" bestFit="1" customWidth="1"/>
    <col min="40" max="40" width="14.7109375" style="4" bestFit="1" customWidth="1"/>
    <col min="41" max="16384" width="9.140625" style="4"/>
  </cols>
  <sheetData>
    <row r="1" spans="1:40" s="1" customFormat="1" ht="11.25" customHeight="1" x14ac:dyDescent="0.25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63" t="s">
        <v>8</v>
      </c>
      <c r="J1" s="39" t="s">
        <v>635</v>
      </c>
      <c r="K1" s="39" t="s">
        <v>636</v>
      </c>
      <c r="L1" s="39" t="s">
        <v>637</v>
      </c>
      <c r="M1" s="39" t="s">
        <v>638</v>
      </c>
      <c r="N1" s="39" t="s">
        <v>639</v>
      </c>
      <c r="O1" s="39" t="s">
        <v>640</v>
      </c>
      <c r="P1" s="7"/>
      <c r="Q1" s="104" t="s">
        <v>641</v>
      </c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L1" s="43" t="s">
        <v>662</v>
      </c>
      <c r="AM1" s="43" t="s">
        <v>59</v>
      </c>
      <c r="AN1" s="43" t="s">
        <v>663</v>
      </c>
    </row>
    <row r="2" spans="1:40" ht="11.25" customHeight="1" x14ac:dyDescent="0.2">
      <c r="A2" s="44" t="s">
        <v>21</v>
      </c>
      <c r="B2" s="44" t="s">
        <v>35</v>
      </c>
      <c r="C2" s="44" t="s">
        <v>48</v>
      </c>
      <c r="D2" s="44" t="s">
        <v>46</v>
      </c>
      <c r="E2" s="44" t="s">
        <v>47</v>
      </c>
      <c r="F2" s="44" t="s">
        <v>25</v>
      </c>
      <c r="G2" s="44" t="s">
        <v>25</v>
      </c>
      <c r="H2" s="44" t="s">
        <v>38</v>
      </c>
      <c r="I2" s="64">
        <v>44440</v>
      </c>
      <c r="J2" s="65">
        <f ca="1">EFEITO!$J2*('TUSD BE'!$AM$6+'TUSD BF'!$AM$6+'TUSD CVA'!$AM$6)</f>
        <v>12519.235407484864</v>
      </c>
      <c r="K2" s="65">
        <f ca="1">EFEITO!$L2*('TUSD BE'!$AM$7+'TUSD BF'!$AM$7+'TUSD CVA'!$AM$7)</f>
        <v>24543.375661603506</v>
      </c>
      <c r="L2" s="65">
        <f>EFEITO!$N2*('TE BE'!$AB$6+'TE BF'!$AB$6+'TE CVA'!$AB$6)</f>
        <v>33382.265529226555</v>
      </c>
      <c r="M2" s="65">
        <f ca="1">$J$2-EFEITO!$K$2*EFEITO!$Y$2</f>
        <v>375.57706222454544</v>
      </c>
      <c r="N2" s="65">
        <f ca="1">$K$2-EFEITO!$M$2*EFEITO!$Z$2</f>
        <v>736.30126984810704</v>
      </c>
      <c r="O2" s="65">
        <f>$L$2-EFEITO!$O$2*EFEITO!$AA$2</f>
        <v>1001.4679658768</v>
      </c>
      <c r="P2" s="48"/>
      <c r="Q2" s="37" t="s">
        <v>62</v>
      </c>
      <c r="R2" s="37" t="s">
        <v>643</v>
      </c>
      <c r="S2" s="37" t="s">
        <v>644</v>
      </c>
      <c r="T2" s="37" t="s">
        <v>645</v>
      </c>
      <c r="U2" s="37" t="s">
        <v>646</v>
      </c>
      <c r="V2" s="37" t="s">
        <v>647</v>
      </c>
      <c r="W2" s="37" t="s">
        <v>648</v>
      </c>
      <c r="X2" s="66" t="s">
        <v>649</v>
      </c>
      <c r="Y2" s="66" t="s">
        <v>650</v>
      </c>
      <c r="Z2" s="66" t="s">
        <v>651</v>
      </c>
      <c r="AA2" s="66" t="s">
        <v>652</v>
      </c>
      <c r="AB2" s="66" t="s">
        <v>653</v>
      </c>
      <c r="AC2" s="66" t="s">
        <v>654</v>
      </c>
      <c r="AD2" s="66" t="s">
        <v>655</v>
      </c>
      <c r="AE2" s="66" t="s">
        <v>656</v>
      </c>
      <c r="AF2" s="66" t="s">
        <v>657</v>
      </c>
      <c r="AG2" s="66" t="s">
        <v>658</v>
      </c>
      <c r="AH2" s="66" t="s">
        <v>659</v>
      </c>
      <c r="AI2" s="66" t="s">
        <v>660</v>
      </c>
      <c r="AJ2" s="66" t="s">
        <v>661</v>
      </c>
      <c r="AL2" s="44"/>
      <c r="AM2" s="44"/>
      <c r="AN2" s="44"/>
    </row>
    <row r="3" spans="1:40" ht="11.25" customHeight="1" x14ac:dyDescent="0.2">
      <c r="A3" s="44" t="s">
        <v>21</v>
      </c>
      <c r="B3" s="44" t="s">
        <v>35</v>
      </c>
      <c r="C3" s="44" t="s">
        <v>48</v>
      </c>
      <c r="D3" s="44" t="s">
        <v>46</v>
      </c>
      <c r="E3" s="44" t="s">
        <v>47</v>
      </c>
      <c r="F3" s="44" t="s">
        <v>25</v>
      </c>
      <c r="G3" s="44" t="s">
        <v>25</v>
      </c>
      <c r="H3" s="44" t="s">
        <v>38</v>
      </c>
      <c r="I3" s="64">
        <v>44470</v>
      </c>
      <c r="J3" s="65">
        <f ca="1">EFEITO!$J3*('TUSD BE'!$AM$6+'TUSD BF'!$AM$6+'TUSD CVA'!$AM$6)</f>
        <v>12670.373058279451</v>
      </c>
      <c r="K3" s="65">
        <f ca="1">EFEITO!$L3*('TUSD BE'!$AM$7+'TUSD BF'!$AM$7+'TUSD CVA'!$AM$7)</f>
        <v>23206.8136839371</v>
      </c>
      <c r="L3" s="65">
        <f>EFEITO!$N3*('TE BE'!$AB$6+'TE BF'!$AB$6+'TE CVA'!$AB$6)</f>
        <v>31564.362912654975</v>
      </c>
      <c r="M3" s="65">
        <f ca="1">$J$3-EFEITO!$K$3*EFEITO!$Y$3</f>
        <v>380.11119174838313</v>
      </c>
      <c r="N3" s="65">
        <f ca="1">$K$3-EFEITO!$M$3*EFEITO!$Z$3</f>
        <v>696.20441051811576</v>
      </c>
      <c r="O3" s="65">
        <f>$L$3-EFEITO!$O$3*EFEITO!$AA$3</f>
        <v>946.93088737965081</v>
      </c>
      <c r="P3" s="48"/>
      <c r="Q3" s="65" t="s">
        <v>642</v>
      </c>
      <c r="R3" s="65">
        <f>SUMIF($B$2:$B$553,$Q$3,$J$2:$J$553)</f>
        <v>0</v>
      </c>
      <c r="S3" s="65">
        <f>SUMIF($B$2:$B$553,$Q$3,$K$2:$K$553)</f>
        <v>0</v>
      </c>
      <c r="T3" s="65">
        <f>SUMIF($B$2:$B$553,$Q$3,$L$2:$L$553)</f>
        <v>0</v>
      </c>
      <c r="U3" s="65">
        <f>SUMIF($B$2:$B$553,$Q$3,$M$2:$M$553)</f>
        <v>0</v>
      </c>
      <c r="V3" s="65">
        <f>SUMIF($B$2:$B$553,$Q$3,$N$2:$N$553)</f>
        <v>0</v>
      </c>
      <c r="W3" s="65">
        <f>SUMIF($B$2:$B$553,$Q$3,$O$2:$O$553)</f>
        <v>0</v>
      </c>
      <c r="X3" s="45">
        <f>$R$3-$U$3</f>
        <v>0</v>
      </c>
      <c r="Y3" s="45">
        <f>$S$3-$V$3</f>
        <v>0</v>
      </c>
      <c r="Z3" s="45">
        <f>$T$3-$W$3</f>
        <v>0</v>
      </c>
      <c r="AA3" s="45">
        <f>SUMIF(EFEITO!$B$2:$B$553,$Q$3,EFEITO!$AE$2:$AE$553)</f>
        <v>0</v>
      </c>
      <c r="AB3" s="45">
        <f>SUMIF(EFEITO!$B$2:$B$553,$Q$3,EFEITO!$AF$2:$AF$553)</f>
        <v>0</v>
      </c>
      <c r="AC3" s="45">
        <f>SUMIF(EFEITO!$B$2:$B$553,$Q$3,EFEITO!$AG$2:$AH$553)</f>
        <v>0</v>
      </c>
      <c r="AD3" s="45">
        <f>SUMIF(SUBSIDIO!$B$2:$B$553,$Q$3,SUBSIDIO!$AD$2:$AD$553)</f>
        <v>0</v>
      </c>
      <c r="AE3" s="45">
        <f>SUMIF(SUBSIDIO!$B$2:$B$553,$Q$3,SUBSIDIO!$AE$2:$AE$553)</f>
        <v>0</v>
      </c>
      <c r="AF3" s="45" t="str">
        <f>IF(ABS($X$3-$AA$3)&lt;0.01,"OK","ERRO")</f>
        <v>OK</v>
      </c>
      <c r="AG3" s="45" t="str">
        <f>IF(ABS($Y$3-$AB$3)&lt;0.01,"OK","ERRO")</f>
        <v>OK</v>
      </c>
      <c r="AH3" s="45" t="str">
        <f>IF(ABS($Z$3-$AC$3)&lt;0.01,"OK","ERRO")</f>
        <v>OK</v>
      </c>
      <c r="AI3" s="45" t="str">
        <f>IF(ABS($U$3-$AD$3)&lt;0.01,"OK","ERRO")</f>
        <v>OK</v>
      </c>
      <c r="AJ3" s="45" t="str">
        <f>IF(ABS(($V$3+$W$3)-$AE$3)&lt;0.01,"OK","ERRO")</f>
        <v>OK</v>
      </c>
    </row>
    <row r="4" spans="1:40" ht="11.25" customHeight="1" x14ac:dyDescent="0.2">
      <c r="A4" s="44" t="s">
        <v>21</v>
      </c>
      <c r="B4" s="44" t="s">
        <v>35</v>
      </c>
      <c r="C4" s="44" t="s">
        <v>48</v>
      </c>
      <c r="D4" s="44" t="s">
        <v>46</v>
      </c>
      <c r="E4" s="44" t="s">
        <v>47</v>
      </c>
      <c r="F4" s="44" t="s">
        <v>25</v>
      </c>
      <c r="G4" s="44" t="s">
        <v>25</v>
      </c>
      <c r="H4" s="44" t="s">
        <v>38</v>
      </c>
      <c r="I4" s="64">
        <v>44501</v>
      </c>
      <c r="J4" s="65">
        <f ca="1">EFEITO!$J4*('TUSD BE'!$AM$6+'TUSD BF'!$AM$6+'TUSD CVA'!$AM$6)</f>
        <v>12216.960105895692</v>
      </c>
      <c r="K4" s="65">
        <f ca="1">EFEITO!$L4*('TUSD BE'!$AM$7+'TUSD BF'!$AM$7+'TUSD CVA'!$AM$7)</f>
        <v>19916.430939874732</v>
      </c>
      <c r="L4" s="65">
        <f>EFEITO!$N4*('TE BE'!$AB$6+'TE BF'!$AB$6+'TE CVA'!$AB$6)</f>
        <v>27089.003370857587</v>
      </c>
      <c r="M4" s="65">
        <f ca="1">$J$4-EFEITO!$K$4*EFEITO!$Y$4</f>
        <v>366.50880317687006</v>
      </c>
      <c r="N4" s="65">
        <f ca="1">$K$4-EFEITO!$M$4*EFEITO!$Z$4</f>
        <v>597.49292819624316</v>
      </c>
      <c r="O4" s="65">
        <f>$L$4-EFEITO!$O$4*EFEITO!$AA$4</f>
        <v>812.67010112572825</v>
      </c>
      <c r="P4" s="48"/>
      <c r="Q4" s="65" t="s">
        <v>513</v>
      </c>
      <c r="R4" s="65">
        <f>SUMIF($B$2:$B$553,$Q$4,$J$2:$J$553)</f>
        <v>0</v>
      </c>
      <c r="S4" s="65">
        <f>SUMIF($B$2:$B$553,$Q$4,$K$2:$K$553)</f>
        <v>0</v>
      </c>
      <c r="T4" s="65">
        <f>SUMIF($B$2:$B$553,$Q$4,$L$2:$L$553)</f>
        <v>0</v>
      </c>
      <c r="U4" s="65">
        <f>SUMIF($B$2:$B$553,$Q$4,$M$2:$M$553)</f>
        <v>0</v>
      </c>
      <c r="V4" s="65">
        <f>SUMIF($B$2:$B$553,$Q$4,$N$2:$N$553)</f>
        <v>0</v>
      </c>
      <c r="W4" s="65">
        <f>SUMIF($B$2:$B$553,$Q$4,$O$2:$O$553)</f>
        <v>0</v>
      </c>
      <c r="X4" s="45">
        <f>$R$4-$U$4</f>
        <v>0</v>
      </c>
      <c r="Y4" s="45">
        <f>$S$4-$V$4</f>
        <v>0</v>
      </c>
      <c r="Z4" s="45">
        <f>$T$4-$W$4</f>
        <v>0</v>
      </c>
      <c r="AA4" s="45">
        <f>SUMIF(EFEITO!$B$2:$B$553,$Q$4,EFEITO!$AE$2:$AE$553)</f>
        <v>0</v>
      </c>
      <c r="AB4" s="45">
        <f>SUMIF(EFEITO!$B$2:$B$553,$Q$4,EFEITO!$AF$2:$AF$553)</f>
        <v>0</v>
      </c>
      <c r="AC4" s="45">
        <f>SUMIF(EFEITO!$B$2:$B$553,$Q$4,EFEITO!$AG$2:$AH$553)</f>
        <v>0</v>
      </c>
      <c r="AD4" s="45">
        <f>SUMIF(SUBSIDIO!$B$2:$B$553,$Q$4,SUBSIDIO!$AD$2:$AD$553)</f>
        <v>0</v>
      </c>
      <c r="AE4" s="45">
        <f>SUMIF(SUBSIDIO!$B$2:$B$553,$Q$4,SUBSIDIO!$AE$2:$AE$553)</f>
        <v>0</v>
      </c>
      <c r="AF4" s="45" t="str">
        <f>IF(ABS($X$4-$AA$4)&lt;0.01,"OK","ERRO")</f>
        <v>OK</v>
      </c>
      <c r="AG4" s="45" t="str">
        <f>IF(ABS($Y$4-$AB$4)&lt;0.01,"OK","ERRO")</f>
        <v>OK</v>
      </c>
      <c r="AH4" s="45" t="str">
        <f>IF(ABS($Z$4-$AC$4)&lt;0.01,"OK","ERRO")</f>
        <v>OK</v>
      </c>
      <c r="AI4" s="45" t="str">
        <f>IF(ABS($U$4-$AD$4)&lt;0.01,"OK","ERRO")</f>
        <v>OK</v>
      </c>
      <c r="AJ4" s="45" t="str">
        <f>IF(ABS(($V$4+$W$4)-$AE$4)&lt;0.01,"OK","ERRO")</f>
        <v>OK</v>
      </c>
    </row>
    <row r="5" spans="1:40" ht="11.25" customHeight="1" x14ac:dyDescent="0.2">
      <c r="A5" s="44" t="s">
        <v>21</v>
      </c>
      <c r="B5" s="44" t="s">
        <v>35</v>
      </c>
      <c r="C5" s="44" t="s">
        <v>48</v>
      </c>
      <c r="D5" s="44" t="s">
        <v>46</v>
      </c>
      <c r="E5" s="44" t="s">
        <v>47</v>
      </c>
      <c r="F5" s="44" t="s">
        <v>25</v>
      </c>
      <c r="G5" s="44" t="s">
        <v>25</v>
      </c>
      <c r="H5" s="44" t="s">
        <v>38</v>
      </c>
      <c r="I5" s="64">
        <v>44531</v>
      </c>
      <c r="J5" s="65">
        <f ca="1">EFEITO!$J5*('TUSD BE'!$AM$6+'TUSD BF'!$AM$6+'TUSD CVA'!$AM$6)</f>
        <v>11914.684804306522</v>
      </c>
      <c r="K5" s="65">
        <f ca="1">EFEITO!$L5*('TUSD BE'!$AM$7+'TUSD BF'!$AM$7+'TUSD CVA'!$AM$7)</f>
        <v>20941.96717718324</v>
      </c>
      <c r="L5" s="65">
        <f>EFEITO!$N5*('TE BE'!$AB$6+'TE BF'!$AB$6+'TE CVA'!$AB$6)</f>
        <v>28483.869482825816</v>
      </c>
      <c r="M5" s="65">
        <f ca="1">$J$5-EFEITO!$K$5*EFEITO!$Y$5</f>
        <v>357.4405441291965</v>
      </c>
      <c r="N5" s="65">
        <f ca="1">$K$5-EFEITO!$M$5*EFEITO!$Z$5</f>
        <v>628.25901531549607</v>
      </c>
      <c r="O5" s="65">
        <f>$L$5-EFEITO!$O$5*EFEITO!$AA$5</f>
        <v>854.51608448477418</v>
      </c>
      <c r="P5" s="48"/>
      <c r="Q5" s="65" t="s">
        <v>514</v>
      </c>
      <c r="R5" s="65">
        <f>SUMIF($B$2:$B$553,$Q$5,$J$2:$J$553)</f>
        <v>0</v>
      </c>
      <c r="S5" s="65">
        <f>SUMIF($B$2:$B$553,$Q$5,$K$2:$K$553)</f>
        <v>0</v>
      </c>
      <c r="T5" s="65">
        <f>SUMIF($B$2:$B$553,$Q$5,$L$2:$L$553)</f>
        <v>0</v>
      </c>
      <c r="U5" s="65">
        <f>SUMIF($B$2:$B$553,$Q$5,$M$2:$M$553)</f>
        <v>0</v>
      </c>
      <c r="V5" s="65">
        <f>SUMIF($B$2:$B$553,$Q$5,$N$2:$N$553)</f>
        <v>0</v>
      </c>
      <c r="W5" s="65">
        <f>SUMIF($B$2:$B$553,$Q$5,$O$2:$O$553)</f>
        <v>0</v>
      </c>
      <c r="X5" s="45">
        <f>$R$5-$U$5</f>
        <v>0</v>
      </c>
      <c r="Y5" s="45">
        <f>$S$5-$V$5</f>
        <v>0</v>
      </c>
      <c r="Z5" s="45">
        <f>$T$5-$W$5</f>
        <v>0</v>
      </c>
      <c r="AA5" s="45">
        <f>SUMIF(EFEITO!$B$2:$B$553,$Q$5,EFEITO!$AE$2:$AE$553)</f>
        <v>0</v>
      </c>
      <c r="AB5" s="45">
        <f>SUMIF(EFEITO!$B$2:$B$553,$Q$5,EFEITO!$AF$2:$AF$553)</f>
        <v>0</v>
      </c>
      <c r="AC5" s="45">
        <f>SUMIF(EFEITO!$B$2:$B$553,$Q$5,EFEITO!$AG$2:$AH$553)</f>
        <v>0</v>
      </c>
      <c r="AD5" s="45">
        <f>SUMIF(SUBSIDIO!$B$2:$B$553,$Q$5,SUBSIDIO!$AD$2:$AD$553)</f>
        <v>0</v>
      </c>
      <c r="AE5" s="45">
        <f>SUMIF(SUBSIDIO!$B$2:$B$553,$Q$5,SUBSIDIO!$AE$2:$AE$553)</f>
        <v>0</v>
      </c>
      <c r="AF5" s="45" t="str">
        <f>IF(ABS($X$5-$AA$5)&lt;0.01,"OK","ERRO")</f>
        <v>OK</v>
      </c>
      <c r="AG5" s="45" t="str">
        <f>IF(ABS($Y$5-$AB$5)&lt;0.01,"OK","ERRO")</f>
        <v>OK</v>
      </c>
      <c r="AH5" s="45" t="str">
        <f>IF(ABS($Z$5-$AC$5)&lt;0.01,"OK","ERRO")</f>
        <v>OK</v>
      </c>
      <c r="AI5" s="45" t="str">
        <f>IF(ABS($U$5-$AD$5)&lt;0.01,"OK","ERRO")</f>
        <v>OK</v>
      </c>
      <c r="AJ5" s="45" t="str">
        <f>IF(ABS(($V$5+$W$5)-$AE$5)&lt;0.01,"OK","ERRO")</f>
        <v>OK</v>
      </c>
    </row>
    <row r="6" spans="1:40" ht="11.25" customHeight="1" x14ac:dyDescent="0.2">
      <c r="A6" s="44" t="s">
        <v>21</v>
      </c>
      <c r="B6" s="44" t="s">
        <v>35</v>
      </c>
      <c r="C6" s="44" t="s">
        <v>48</v>
      </c>
      <c r="D6" s="44" t="s">
        <v>46</v>
      </c>
      <c r="E6" s="44" t="s">
        <v>47</v>
      </c>
      <c r="F6" s="44" t="s">
        <v>25</v>
      </c>
      <c r="G6" s="44" t="s">
        <v>25</v>
      </c>
      <c r="H6" s="44" t="s">
        <v>38</v>
      </c>
      <c r="I6" s="64">
        <v>44562</v>
      </c>
      <c r="J6" s="65">
        <f ca="1">EFEITO!$J6*('TUSD BE'!$AM$6+'TUSD BF'!$AM$6+'TUSD CVA'!$AM$6)</f>
        <v>11990.253629703815</v>
      </c>
      <c r="K6" s="65">
        <f ca="1">EFEITO!$L6*('TUSD BE'!$AM$7+'TUSD BF'!$AM$7+'TUSD CVA'!$AM$7)</f>
        <v>18646.068020268449</v>
      </c>
      <c r="L6" s="65">
        <f>EFEITO!$N6*('TE BE'!$AB$6+'TE BF'!$AB$6+'TE CVA'!$AB$6)</f>
        <v>25361.140305667079</v>
      </c>
      <c r="M6" s="65">
        <f ca="1">$J$6-EFEITO!$K$6*EFEITO!$Y$6</f>
        <v>359.70760889111625</v>
      </c>
      <c r="N6" s="65">
        <f ca="1">$K$6-EFEITO!$M$6*EFEITO!$Z$6</f>
        <v>559.38204060805219</v>
      </c>
      <c r="O6" s="65">
        <f>$L$6-EFEITO!$O$6*EFEITO!$AA$6</f>
        <v>760.83420917001422</v>
      </c>
      <c r="P6" s="48"/>
      <c r="Q6" s="65" t="s">
        <v>515</v>
      </c>
      <c r="R6" s="65">
        <f>SUMIF($B$2:$B$553,$Q$6,$J$2:$J$553)</f>
        <v>0</v>
      </c>
      <c r="S6" s="65">
        <f>SUMIF($B$2:$B$553,$Q$6,$K$2:$K$553)</f>
        <v>0</v>
      </c>
      <c r="T6" s="65">
        <f>SUMIF($B$2:$B$553,$Q$6,$L$2:$L$553)</f>
        <v>0</v>
      </c>
      <c r="U6" s="65">
        <f>SUMIF($B$2:$B$553,$Q$6,$M$2:$M$553)</f>
        <v>0</v>
      </c>
      <c r="V6" s="65">
        <f>SUMIF($B$2:$B$553,$Q$6,$N$2:$N$553)</f>
        <v>0</v>
      </c>
      <c r="W6" s="65">
        <f>SUMIF($B$2:$B$553,$Q$6,$O$2:$O$553)</f>
        <v>0</v>
      </c>
      <c r="X6" s="45">
        <f>$R$6-$U$6</f>
        <v>0</v>
      </c>
      <c r="Y6" s="45">
        <f>$S$6-$V$6</f>
        <v>0</v>
      </c>
      <c r="Z6" s="45">
        <f>$T$6-$W$6</f>
        <v>0</v>
      </c>
      <c r="AA6" s="45">
        <f>SUMIF(EFEITO!$B$2:$B$553,$Q$6,EFEITO!$AE$2:$AE$553)</f>
        <v>0</v>
      </c>
      <c r="AB6" s="45">
        <f>SUMIF(EFEITO!$B$2:$B$553,$Q$6,EFEITO!$AF$2:$AF$553)</f>
        <v>0</v>
      </c>
      <c r="AC6" s="45">
        <f>SUMIF(EFEITO!$B$2:$B$553,$Q$6,EFEITO!$AG$2:$AH$553)</f>
        <v>0</v>
      </c>
      <c r="AD6" s="45">
        <f>SUMIF(SUBSIDIO!$B$2:$B$553,$Q$6,SUBSIDIO!$AD$2:$AD$553)</f>
        <v>0</v>
      </c>
      <c r="AE6" s="45">
        <f>SUMIF(SUBSIDIO!$B$2:$B$553,$Q$6,SUBSIDIO!$AE$2:$AE$553)</f>
        <v>0</v>
      </c>
      <c r="AF6" s="45" t="str">
        <f>IF(ABS($X$6-$AA$6)&lt;0.01,"OK","ERRO")</f>
        <v>OK</v>
      </c>
      <c r="AG6" s="45" t="str">
        <f>IF(ABS($Y$6-$AB$6)&lt;0.01,"OK","ERRO")</f>
        <v>OK</v>
      </c>
      <c r="AH6" s="45" t="str">
        <f>IF(ABS($Z$6-$AC$6)&lt;0.01,"OK","ERRO")</f>
        <v>OK</v>
      </c>
      <c r="AI6" s="45" t="str">
        <f>IF(ABS($U$6-$AD$6)&lt;0.01,"OK","ERRO")</f>
        <v>OK</v>
      </c>
      <c r="AJ6" s="45" t="str">
        <f>IF(ABS(($V$6+$W$6)-$AE$6)&lt;0.01,"OK","ERRO")</f>
        <v>OK</v>
      </c>
    </row>
    <row r="7" spans="1:40" ht="11.25" customHeight="1" x14ac:dyDescent="0.2">
      <c r="A7" s="44" t="s">
        <v>21</v>
      </c>
      <c r="B7" s="44" t="s">
        <v>35</v>
      </c>
      <c r="C7" s="44" t="s">
        <v>48</v>
      </c>
      <c r="D7" s="44" t="s">
        <v>46</v>
      </c>
      <c r="E7" s="44" t="s">
        <v>47</v>
      </c>
      <c r="F7" s="44" t="s">
        <v>25</v>
      </c>
      <c r="G7" s="44" t="s">
        <v>25</v>
      </c>
      <c r="H7" s="44" t="s">
        <v>38</v>
      </c>
      <c r="I7" s="64">
        <v>44593</v>
      </c>
      <c r="J7" s="65">
        <f ca="1">EFEITO!$J7*('TUSD BE'!$AM$6+'TUSD BF'!$AM$6+'TUSD CVA'!$AM$6)</f>
        <v>11914.684804306522</v>
      </c>
      <c r="K7" s="65">
        <f ca="1">EFEITO!$L7*('TUSD BE'!$AM$7+'TUSD BF'!$AM$7+'TUSD CVA'!$AM$7)</f>
        <v>17477.749500869479</v>
      </c>
      <c r="L7" s="65">
        <f>EFEITO!$N7*('TE BE'!$AB$6+'TE BF'!$AB$6+'TE CVA'!$AB$6)</f>
        <v>23772.071239739689</v>
      </c>
      <c r="M7" s="65">
        <f ca="1">$J$7-EFEITO!$K$7*EFEITO!$Y$7</f>
        <v>357.4405441291965</v>
      </c>
      <c r="N7" s="65">
        <f ca="1">$K$7-EFEITO!$M$7*EFEITO!$Z$7</f>
        <v>524.33248502608694</v>
      </c>
      <c r="O7" s="65">
        <f>$L$7-EFEITO!$O$7*EFEITO!$AA$7</f>
        <v>713.16213719219377</v>
      </c>
      <c r="P7" s="48"/>
      <c r="Q7" s="65" t="s">
        <v>35</v>
      </c>
      <c r="R7" s="65">
        <f ca="1">SUMIF($B$2:$B$553,$Q$7,$J$2:$J$553)</f>
        <v>4144404.9221156463</v>
      </c>
      <c r="S7" s="65">
        <f ca="1">SUMIF($B$2:$B$553,$Q$7,$K$2:$K$553)</f>
        <v>5061949.0252401438</v>
      </c>
      <c r="T7" s="65">
        <f>SUMIF($B$2:$B$553,$Q$7,$L$2:$L$553)</f>
        <v>4356136.4470741954</v>
      </c>
      <c r="U7" s="65">
        <f ca="1">SUMIF($B$2:$B$553,$Q$7,$M$2:$M$553)</f>
        <v>37555.797984887817</v>
      </c>
      <c r="V7" s="65">
        <f ca="1">SUMIF($B$2:$B$553,$Q$7,$N$2:$N$553)</f>
        <v>14422.164405323307</v>
      </c>
      <c r="W7" s="65">
        <f>SUMIF($B$2:$B$553,$Q$7,$O$2:$O$553)</f>
        <v>14737.926369699391</v>
      </c>
      <c r="X7" s="45">
        <f ca="1">$R$7-$U$7</f>
        <v>4106849.1241307585</v>
      </c>
      <c r="Y7" s="45">
        <f ca="1">$S$7-$V$7</f>
        <v>5047526.8608348202</v>
      </c>
      <c r="Z7" s="45">
        <f>$T$7-$W$7</f>
        <v>4341398.5207044957</v>
      </c>
      <c r="AA7" s="45">
        <f ca="1">SUMIF(EFEITO!$B$2:$B$553,$Q$7,EFEITO!$AE$2:$AE$553)</f>
        <v>4106849.1241307566</v>
      </c>
      <c r="AB7" s="45">
        <f ca="1">SUMIF(EFEITO!$B$2:$B$553,$Q$7,EFEITO!$AF$2:$AF$553)</f>
        <v>5047526.8608348258</v>
      </c>
      <c r="AC7" s="45">
        <f>SUMIF(EFEITO!$B$2:$B$553,$Q$7,EFEITO!$AG$2:$AH$553)</f>
        <v>4341398.5207044911</v>
      </c>
      <c r="AD7" s="45">
        <f ca="1">SUMIF(SUBSIDIO!$B$2:$B$553,$Q$7,SUBSIDIO!$AD$2:$AD$553)</f>
        <v>37555.797984887802</v>
      </c>
      <c r="AE7" s="45">
        <f ca="1">SUMIF(SUBSIDIO!$B$2:$B$553,$Q$7,SUBSIDIO!$AE$2:$AE$553)</f>
        <v>29160.090775022647</v>
      </c>
      <c r="AF7" s="45" t="str">
        <f ca="1">IF(ABS($X$7-$AA$7)&lt;0.01,"OK","ERRO")</f>
        <v>OK</v>
      </c>
      <c r="AG7" s="45" t="str">
        <f ca="1">IF(ABS($Y$7-$AB$7)&lt;0.01,"OK","ERRO")</f>
        <v>OK</v>
      </c>
      <c r="AH7" s="45" t="str">
        <f>IF(ABS($Z$7-$AC$7)&lt;0.01,"OK","ERRO")</f>
        <v>OK</v>
      </c>
      <c r="AI7" s="45" t="str">
        <f ca="1">IF(ABS($U$7-$AD$7)&lt;0.01,"OK","ERRO")</f>
        <v>OK</v>
      </c>
      <c r="AJ7" s="45" t="str">
        <f ca="1">IF(ABS(($V$7+$W$7)-$AE$7)&lt;0.01,"OK","ERRO")</f>
        <v>OK</v>
      </c>
    </row>
    <row r="8" spans="1:40" ht="11.25" customHeight="1" x14ac:dyDescent="0.2">
      <c r="A8" s="44" t="s">
        <v>21</v>
      </c>
      <c r="B8" s="44" t="s">
        <v>35</v>
      </c>
      <c r="C8" s="44" t="s">
        <v>48</v>
      </c>
      <c r="D8" s="44" t="s">
        <v>46</v>
      </c>
      <c r="E8" s="44" t="s">
        <v>47</v>
      </c>
      <c r="F8" s="44" t="s">
        <v>25</v>
      </c>
      <c r="G8" s="44" t="s">
        <v>25</v>
      </c>
      <c r="H8" s="44" t="s">
        <v>38</v>
      </c>
      <c r="I8" s="64">
        <v>44621</v>
      </c>
      <c r="J8" s="65">
        <f ca="1">EFEITO!$J8*('TUSD BE'!$AM$6+'TUSD BF'!$AM$6+'TUSD CVA'!$AM$6)</f>
        <v>11990.253629703815</v>
      </c>
      <c r="K8" s="65">
        <f ca="1">EFEITO!$L8*('TUSD BE'!$AM$7+'TUSD BF'!$AM$7+'TUSD CVA'!$AM$7)</f>
        <v>19045.059628124043</v>
      </c>
      <c r="L8" s="65">
        <f>EFEITO!$N8*('TE BE'!$AB$6+'TE BF'!$AB$6+'TE CVA'!$AB$6)</f>
        <v>25903.822126660656</v>
      </c>
      <c r="M8" s="65">
        <f ca="1">$J$8-EFEITO!$K$8*EFEITO!$Y$8</f>
        <v>359.70760889111625</v>
      </c>
      <c r="N8" s="65">
        <f ca="1">$K$8-EFEITO!$M$8*EFEITO!$Z$8</f>
        <v>571.35178884372363</v>
      </c>
      <c r="O8" s="65">
        <f>$L$8-EFEITO!$O$8*EFEITO!$AA$8</f>
        <v>777.11466379982085</v>
      </c>
      <c r="P8" s="48"/>
      <c r="Q8" s="65" t="s">
        <v>516</v>
      </c>
      <c r="R8" s="65">
        <f>SUMIF($B$2:$B$553,$Q$8,$J$2:$J$553)</f>
        <v>0</v>
      </c>
      <c r="S8" s="65">
        <f>SUMIF($B$2:$B$553,$Q$8,$K$2:$K$553)</f>
        <v>0</v>
      </c>
      <c r="T8" s="65">
        <f>SUMIF($B$2:$B$553,$Q$8,$L$2:$L$553)</f>
        <v>0</v>
      </c>
      <c r="U8" s="65">
        <f>SUMIF($B$2:$B$553,$Q$8,$M$2:$M$553)</f>
        <v>0</v>
      </c>
      <c r="V8" s="65">
        <f>SUMIF($B$2:$B$553,$Q$8,$N$2:$N$553)</f>
        <v>0</v>
      </c>
      <c r="W8" s="65">
        <f>SUMIF($B$2:$B$553,$Q$8,$O$2:$O$553)</f>
        <v>0</v>
      </c>
      <c r="X8" s="45">
        <f>$R$8-$U$8</f>
        <v>0</v>
      </c>
      <c r="Y8" s="45">
        <f>$S$8-$V$8</f>
        <v>0</v>
      </c>
      <c r="Z8" s="45">
        <f>$T$8-$W$8</f>
        <v>0</v>
      </c>
      <c r="AA8" s="45">
        <f>SUMIF(EFEITO!$B$2:$B$553,$Q$8,EFEITO!$AE$2:$AE$553)</f>
        <v>0</v>
      </c>
      <c r="AB8" s="45">
        <f>SUMIF(EFEITO!$B$2:$B$553,$Q$8,EFEITO!$AF$2:$AF$553)</f>
        <v>0</v>
      </c>
      <c r="AC8" s="45">
        <f>SUMIF(EFEITO!$B$2:$B$553,$Q$8,EFEITO!$AG$2:$AH$553)</f>
        <v>0</v>
      </c>
      <c r="AD8" s="45">
        <f>SUMIF(SUBSIDIO!$B$2:$B$553,$Q$8,SUBSIDIO!$AD$2:$AD$553)</f>
        <v>0</v>
      </c>
      <c r="AE8" s="45">
        <f>SUMIF(SUBSIDIO!$B$2:$B$553,$Q$8,SUBSIDIO!$AE$2:$AE$553)</f>
        <v>0</v>
      </c>
      <c r="AF8" s="45" t="str">
        <f>IF(ABS($X$8-$AA$8)&lt;0.01,"OK","ERRO")</f>
        <v>OK</v>
      </c>
      <c r="AG8" s="45" t="str">
        <f>IF(ABS($Y$8-$AB$8)&lt;0.01,"OK","ERRO")</f>
        <v>OK</v>
      </c>
      <c r="AH8" s="45" t="str">
        <f>IF(ABS($Z$8-$AC$8)&lt;0.01,"OK","ERRO")</f>
        <v>OK</v>
      </c>
      <c r="AI8" s="45" t="str">
        <f>IF(ABS($U$8-$AD$8)&lt;0.01,"OK","ERRO")</f>
        <v>OK</v>
      </c>
      <c r="AJ8" s="45" t="str">
        <f>IF(ABS(($V$8+$W$8)-$AE$8)&lt;0.01,"OK","ERRO")</f>
        <v>OK</v>
      </c>
    </row>
    <row r="9" spans="1:40" ht="11.25" customHeight="1" x14ac:dyDescent="0.2">
      <c r="A9" s="44" t="s">
        <v>21</v>
      </c>
      <c r="B9" s="44" t="s">
        <v>35</v>
      </c>
      <c r="C9" s="44" t="s">
        <v>48</v>
      </c>
      <c r="D9" s="44" t="s">
        <v>46</v>
      </c>
      <c r="E9" s="44" t="s">
        <v>47</v>
      </c>
      <c r="F9" s="44" t="s">
        <v>25</v>
      </c>
      <c r="G9" s="44" t="s">
        <v>25</v>
      </c>
      <c r="H9" s="44" t="s">
        <v>38</v>
      </c>
      <c r="I9" s="64">
        <v>44652</v>
      </c>
      <c r="J9" s="65">
        <f ca="1">EFEITO!$J9*('TUSD BE'!$AM$6+'TUSD BF'!$AM$6+'TUSD CVA'!$AM$6)</f>
        <v>12141.391280498401</v>
      </c>
      <c r="K9" s="65">
        <f ca="1">EFEITO!$L9*('TUSD BE'!$AM$7+'TUSD BF'!$AM$7+'TUSD CVA'!$AM$7)</f>
        <v>19442.25397648479</v>
      </c>
      <c r="L9" s="65">
        <f>EFEITO!$N9*('TE BE'!$AB$6+'TE BF'!$AB$6+'TE CVA'!$AB$6)</f>
        <v>26444.059434947052</v>
      </c>
      <c r="M9" s="65">
        <f ca="1">$J$9-EFEITO!$K$9*EFEITO!$Y$9</f>
        <v>364.24173841495394</v>
      </c>
      <c r="N9" s="65">
        <f ca="1">$K$9-EFEITO!$M$9*EFEITO!$Z$9</f>
        <v>583.26761929454369</v>
      </c>
      <c r="O9" s="65">
        <f>$L$9-EFEITO!$O$9*EFEITO!$AA$9</f>
        <v>793.32178304841364</v>
      </c>
      <c r="P9" s="48"/>
      <c r="Q9" s="65" t="s">
        <v>22</v>
      </c>
      <c r="R9" s="65">
        <f>SUMIF($B$2:$B$553,$Q$9,$J$2:$J$553)</f>
        <v>0</v>
      </c>
      <c r="S9" s="65">
        <f ca="1">SUMIF($B$2:$B$553,$Q$9,$K$2:$K$553)</f>
        <v>4914615.8042056216</v>
      </c>
      <c r="T9" s="65">
        <f>SUMIF($B$2:$B$553,$Q$9,$L$2:$L$553)</f>
        <v>1611670.3513866526</v>
      </c>
      <c r="U9" s="65">
        <f>SUMIF($B$2:$B$553,$Q$9,$M$2:$M$553)</f>
        <v>0</v>
      </c>
      <c r="V9" s="65">
        <f ca="1">SUMIF($B$2:$B$553,$Q$9,$N$2:$N$553)</f>
        <v>15477.35671392298</v>
      </c>
      <c r="W9" s="65">
        <f>SUMIF($B$2:$B$553,$Q$9,$O$2:$O$553)</f>
        <v>6796.2074067603999</v>
      </c>
      <c r="X9" s="45">
        <f>$R$9-$U$9</f>
        <v>0</v>
      </c>
      <c r="Y9" s="45">
        <f ca="1">$S$9-$V$9</f>
        <v>4899138.4474916989</v>
      </c>
      <c r="Z9" s="45">
        <f>$T$9-$W$9</f>
        <v>1604874.1439798921</v>
      </c>
      <c r="AA9" s="45">
        <f>SUMIF(EFEITO!$B$2:$B$553,$Q$9,EFEITO!$AE$2:$AE$553)</f>
        <v>0</v>
      </c>
      <c r="AB9" s="45">
        <f ca="1">SUMIF(EFEITO!$B$2:$B$553,$Q$9,EFEITO!$AF$2:$AF$553)</f>
        <v>4899138.447491698</v>
      </c>
      <c r="AC9" s="45">
        <f>SUMIF(EFEITO!$B$2:$B$553,$Q$9,EFEITO!$AG$2:$AH$553)</f>
        <v>1604874.1439798912</v>
      </c>
      <c r="AD9" s="45">
        <f>SUMIF(SUBSIDIO!$B$2:$B$553,$Q$9,SUBSIDIO!$AD$2:$AD$553)</f>
        <v>0</v>
      </c>
      <c r="AE9" s="45">
        <f ca="1">SUMIF(SUBSIDIO!$B$2:$B$553,$Q$9,SUBSIDIO!$AE$2:$AE$553)</f>
        <v>22273.564120683382</v>
      </c>
      <c r="AF9" s="45" t="str">
        <f>IF(ABS($X$9-$AA$9)&lt;0.01,"OK","ERRO")</f>
        <v>OK</v>
      </c>
      <c r="AG9" s="45" t="str">
        <f ca="1">IF(ABS($Y$9-$AB$9)&lt;0.01,"OK","ERRO")</f>
        <v>OK</v>
      </c>
      <c r="AH9" s="45" t="str">
        <f>IF(ABS($Z$9-$AC$9)&lt;0.01,"OK","ERRO")</f>
        <v>OK</v>
      </c>
      <c r="AI9" s="45" t="str">
        <f>IF(ABS($U$9-$AD$9)&lt;0.01,"OK","ERRO")</f>
        <v>OK</v>
      </c>
      <c r="AJ9" s="45" t="str">
        <f ca="1">IF(ABS(($V$9+$W$9)-$AE$9)&lt;0.01,"OK","ERRO")</f>
        <v>OK</v>
      </c>
    </row>
    <row r="10" spans="1:40" ht="11.25" customHeight="1" x14ac:dyDescent="0.2">
      <c r="A10" s="44" t="s">
        <v>21</v>
      </c>
      <c r="B10" s="44" t="s">
        <v>35</v>
      </c>
      <c r="C10" s="44" t="s">
        <v>48</v>
      </c>
      <c r="D10" s="44" t="s">
        <v>46</v>
      </c>
      <c r="E10" s="44" t="s">
        <v>47</v>
      </c>
      <c r="F10" s="44" t="s">
        <v>25</v>
      </c>
      <c r="G10" s="44" t="s">
        <v>25</v>
      </c>
      <c r="H10" s="44" t="s">
        <v>38</v>
      </c>
      <c r="I10" s="64">
        <v>44682</v>
      </c>
      <c r="J10" s="65">
        <f ca="1">EFEITO!$J10*('TUSD BE'!$AM$6+'TUSD BF'!$AM$6+'TUSD CVA'!$AM$6)</f>
        <v>12216.960105895692</v>
      </c>
      <c r="K10" s="65">
        <f ca="1">EFEITO!$L10*('TUSD BE'!$AM$7+'TUSD BF'!$AM$7+'TUSD CVA'!$AM$7)</f>
        <v>24199.400163840113</v>
      </c>
      <c r="L10" s="65">
        <f>EFEITO!$N10*('TE BE'!$AB$6+'TE BF'!$AB$6+'TE CVA'!$AB$6)</f>
        <v>32914.412958324931</v>
      </c>
      <c r="M10" s="65">
        <f ca="1">$J$10-EFEITO!$K$10*EFEITO!$Y$10</f>
        <v>366.50880317687006</v>
      </c>
      <c r="N10" s="65">
        <f ca="1">$K$10-EFEITO!$M$10*EFEITO!$Z$10</f>
        <v>725.98200491520402</v>
      </c>
      <c r="O10" s="65">
        <f>$L$10-EFEITO!$O$10*EFEITO!$AA$10</f>
        <v>987.43238874974486</v>
      </c>
      <c r="P10" s="48"/>
      <c r="Q10" s="65" t="s">
        <v>40</v>
      </c>
      <c r="R10" s="65">
        <f>SUMIF($B$2:$B$553,$Q$10,$J$2:$J$553)</f>
        <v>0</v>
      </c>
      <c r="S10" s="65">
        <f ca="1">SUMIF($B$2:$B$553,$Q$10,$K$2:$K$553)</f>
        <v>16650951.218838144</v>
      </c>
      <c r="T10" s="65">
        <f>SUMIF($B$2:$B$553,$Q$10,$L$2:$L$553)</f>
        <v>5440082.1358849239</v>
      </c>
      <c r="U10" s="65">
        <f>SUMIF($B$2:$B$553,$Q$10,$M$2:$M$553)</f>
        <v>0</v>
      </c>
      <c r="V10" s="65">
        <f ca="1">SUMIF($B$2:$B$553,$Q$10,$N$2:$N$553)</f>
        <v>1037480.2167924098</v>
      </c>
      <c r="W10" s="65">
        <f>SUMIF($B$2:$B$553,$Q$10,$O$2:$O$553)</f>
        <v>338958.26848144626</v>
      </c>
      <c r="X10" s="45">
        <f>$R$10-$U$10</f>
        <v>0</v>
      </c>
      <c r="Y10" s="45">
        <f ca="1">$S$10-$V$10</f>
        <v>15613471.002045734</v>
      </c>
      <c r="Z10" s="45">
        <f>$T$10-$W$10</f>
        <v>5101123.8674034774</v>
      </c>
      <c r="AA10" s="45">
        <f>SUMIF(EFEITO!$B$2:$B$553,$Q$10,EFEITO!$AE$2:$AE$553)</f>
        <v>0</v>
      </c>
      <c r="AB10" s="45">
        <f ca="1">SUMIF(EFEITO!$B$2:$B$553,$Q$10,EFEITO!$AF$2:$AF$553)</f>
        <v>15613471.002045738</v>
      </c>
      <c r="AC10" s="45">
        <f>SUMIF(EFEITO!$B$2:$B$553,$Q$10,EFEITO!$AG$2:$AH$553)</f>
        <v>5101123.8674034784</v>
      </c>
      <c r="AD10" s="45">
        <f>SUMIF(SUBSIDIO!$B$2:$B$553,$Q$10,SUBSIDIO!$AD$2:$AD$553)</f>
        <v>0</v>
      </c>
      <c r="AE10" s="45">
        <f ca="1">SUMIF(SUBSIDIO!$B$2:$B$553,$Q$10,SUBSIDIO!$AE$2:$AE$553)</f>
        <v>1376438.4852738588</v>
      </c>
      <c r="AF10" s="45" t="str">
        <f>IF(ABS($X$10-$AA$10)&lt;0.01,"OK","ERRO")</f>
        <v>OK</v>
      </c>
      <c r="AG10" s="45" t="str">
        <f ca="1">IF(ABS($Y$10-$AB$10)&lt;0.01,"OK","ERRO")</f>
        <v>OK</v>
      </c>
      <c r="AH10" s="45" t="str">
        <f>IF(ABS($Z$10-$AC$10)&lt;0.01,"OK","ERRO")</f>
        <v>OK</v>
      </c>
      <c r="AI10" s="45" t="str">
        <f>IF(ABS($U$10-$AD$10)&lt;0.01,"OK","ERRO")</f>
        <v>OK</v>
      </c>
      <c r="AJ10" s="45" t="str">
        <f ca="1">IF(ABS(($V$10+$W$10)-$AE$10)&lt;0.01,"OK","ERRO")</f>
        <v>OK</v>
      </c>
    </row>
    <row r="11" spans="1:40" ht="11.25" customHeight="1" x14ac:dyDescent="0.2">
      <c r="A11" s="44" t="s">
        <v>21</v>
      </c>
      <c r="B11" s="44" t="s">
        <v>35</v>
      </c>
      <c r="C11" s="44" t="s">
        <v>48</v>
      </c>
      <c r="D11" s="44" t="s">
        <v>46</v>
      </c>
      <c r="E11" s="44" t="s">
        <v>47</v>
      </c>
      <c r="F11" s="44" t="s">
        <v>25</v>
      </c>
      <c r="G11" s="44" t="s">
        <v>25</v>
      </c>
      <c r="H11" s="44" t="s">
        <v>38</v>
      </c>
      <c r="I11" s="64">
        <v>44713</v>
      </c>
      <c r="J11" s="65">
        <f ca="1">EFEITO!$J11*('TUSD BE'!$AM$6+'TUSD BF'!$AM$6+'TUSD CVA'!$AM$6)</f>
        <v>12267.339322827222</v>
      </c>
      <c r="K11" s="65">
        <f ca="1">EFEITO!$L11*('TUSD BE'!$AM$7+'TUSD BF'!$AM$7+'TUSD CVA'!$AM$7)</f>
        <v>24928.388584499193</v>
      </c>
      <c r="L11" s="65">
        <f>EFEITO!$N11*('TE BE'!$AB$6+'TE BF'!$AB$6+'TE CVA'!$AB$6)</f>
        <v>33905.934473608744</v>
      </c>
      <c r="M11" s="65">
        <f ca="1">$J$11-EFEITO!$K$11*EFEITO!$Y$11</f>
        <v>368.02017968481778</v>
      </c>
      <c r="N11" s="65">
        <f ca="1">$K$11-EFEITO!$M$11*EFEITO!$Z$11</f>
        <v>747.85165753497859</v>
      </c>
      <c r="O11" s="65">
        <f>$L$11-EFEITO!$O$11*EFEITO!$AA$11</f>
        <v>1017.1780342082639</v>
      </c>
      <c r="P11" s="48"/>
      <c r="Q11" s="65" t="s">
        <v>33</v>
      </c>
      <c r="R11" s="65">
        <f>SUMIF($B$2:$B$553,$Q$11,$J$2:$J$553)</f>
        <v>0</v>
      </c>
      <c r="S11" s="65">
        <f ca="1">SUMIF($B$2:$B$553,$Q$11,$K$2:$K$553)</f>
        <v>2752284.7999472171</v>
      </c>
      <c r="T11" s="65">
        <f>SUMIF($B$2:$B$553,$Q$11,$L$2:$L$553)</f>
        <v>899207.20902245352</v>
      </c>
      <c r="U11" s="65">
        <f>SUMIF($B$2:$B$553,$Q$11,$M$2:$M$553)</f>
        <v>0</v>
      </c>
      <c r="V11" s="65">
        <f ca="1">SUMIF($B$2:$B$553,$Q$11,$N$2:$N$553)</f>
        <v>6911.6153207594343</v>
      </c>
      <c r="W11" s="65">
        <f>SUMIF($B$2:$B$553,$Q$11,$O$2:$O$553)</f>
        <v>2258.1145390680886</v>
      </c>
      <c r="X11" s="45">
        <f>$R$11-$U$11</f>
        <v>0</v>
      </c>
      <c r="Y11" s="45">
        <f ca="1">$S$11-$V$11</f>
        <v>2745373.1846264577</v>
      </c>
      <c r="Z11" s="45">
        <f>$T$11-$W$11</f>
        <v>896949.09448338544</v>
      </c>
      <c r="AA11" s="45">
        <f>SUMIF(EFEITO!$B$2:$B$553,$Q$11,EFEITO!$AE$2:$AE$553)</f>
        <v>0</v>
      </c>
      <c r="AB11" s="45">
        <f ca="1">SUMIF(EFEITO!$B$2:$B$553,$Q$11,EFEITO!$AF$2:$AF$553)</f>
        <v>2745373.1846264568</v>
      </c>
      <c r="AC11" s="45">
        <f>SUMIF(EFEITO!$B$2:$B$553,$Q$11,EFEITO!$AG$2:$AH$553)</f>
        <v>896949.09448338556</v>
      </c>
      <c r="AD11" s="45">
        <f>SUMIF(SUBSIDIO!$B$2:$B$553,$Q$11,SUBSIDIO!$AD$2:$AD$553)</f>
        <v>0</v>
      </c>
      <c r="AE11" s="45">
        <f ca="1">SUMIF(SUBSIDIO!$B$2:$B$553,$Q$11,SUBSIDIO!$AE$2:$AE$553)</f>
        <v>9169.7298598275156</v>
      </c>
      <c r="AF11" s="45" t="str">
        <f>IF(ABS($X$11-$AA$11)&lt;0.01,"OK","ERRO")</f>
        <v>OK</v>
      </c>
      <c r="AG11" s="45" t="str">
        <f ca="1">IF(ABS($Y$11-$AB$11)&lt;0.01,"OK","ERRO")</f>
        <v>OK</v>
      </c>
      <c r="AH11" s="45" t="str">
        <f>IF(ABS($Z$11-$AC$11)&lt;0.01,"OK","ERRO")</f>
        <v>OK</v>
      </c>
      <c r="AI11" s="45" t="str">
        <f>IF(ABS($U$11-$AD$11)&lt;0.01,"OK","ERRO")</f>
        <v>OK</v>
      </c>
      <c r="AJ11" s="45" t="str">
        <f ca="1">IF(ABS(($V$11+$W$11)-$AE$11)&lt;0.01,"OK","ERRO")</f>
        <v>OK</v>
      </c>
    </row>
    <row r="12" spans="1:40" ht="11.25" customHeight="1" x14ac:dyDescent="0.2">
      <c r="A12" s="44" t="s">
        <v>21</v>
      </c>
      <c r="B12" s="44" t="s">
        <v>35</v>
      </c>
      <c r="C12" s="44" t="s">
        <v>48</v>
      </c>
      <c r="D12" s="44" t="s">
        <v>46</v>
      </c>
      <c r="E12" s="44" t="s">
        <v>47</v>
      </c>
      <c r="F12" s="44" t="s">
        <v>25</v>
      </c>
      <c r="G12" s="44" t="s">
        <v>25</v>
      </c>
      <c r="H12" s="44" t="s">
        <v>38</v>
      </c>
      <c r="I12" s="64">
        <v>44743</v>
      </c>
      <c r="J12" s="65">
        <f ca="1">EFEITO!$J12*('TUSD BE'!$AM$6+'TUSD BF'!$AM$6+'TUSD CVA'!$AM$6)</f>
        <v>12166.580888964165</v>
      </c>
      <c r="K12" s="65">
        <f ca="1">EFEITO!$L12*('TUSD BE'!$AM$7+'TUSD BF'!$AM$7+'TUSD CVA'!$AM$7)</f>
        <v>24127.809327295454</v>
      </c>
      <c r="L12" s="65">
        <f>EFEITO!$N12*('TE BE'!$AB$6+'TE BF'!$AB$6+'TE CVA'!$AB$6)</f>
        <v>32817.039868822329</v>
      </c>
      <c r="M12" s="65">
        <f ca="1">$J$12-EFEITO!$K$12*EFEITO!$Y$12</f>
        <v>364.99742666892598</v>
      </c>
      <c r="N12" s="65">
        <f ca="1">$K$12-EFEITO!$M$12*EFEITO!$Z$12</f>
        <v>723.83427981886416</v>
      </c>
      <c r="O12" s="65">
        <f>$L$12-EFEITO!$O$12*EFEITO!$AA$12</f>
        <v>984.51119606466818</v>
      </c>
      <c r="P12" s="48"/>
      <c r="Q12" s="65" t="s">
        <v>43</v>
      </c>
      <c r="R12" s="65">
        <f>SUMIF($B$2:$B$553,$Q$12,$J$2:$J$553)</f>
        <v>0</v>
      </c>
      <c r="S12" s="65">
        <f ca="1">SUMIF($B$2:$B$553,$Q$12,$K$2:$K$553)</f>
        <v>212741.64923972148</v>
      </c>
      <c r="T12" s="65">
        <f>SUMIF($B$2:$B$553,$Q$12,$L$2:$L$553)</f>
        <v>69505.461302315976</v>
      </c>
      <c r="U12" s="65">
        <f>SUMIF($B$2:$B$553,$Q$12,$M$2:$M$553)</f>
        <v>0</v>
      </c>
      <c r="V12" s="65">
        <f ca="1">SUMIF($B$2:$B$553,$Q$12,$N$2:$N$553)</f>
        <v>0</v>
      </c>
      <c r="W12" s="65">
        <f>SUMIF($B$2:$B$553,$Q$12,$O$2:$O$553)</f>
        <v>0</v>
      </c>
      <c r="X12" s="45">
        <f>$R$12-$U$12</f>
        <v>0</v>
      </c>
      <c r="Y12" s="45">
        <f ca="1">$S$12-$V$12</f>
        <v>212741.64923972148</v>
      </c>
      <c r="Z12" s="45">
        <f>$T$12-$W$12</f>
        <v>69505.461302315976</v>
      </c>
      <c r="AA12" s="45">
        <f>SUMIF(EFEITO!$B$2:$B$553,$Q$12,EFEITO!$AE$2:$AE$553)</f>
        <v>0</v>
      </c>
      <c r="AB12" s="45">
        <f ca="1">SUMIF(EFEITO!$B$2:$B$553,$Q$12,EFEITO!$AF$2:$AF$553)</f>
        <v>212741.64923972148</v>
      </c>
      <c r="AC12" s="45">
        <f>SUMIF(EFEITO!$B$2:$B$553,$Q$12,EFEITO!$AG$2:$AH$553)</f>
        <v>69505.461302315976</v>
      </c>
      <c r="AD12" s="45">
        <f>SUMIF(SUBSIDIO!$B$2:$B$553,$Q$12,SUBSIDIO!$AD$2:$AD$553)</f>
        <v>0</v>
      </c>
      <c r="AE12" s="45">
        <f>SUMIF(SUBSIDIO!$B$2:$B$553,$Q$12,SUBSIDIO!$AE$2:$AE$553)</f>
        <v>0</v>
      </c>
      <c r="AF12" s="45" t="str">
        <f>IF(ABS($X$12-$AA$12)&lt;0.01,"OK","ERRO")</f>
        <v>OK</v>
      </c>
      <c r="AG12" s="45" t="str">
        <f ca="1">IF(ABS($Y$12-$AB$12)&lt;0.01,"OK","ERRO")</f>
        <v>OK</v>
      </c>
      <c r="AH12" s="45" t="str">
        <f>IF(ABS($Z$12-$AC$12)&lt;0.01,"OK","ERRO")</f>
        <v>OK</v>
      </c>
      <c r="AI12" s="45" t="str">
        <f>IF(ABS($U$12-$AD$12)&lt;0.01,"OK","ERRO")</f>
        <v>OK</v>
      </c>
      <c r="AJ12" s="45" t="str">
        <f ca="1">IF(ABS(($V$12+$W$12)-$AE$12)&lt;0.01,"OK","ERRO")</f>
        <v>OK</v>
      </c>
    </row>
    <row r="13" spans="1:40" ht="11.25" customHeight="1" x14ac:dyDescent="0.2">
      <c r="A13" s="44" t="s">
        <v>21</v>
      </c>
      <c r="B13" s="44" t="s">
        <v>35</v>
      </c>
      <c r="C13" s="44" t="s">
        <v>48</v>
      </c>
      <c r="D13" s="44" t="s">
        <v>46</v>
      </c>
      <c r="E13" s="44" t="s">
        <v>47</v>
      </c>
      <c r="F13" s="44" t="s">
        <v>25</v>
      </c>
      <c r="G13" s="44" t="s">
        <v>25</v>
      </c>
      <c r="H13" s="44" t="s">
        <v>38</v>
      </c>
      <c r="I13" s="64">
        <v>44774</v>
      </c>
      <c r="J13" s="65">
        <f ca="1">EFEITO!$J13*('TUSD BE'!$AM$6+'TUSD BF'!$AM$6+'TUSD CVA'!$AM$6)</f>
        <v>12342.908148224515</v>
      </c>
      <c r="K13" s="65">
        <f ca="1">EFEITO!$L13*('TUSD BE'!$AM$7+'TUSD BF'!$AM$7+'TUSD CVA'!$AM$7)</f>
        <v>20401.491307983459</v>
      </c>
      <c r="L13" s="65">
        <f>EFEITO!$N13*('TE BE'!$AB$6+'TE BF'!$AB$6+'TE CVA'!$AB$6)</f>
        <v>27748.750189272701</v>
      </c>
      <c r="M13" s="65">
        <f ca="1">$J$13-EFEITO!$K$13*EFEITO!$Y$13</f>
        <v>370.28724444673571</v>
      </c>
      <c r="N13" s="65">
        <f ca="1">$K$13-EFEITO!$M$13*EFEITO!$Z$13</f>
        <v>612.04473923950354</v>
      </c>
      <c r="O13" s="65">
        <f>$L$13-EFEITO!$O$13*EFEITO!$AA$13</f>
        <v>832.46250567818061</v>
      </c>
      <c r="P13" s="48"/>
      <c r="Q13" s="65" t="s">
        <v>80</v>
      </c>
      <c r="R13" s="65">
        <f>SUMIF($B$2:$B$553,$Q$13,$J$2:$J$553)</f>
        <v>0</v>
      </c>
      <c r="S13" s="65">
        <f>SUMIF($B$2:$B$553,$Q$13,$K$2:$K$553)</f>
        <v>0</v>
      </c>
      <c r="T13" s="65">
        <f>SUMIF($B$2:$B$553,$Q$13,$L$2:$L$553)</f>
        <v>0</v>
      </c>
      <c r="U13" s="65">
        <f>SUMIF($B$2:$B$553,$Q$13,$M$2:$M$553)</f>
        <v>0</v>
      </c>
      <c r="V13" s="65">
        <f>SUMIF($B$2:$B$553,$Q$13,$N$2:$N$553)</f>
        <v>0</v>
      </c>
      <c r="W13" s="65">
        <f>SUMIF($B$2:$B$553,$Q$13,$O$2:$O$553)</f>
        <v>0</v>
      </c>
      <c r="X13" s="45">
        <f>$R$13-$U$13</f>
        <v>0</v>
      </c>
      <c r="Y13" s="45">
        <f>$S$13-$V$13</f>
        <v>0</v>
      </c>
      <c r="Z13" s="45">
        <f>$T$13-$W$13</f>
        <v>0</v>
      </c>
      <c r="AA13" s="45">
        <f>SUMIF(EFEITO!$B$2:$B$553,$Q$13,EFEITO!$AE$2:$AE$553)</f>
        <v>0</v>
      </c>
      <c r="AB13" s="45">
        <f>SUMIF(EFEITO!$B$2:$B$553,$Q$13,EFEITO!$AF$2:$AF$553)</f>
        <v>0</v>
      </c>
      <c r="AC13" s="45">
        <f>SUMIF(EFEITO!$B$2:$B$553,$Q$13,EFEITO!$AG$2:$AH$553)</f>
        <v>0</v>
      </c>
      <c r="AD13" s="45">
        <f>SUMIF(SUBSIDIO!$B$2:$B$553,$Q$13,SUBSIDIO!$AD$2:$AD$553)</f>
        <v>0</v>
      </c>
      <c r="AE13" s="45">
        <f>SUMIF(SUBSIDIO!$B$2:$B$553,$Q$13,SUBSIDIO!$AE$2:$AE$553)</f>
        <v>0</v>
      </c>
      <c r="AF13" s="45" t="str">
        <f>IF(ABS($X$13-$AA$13)&lt;0.01,"OK","ERRO")</f>
        <v>OK</v>
      </c>
      <c r="AG13" s="45" t="str">
        <f>IF(ABS($Y$13-$AB$13)&lt;0.01,"OK","ERRO")</f>
        <v>OK</v>
      </c>
      <c r="AH13" s="45" t="str">
        <f>IF(ABS($Z$13-$AC$13)&lt;0.01,"OK","ERRO")</f>
        <v>OK</v>
      </c>
      <c r="AI13" s="45" t="str">
        <f>IF(ABS($U$13-$AD$13)&lt;0.01,"OK","ERRO")</f>
        <v>OK</v>
      </c>
      <c r="AJ13" s="45" t="str">
        <f>IF(ABS(($V$13+$W$13)-$AE$13)&lt;0.01,"OK","ERRO")</f>
        <v>OK</v>
      </c>
    </row>
    <row r="14" spans="1:40" ht="11.25" customHeight="1" x14ac:dyDescent="0.2">
      <c r="A14" s="44" t="s">
        <v>21</v>
      </c>
      <c r="B14" s="44" t="s">
        <v>35</v>
      </c>
      <c r="C14" s="44" t="s">
        <v>48</v>
      </c>
      <c r="D14" s="44" t="s">
        <v>46</v>
      </c>
      <c r="E14" s="44" t="s">
        <v>47</v>
      </c>
      <c r="F14" s="44" t="s">
        <v>25</v>
      </c>
      <c r="G14" s="44" t="s">
        <v>25</v>
      </c>
      <c r="H14" s="44" t="s">
        <v>37</v>
      </c>
      <c r="I14" s="64">
        <v>44440</v>
      </c>
      <c r="J14" s="65">
        <f ca="1">EFEITO!$J14*('TUSD BE'!$AM$5+'TUSD BF'!$AM$5+'TUSD CVA'!$AM$5)</f>
        <v>37468.817238700642</v>
      </c>
      <c r="K14" s="65">
        <f ca="1">EFEITO!$L14*('TUSD BE'!$AM$7+'TUSD BF'!$AM$7+'TUSD CVA'!$AM$7)</f>
        <v>2464.8415494302226</v>
      </c>
      <c r="L14" s="65">
        <f>EFEITO!$N14*('TE BE'!$AB$5+'TE BF'!$AB$5+'TE CVA'!$AB$5)</f>
        <v>3352.5133716334972</v>
      </c>
      <c r="M14" s="65">
        <f ca="1">$J$14-EFEITO!$K$14*EFEITO!$Y$14</f>
        <v>1124.0645171610231</v>
      </c>
      <c r="N14" s="65">
        <f ca="1">$K$14-EFEITO!$M$14*EFEITO!$Z$14</f>
        <v>73.945246482906896</v>
      </c>
      <c r="O14" s="65">
        <f>$L$14-EFEITO!$O$14*EFEITO!$AA$14</f>
        <v>100.57540114900485</v>
      </c>
      <c r="P14" s="48"/>
      <c r="Q14" s="48"/>
      <c r="R14" s="48"/>
      <c r="S14" s="48"/>
      <c r="T14" s="48"/>
      <c r="U14" s="48"/>
      <c r="V14" s="48"/>
      <c r="W14" s="48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40" ht="11.25" customHeight="1" x14ac:dyDescent="0.2">
      <c r="A15" s="44" t="s">
        <v>21</v>
      </c>
      <c r="B15" s="44" t="s">
        <v>35</v>
      </c>
      <c r="C15" s="44" t="s">
        <v>48</v>
      </c>
      <c r="D15" s="44" t="s">
        <v>46</v>
      </c>
      <c r="E15" s="44" t="s">
        <v>47</v>
      </c>
      <c r="F15" s="44" t="s">
        <v>25</v>
      </c>
      <c r="G15" s="44" t="s">
        <v>25</v>
      </c>
      <c r="H15" s="44" t="s">
        <v>37</v>
      </c>
      <c r="I15" s="64">
        <v>44470</v>
      </c>
      <c r="J15" s="65">
        <f ca="1">EFEITO!$J15*('TUSD BE'!$AM$5+'TUSD BF'!$AM$5+'TUSD CVA'!$AM$5)</f>
        <v>38306.534697289477</v>
      </c>
      <c r="K15" s="65">
        <f ca="1">EFEITO!$L15*('TUSD BE'!$AM$7+'TUSD BF'!$AM$7+'TUSD CVA'!$AM$7)</f>
        <v>2237.0888323334743</v>
      </c>
      <c r="L15" s="65">
        <f>EFEITO!$N15*('TE BE'!$AB$5+'TE BF'!$AB$5+'TE CVA'!$AB$5)</f>
        <v>3042.7392891294057</v>
      </c>
      <c r="M15" s="65">
        <f ca="1">$J$15-EFEITO!$K$15*EFEITO!$Y$15</f>
        <v>1149.1960409186868</v>
      </c>
      <c r="N15" s="65">
        <f ca="1">$K$15-EFEITO!$M$15*EFEITO!$Z$15</f>
        <v>67.112664970004516</v>
      </c>
      <c r="O15" s="65">
        <f>$L$15-EFEITO!$O$15*EFEITO!$AA$15</f>
        <v>91.282178673882299</v>
      </c>
      <c r="P15" s="48"/>
      <c r="Q15" s="48"/>
      <c r="R15" s="48"/>
      <c r="S15" s="48"/>
      <c r="T15" s="48"/>
      <c r="U15" s="48"/>
      <c r="V15" s="48"/>
      <c r="W15" s="48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40" ht="11.25" customHeight="1" x14ac:dyDescent="0.2">
      <c r="A16" s="44" t="s">
        <v>21</v>
      </c>
      <c r="B16" s="44" t="s">
        <v>35</v>
      </c>
      <c r="C16" s="44" t="s">
        <v>48</v>
      </c>
      <c r="D16" s="44" t="s">
        <v>46</v>
      </c>
      <c r="E16" s="44" t="s">
        <v>47</v>
      </c>
      <c r="F16" s="44" t="s">
        <v>25</v>
      </c>
      <c r="G16" s="44" t="s">
        <v>25</v>
      </c>
      <c r="H16" s="44" t="s">
        <v>37</v>
      </c>
      <c r="I16" s="64">
        <v>44501</v>
      </c>
      <c r="J16" s="65">
        <f ca="1">EFEITO!$J16*('TUSD BE'!$AM$5+'TUSD BF'!$AM$5+'TUSD CVA'!$AM$5)</f>
        <v>36935.724310507743</v>
      </c>
      <c r="K16" s="65">
        <f ca="1">EFEITO!$L16*('TUSD BE'!$AM$7+'TUSD BF'!$AM$7+'TUSD CVA'!$AM$7)</f>
        <v>1857.0682969234672</v>
      </c>
      <c r="L16" s="65">
        <f>EFEITO!$N16*('TE BE'!$AB$5+'TE BF'!$AB$5+'TE CVA'!$AB$5)</f>
        <v>2525.86065782271</v>
      </c>
      <c r="M16" s="65">
        <f ca="1">$J$16-EFEITO!$K$16*EFEITO!$Y$16</f>
        <v>1108.0717293152338</v>
      </c>
      <c r="N16" s="65">
        <f ca="1">$K$16-EFEITO!$M$16*EFEITO!$Z$16</f>
        <v>55.712048907704002</v>
      </c>
      <c r="O16" s="65">
        <f>$L$16-EFEITO!$O$16*EFEITO!$AA$16</f>
        <v>75.77581973468159</v>
      </c>
      <c r="P16" s="48"/>
      <c r="Q16" s="48"/>
      <c r="R16" s="48"/>
      <c r="S16" s="48"/>
      <c r="T16" s="48"/>
      <c r="U16" s="48"/>
      <c r="V16" s="48"/>
      <c r="W16" s="48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ht="11.25" customHeight="1" x14ac:dyDescent="0.2">
      <c r="A17" s="44" t="s">
        <v>21</v>
      </c>
      <c r="B17" s="44" t="s">
        <v>35</v>
      </c>
      <c r="C17" s="44" t="s">
        <v>48</v>
      </c>
      <c r="D17" s="44" t="s">
        <v>46</v>
      </c>
      <c r="E17" s="44" t="s">
        <v>47</v>
      </c>
      <c r="F17" s="44" t="s">
        <v>25</v>
      </c>
      <c r="G17" s="44" t="s">
        <v>25</v>
      </c>
      <c r="H17" s="44" t="s">
        <v>37</v>
      </c>
      <c r="I17" s="64">
        <v>44531</v>
      </c>
      <c r="J17" s="65">
        <f ca="1">EFEITO!$J17*('TUSD BE'!$AM$5+'TUSD BF'!$AM$5+'TUSD CVA'!$AM$5)</f>
        <v>36021.850719319926</v>
      </c>
      <c r="K17" s="65">
        <f ca="1">EFEITO!$L17*('TUSD BE'!$AM$7+'TUSD BF'!$AM$7+'TUSD CVA'!$AM$7)</f>
        <v>2148.5238783375003</v>
      </c>
      <c r="L17" s="65">
        <f>EFEITO!$N17*('TE BE'!$AB$5+'TE BF'!$AB$5+'TE CVA'!$AB$5)</f>
        <v>2922.2791351701208</v>
      </c>
      <c r="M17" s="65">
        <f ca="1">$J$17-EFEITO!$K$17*EFEITO!$Y$17</f>
        <v>1080.6555215795961</v>
      </c>
      <c r="N17" s="65">
        <f ca="1">$K$17-EFEITO!$M$17*EFEITO!$Z$17</f>
        <v>64.455716350124931</v>
      </c>
      <c r="O17" s="65">
        <f>$L$17-EFEITO!$O$17*EFEITO!$AA$17</f>
        <v>87.668374055103868</v>
      </c>
      <c r="P17" s="48"/>
      <c r="Q17" s="48"/>
      <c r="R17" s="48"/>
      <c r="S17" s="48"/>
      <c r="T17" s="48"/>
      <c r="U17" s="48"/>
      <c r="V17" s="48"/>
      <c r="W17" s="48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ht="11.25" customHeight="1" x14ac:dyDescent="0.2">
      <c r="A18" s="44" t="s">
        <v>21</v>
      </c>
      <c r="B18" s="44" t="s">
        <v>35</v>
      </c>
      <c r="C18" s="44" t="s">
        <v>48</v>
      </c>
      <c r="D18" s="44" t="s">
        <v>46</v>
      </c>
      <c r="E18" s="44" t="s">
        <v>47</v>
      </c>
      <c r="F18" s="44" t="s">
        <v>25</v>
      </c>
      <c r="G18" s="44" t="s">
        <v>25</v>
      </c>
      <c r="H18" s="44" t="s">
        <v>37</v>
      </c>
      <c r="I18" s="64">
        <v>44562</v>
      </c>
      <c r="J18" s="65">
        <f ca="1">EFEITO!$J18*('TUSD BE'!$AM$5+'TUSD BF'!$AM$5+'TUSD CVA'!$AM$5)</f>
        <v>36021.850719319926</v>
      </c>
      <c r="K18" s="65">
        <f ca="1">EFEITO!$L18*('TUSD BE'!$AM$7+'TUSD BF'!$AM$7+'TUSD CVA'!$AM$7)</f>
        <v>1778.7876611479958</v>
      </c>
      <c r="L18" s="65">
        <f>EFEITO!$N18*('TE BE'!$AB$5+'TE BF'!$AB$5+'TE CVA'!$AB$5)</f>
        <v>2419.3885487989451</v>
      </c>
      <c r="M18" s="65">
        <f ca="1">$J$18-EFEITO!$K$18*EFEITO!$Y$18</f>
        <v>1080.6555215795961</v>
      </c>
      <c r="N18" s="65">
        <f ca="1">$K$18-EFEITO!$M$18*EFEITO!$Z$18</f>
        <v>53.363629834440189</v>
      </c>
      <c r="O18" s="65">
        <f>$L$18-EFEITO!$O$18*EFEITO!$AA$18</f>
        <v>72.581656463968557</v>
      </c>
      <c r="P18" s="48"/>
      <c r="Q18" s="48"/>
      <c r="R18" s="48"/>
      <c r="S18" s="48"/>
      <c r="T18" s="48"/>
      <c r="U18" s="48"/>
      <c r="V18" s="48"/>
      <c r="W18" s="48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ht="11.25" customHeight="1" x14ac:dyDescent="0.2">
      <c r="A19" s="44" t="s">
        <v>21</v>
      </c>
      <c r="B19" s="44" t="s">
        <v>35</v>
      </c>
      <c r="C19" s="44" t="s">
        <v>48</v>
      </c>
      <c r="D19" s="44" t="s">
        <v>46</v>
      </c>
      <c r="E19" s="44" t="s">
        <v>47</v>
      </c>
      <c r="F19" s="44" t="s">
        <v>25</v>
      </c>
      <c r="G19" s="44" t="s">
        <v>25</v>
      </c>
      <c r="H19" s="44" t="s">
        <v>37</v>
      </c>
      <c r="I19" s="64">
        <v>44593</v>
      </c>
      <c r="J19" s="65">
        <f ca="1">EFEITO!$J19*('TUSD BE'!$AM$5+'TUSD BF'!$AM$5+'TUSD CVA'!$AM$5)</f>
        <v>36021.850719319926</v>
      </c>
      <c r="K19" s="65">
        <f ca="1">EFEITO!$L19*('TUSD BE'!$AM$7+'TUSD BF'!$AM$7+'TUSD CVA'!$AM$7)</f>
        <v>1783.4805053845353</v>
      </c>
      <c r="L19" s="65">
        <f>EFEITO!$N19*('TE BE'!$AB$5+'TE BF'!$AB$5+'TE CVA'!$AB$5)</f>
        <v>2425.77144308991</v>
      </c>
      <c r="M19" s="65">
        <f ca="1">$J$19-EFEITO!$K$19*EFEITO!$Y$19</f>
        <v>1080.6555215795961</v>
      </c>
      <c r="N19" s="65">
        <f ca="1">$K$19-EFEITO!$M$19*EFEITO!$Z$19</f>
        <v>53.504415161536372</v>
      </c>
      <c r="O19" s="65">
        <f>$L$19-EFEITO!$O$19*EFEITO!$AA$19</f>
        <v>72.773143292697114</v>
      </c>
      <c r="P19" s="48"/>
      <c r="Q19" s="48"/>
      <c r="R19" s="48"/>
      <c r="S19" s="48"/>
      <c r="T19" s="48"/>
      <c r="U19" s="48"/>
      <c r="V19" s="48"/>
      <c r="W19" s="48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ht="11.25" customHeight="1" x14ac:dyDescent="0.2">
      <c r="A20" s="44" t="s">
        <v>21</v>
      </c>
      <c r="B20" s="44" t="s">
        <v>35</v>
      </c>
      <c r="C20" s="44" t="s">
        <v>48</v>
      </c>
      <c r="D20" s="44" t="s">
        <v>46</v>
      </c>
      <c r="E20" s="44" t="s">
        <v>47</v>
      </c>
      <c r="F20" s="44" t="s">
        <v>25</v>
      </c>
      <c r="G20" s="44" t="s">
        <v>25</v>
      </c>
      <c r="H20" s="44" t="s">
        <v>37</v>
      </c>
      <c r="I20" s="64">
        <v>44621</v>
      </c>
      <c r="J20" s="65">
        <f ca="1">EFEITO!$J20*('TUSD BE'!$AM$5+'TUSD BF'!$AM$5+'TUSD CVA'!$AM$5)</f>
        <v>36021.850719319926</v>
      </c>
      <c r="K20" s="65">
        <f ca="1">EFEITO!$L20*('TUSD BE'!$AM$7+'TUSD BF'!$AM$7+'TUSD CVA'!$AM$7)</f>
        <v>1876.3389126181946</v>
      </c>
      <c r="L20" s="65">
        <f>EFEITO!$N20*('TE BE'!$AB$5+'TE BF'!$AB$5+'TE CVA'!$AB$5)</f>
        <v>2552.0712662941214</v>
      </c>
      <c r="M20" s="65">
        <f ca="1">$J$20-EFEITO!$K$20*EFEITO!$Y$20</f>
        <v>1080.6555215795961</v>
      </c>
      <c r="N20" s="65">
        <f ca="1">$K$20-EFEITO!$M$20*EFEITO!$Z$20</f>
        <v>56.29016737854613</v>
      </c>
      <c r="O20" s="65">
        <f>$L$20-EFEITO!$O$20*EFEITO!$AA$20</f>
        <v>76.562137988823451</v>
      </c>
      <c r="P20" s="48"/>
      <c r="Q20" s="48"/>
      <c r="R20" s="48"/>
      <c r="S20" s="48"/>
      <c r="T20" s="48"/>
      <c r="U20" s="48"/>
      <c r="V20" s="48"/>
      <c r="W20" s="48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ht="11.25" customHeight="1" x14ac:dyDescent="0.2">
      <c r="A21" s="44" t="s">
        <v>21</v>
      </c>
      <c r="B21" s="44" t="s">
        <v>35</v>
      </c>
      <c r="C21" s="44" t="s">
        <v>48</v>
      </c>
      <c r="D21" s="44" t="s">
        <v>46</v>
      </c>
      <c r="E21" s="44" t="s">
        <v>47</v>
      </c>
      <c r="F21" s="44" t="s">
        <v>25</v>
      </c>
      <c r="G21" s="44" t="s">
        <v>25</v>
      </c>
      <c r="H21" s="44" t="s">
        <v>37</v>
      </c>
      <c r="I21" s="64">
        <v>44652</v>
      </c>
      <c r="J21" s="65">
        <f ca="1">EFEITO!$J21*('TUSD BE'!$AM$5+'TUSD BF'!$AM$5+'TUSD CVA'!$AM$5)</f>
        <v>36631.099780111806</v>
      </c>
      <c r="K21" s="65">
        <f ca="1">EFEITO!$L21*('TUSD BE'!$AM$7+'TUSD BF'!$AM$7+'TUSD CVA'!$AM$7)</f>
        <v>1774.9934466588784</v>
      </c>
      <c r="L21" s="65">
        <f>EFEITO!$N21*('TE BE'!$AB$5+'TE BF'!$AB$5+'TE CVA'!$AB$5)</f>
        <v>2414.2279108615685</v>
      </c>
      <c r="M21" s="65">
        <f ca="1">$J$21-EFEITO!$K$21*EFEITO!$Y$21</f>
        <v>1098.9329934033594</v>
      </c>
      <c r="N21" s="65">
        <f ca="1">$K$21-EFEITO!$M$21*EFEITO!$Z$21</f>
        <v>53.249803399766506</v>
      </c>
      <c r="O21" s="65">
        <f>$L$21-EFEITO!$O$21*EFEITO!$AA$21</f>
        <v>72.426837325846918</v>
      </c>
      <c r="P21" s="48"/>
      <c r="Q21" s="48"/>
      <c r="R21" s="48"/>
      <c r="S21" s="48"/>
      <c r="T21" s="48"/>
      <c r="U21" s="48"/>
      <c r="V21" s="48"/>
      <c r="W21" s="48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ht="11.25" customHeight="1" x14ac:dyDescent="0.2">
      <c r="A22" s="44" t="s">
        <v>21</v>
      </c>
      <c r="B22" s="44" t="s">
        <v>35</v>
      </c>
      <c r="C22" s="44" t="s">
        <v>48</v>
      </c>
      <c r="D22" s="44" t="s">
        <v>46</v>
      </c>
      <c r="E22" s="44" t="s">
        <v>47</v>
      </c>
      <c r="F22" s="44" t="s">
        <v>25</v>
      </c>
      <c r="G22" s="44" t="s">
        <v>25</v>
      </c>
      <c r="H22" s="44" t="s">
        <v>37</v>
      </c>
      <c r="I22" s="64">
        <v>44682</v>
      </c>
      <c r="J22" s="65">
        <f ca="1">EFEITO!$J22*('TUSD BE'!$AM$5+'TUSD BF'!$AM$5+'TUSD CVA'!$AM$5)</f>
        <v>36935.724310507743</v>
      </c>
      <c r="K22" s="65">
        <f ca="1">EFEITO!$L22*('TUSD BE'!$AM$7+'TUSD BF'!$AM$7+'TUSD CVA'!$AM$7)</f>
        <v>2637.2786131856305</v>
      </c>
      <c r="L22" s="65">
        <f>EFEITO!$N22*('TE BE'!$AB$5+'TE BF'!$AB$5+'TE CVA'!$AB$5)</f>
        <v>3587.0507852611022</v>
      </c>
      <c r="M22" s="65">
        <f ca="1">$J$22-EFEITO!$K$22*EFEITO!$Y$22</f>
        <v>1108.0717293152338</v>
      </c>
      <c r="N22" s="65">
        <f ca="1">$K$22-EFEITO!$M$22*EFEITO!$Z$22</f>
        <v>79.11835839556943</v>
      </c>
      <c r="O22" s="65">
        <f>$L$22-EFEITO!$O$22*EFEITO!$AA$22</f>
        <v>107.61152355783315</v>
      </c>
      <c r="P22" s="48"/>
      <c r="Q22" s="48"/>
      <c r="R22" s="48"/>
      <c r="S22" s="48"/>
      <c r="T22" s="48"/>
      <c r="U22" s="48"/>
      <c r="V22" s="48"/>
      <c r="W22" s="48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ht="11.25" customHeight="1" x14ac:dyDescent="0.2">
      <c r="A23" s="44" t="s">
        <v>21</v>
      </c>
      <c r="B23" s="44" t="s">
        <v>35</v>
      </c>
      <c r="C23" s="44" t="s">
        <v>48</v>
      </c>
      <c r="D23" s="44" t="s">
        <v>46</v>
      </c>
      <c r="E23" s="44" t="s">
        <v>47</v>
      </c>
      <c r="F23" s="44" t="s">
        <v>25</v>
      </c>
      <c r="G23" s="44" t="s">
        <v>25</v>
      </c>
      <c r="H23" s="44" t="s">
        <v>37</v>
      </c>
      <c r="I23" s="64">
        <v>44713</v>
      </c>
      <c r="J23" s="65">
        <f ca="1">EFEITO!$J23*('TUSD BE'!$AM$5+'TUSD BF'!$AM$5+'TUSD CVA'!$AM$5)</f>
        <v>36783.412045309771</v>
      </c>
      <c r="K23" s="65">
        <f ca="1">EFEITO!$L23*('TUSD BE'!$AM$7+'TUSD BF'!$AM$7+'TUSD CVA'!$AM$7)</f>
        <v>2717.456356205661</v>
      </c>
      <c r="L23" s="65">
        <f>EFEITO!$N23*('TE BE'!$AB$5+'TE BF'!$AB$5+'TE CVA'!$AB$5)</f>
        <v>3696.1032132535552</v>
      </c>
      <c r="M23" s="65">
        <f ca="1">$J$23-EFEITO!$K$23*EFEITO!$Y$23</f>
        <v>1103.502361359293</v>
      </c>
      <c r="N23" s="65">
        <f ca="1">$K$23-EFEITO!$M$23*EFEITO!$Z$23</f>
        <v>81.523690686170085</v>
      </c>
      <c r="O23" s="65">
        <f>$L$23-EFEITO!$O$23*EFEITO!$AA$23</f>
        <v>110.88309639760655</v>
      </c>
      <c r="P23" s="48"/>
      <c r="Q23" s="48"/>
      <c r="R23" s="48"/>
      <c r="S23" s="48"/>
      <c r="T23" s="48"/>
      <c r="U23" s="48"/>
      <c r="V23" s="48"/>
      <c r="W23" s="48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ht="11.25" customHeight="1" x14ac:dyDescent="0.2">
      <c r="A24" s="44" t="s">
        <v>21</v>
      </c>
      <c r="B24" s="44" t="s">
        <v>35</v>
      </c>
      <c r="C24" s="44" t="s">
        <v>48</v>
      </c>
      <c r="D24" s="44" t="s">
        <v>46</v>
      </c>
      <c r="E24" s="44" t="s">
        <v>47</v>
      </c>
      <c r="F24" s="44" t="s">
        <v>25</v>
      </c>
      <c r="G24" s="44" t="s">
        <v>25</v>
      </c>
      <c r="H24" s="44" t="s">
        <v>37</v>
      </c>
      <c r="I24" s="64">
        <v>44743</v>
      </c>
      <c r="J24" s="65">
        <f ca="1">EFEITO!$J24*('TUSD BE'!$AM$5+'TUSD BF'!$AM$5+'TUSD CVA'!$AM$5)</f>
        <v>36554.943647512817</v>
      </c>
      <c r="K24" s="65">
        <f ca="1">EFEITO!$L24*('TUSD BE'!$AM$7+'TUSD BF'!$AM$7+'TUSD CVA'!$AM$7)</f>
        <v>2517.9605522778643</v>
      </c>
      <c r="L24" s="65">
        <f>EFEITO!$N24*('TE BE'!$AB$5+'TE BF'!$AB$5+'TE CVA'!$AB$5)</f>
        <v>3424.7623027567665</v>
      </c>
      <c r="M24" s="65">
        <f ca="1">$J$24-EFEITO!$K$24*EFEITO!$Y$24</f>
        <v>1096.6483094253854</v>
      </c>
      <c r="N24" s="65">
        <f ca="1">$K$24-EFEITO!$M$24*EFEITO!$Z$24</f>
        <v>75.538816568336188</v>
      </c>
      <c r="O24" s="65">
        <f>$L$24-EFEITO!$O$24*EFEITO!$AA$24</f>
        <v>102.74286908270324</v>
      </c>
      <c r="P24" s="48"/>
      <c r="Q24" s="48"/>
      <c r="R24" s="48"/>
      <c r="S24" s="48"/>
      <c r="T24" s="48"/>
      <c r="U24" s="48"/>
      <c r="V24" s="48"/>
      <c r="W24" s="48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ht="11.25" customHeight="1" x14ac:dyDescent="0.2">
      <c r="A25" s="44" t="s">
        <v>21</v>
      </c>
      <c r="B25" s="44" t="s">
        <v>35</v>
      </c>
      <c r="C25" s="44" t="s">
        <v>48</v>
      </c>
      <c r="D25" s="44" t="s">
        <v>46</v>
      </c>
      <c r="E25" s="44" t="s">
        <v>47</v>
      </c>
      <c r="F25" s="44" t="s">
        <v>25</v>
      </c>
      <c r="G25" s="44" t="s">
        <v>25</v>
      </c>
      <c r="H25" s="44" t="s">
        <v>37</v>
      </c>
      <c r="I25" s="64">
        <v>44774</v>
      </c>
      <c r="J25" s="65">
        <f ca="1">EFEITO!$J25*('TUSD BE'!$AM$5+'TUSD BF'!$AM$5+'TUSD CVA'!$AM$5)</f>
        <v>38839.627625482368</v>
      </c>
      <c r="K25" s="65">
        <f ca="1">EFEITO!$L25*('TUSD BE'!$AM$7+'TUSD BF'!$AM$7+'TUSD CVA'!$AM$7)</f>
        <v>2322.4586583386122</v>
      </c>
      <c r="L25" s="65">
        <f>EFEITO!$N25*('TE BE'!$AB$5+'TE BF'!$AB$5+'TE CVA'!$AB$5)</f>
        <v>3158.853642720374</v>
      </c>
      <c r="M25" s="65">
        <f ca="1">$J$25-EFEITO!$K$25*EFEITO!$Y$25</f>
        <v>1165.1888287644688</v>
      </c>
      <c r="N25" s="65">
        <f ca="1">$K$25-EFEITO!$M$25*EFEITO!$Z$25</f>
        <v>69.673759750158297</v>
      </c>
      <c r="O25" s="65">
        <f>$L$25-EFEITO!$O$25*EFEITO!$AA$25</f>
        <v>94.765609281611432</v>
      </c>
      <c r="P25" s="48"/>
      <c r="Q25" s="48"/>
      <c r="R25" s="48"/>
      <c r="S25" s="48"/>
      <c r="T25" s="48"/>
      <c r="U25" s="48"/>
      <c r="V25" s="48"/>
      <c r="W25" s="48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ht="11.25" customHeight="1" x14ac:dyDescent="0.2">
      <c r="A26" s="44" t="s">
        <v>21</v>
      </c>
      <c r="B26" s="44" t="s">
        <v>35</v>
      </c>
      <c r="C26" s="44" t="s">
        <v>53</v>
      </c>
      <c r="D26" s="44" t="s">
        <v>25</v>
      </c>
      <c r="E26" s="44" t="s">
        <v>25</v>
      </c>
      <c r="F26" s="44" t="s">
        <v>25</v>
      </c>
      <c r="G26" s="44" t="s">
        <v>54</v>
      </c>
      <c r="H26" s="44" t="s">
        <v>25</v>
      </c>
      <c r="I26" s="64">
        <v>44440</v>
      </c>
      <c r="J26" s="65">
        <f ca="1">EFEITO!$J$26*EFEITO!$Y$26</f>
        <v>3100.1522631793446</v>
      </c>
      <c r="K26" s="65">
        <f>EFEITO!$L$26*EFEITO!$Z$26</f>
        <v>0</v>
      </c>
      <c r="L26" s="65">
        <f>EFEITO!$N$26*EFEITO!$AA$26</f>
        <v>0</v>
      </c>
      <c r="M26" s="65">
        <f ca="1">$J$26-EFEITO!$K$26*EFEITO!$Y$26</f>
        <v>0</v>
      </c>
      <c r="N26" s="65">
        <f>$K$26-EFEITO!$M$26*EFEITO!$Z$26</f>
        <v>0</v>
      </c>
      <c r="O26" s="65">
        <f>$L$26-EFEITO!$O$26*EFEITO!$AA$26</f>
        <v>0</v>
      </c>
      <c r="P26" s="48"/>
      <c r="Q26" s="48"/>
      <c r="R26" s="48"/>
      <c r="S26" s="48"/>
      <c r="T26" s="48"/>
      <c r="U26" s="48"/>
      <c r="V26" s="48"/>
      <c r="W26" s="48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ht="11.25" customHeight="1" x14ac:dyDescent="0.2">
      <c r="A27" s="44" t="s">
        <v>21</v>
      </c>
      <c r="B27" s="44" t="s">
        <v>35</v>
      </c>
      <c r="C27" s="44" t="s">
        <v>53</v>
      </c>
      <c r="D27" s="44" t="s">
        <v>25</v>
      </c>
      <c r="E27" s="44" t="s">
        <v>25</v>
      </c>
      <c r="F27" s="44" t="s">
        <v>25</v>
      </c>
      <c r="G27" s="44" t="s">
        <v>54</v>
      </c>
      <c r="H27" s="44" t="s">
        <v>25</v>
      </c>
      <c r="I27" s="64">
        <v>44470</v>
      </c>
      <c r="J27" s="65">
        <f ca="1">EFEITO!$J$27*EFEITO!$Y$27</f>
        <v>3100.1522631793446</v>
      </c>
      <c r="K27" s="65">
        <f>EFEITO!$L$27*EFEITO!$Z$27</f>
        <v>0</v>
      </c>
      <c r="L27" s="65">
        <f>EFEITO!$N$27*EFEITO!$AA$27</f>
        <v>0</v>
      </c>
      <c r="M27" s="65">
        <f ca="1">$J$27-EFEITO!$K$27*EFEITO!$Y$27</f>
        <v>1550.0761315896723</v>
      </c>
      <c r="N27" s="65">
        <f>$K$27-EFEITO!$M$27*EFEITO!$Z$27</f>
        <v>0</v>
      </c>
      <c r="O27" s="65">
        <f>$L$27-EFEITO!$O$27*EFEITO!$AA$27</f>
        <v>0</v>
      </c>
      <c r="P27" s="48"/>
      <c r="Q27" s="48"/>
      <c r="R27" s="48"/>
      <c r="S27" s="48"/>
      <c r="T27" s="48"/>
      <c r="U27" s="48"/>
      <c r="V27" s="48"/>
      <c r="W27" s="48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ht="11.25" customHeight="1" x14ac:dyDescent="0.2">
      <c r="A28" s="44" t="s">
        <v>21</v>
      </c>
      <c r="B28" s="44" t="s">
        <v>35</v>
      </c>
      <c r="C28" s="44" t="s">
        <v>53</v>
      </c>
      <c r="D28" s="44" t="s">
        <v>25</v>
      </c>
      <c r="E28" s="44" t="s">
        <v>25</v>
      </c>
      <c r="F28" s="44" t="s">
        <v>25</v>
      </c>
      <c r="G28" s="44" t="s">
        <v>54</v>
      </c>
      <c r="H28" s="44" t="s">
        <v>25</v>
      </c>
      <c r="I28" s="64">
        <v>44501</v>
      </c>
      <c r="J28" s="65">
        <f ca="1">EFEITO!$J$28*EFEITO!$Y$28</f>
        <v>3100.1522631793446</v>
      </c>
      <c r="K28" s="65">
        <f>EFEITO!$L$28*EFEITO!$Z$28</f>
        <v>0</v>
      </c>
      <c r="L28" s="65">
        <f>EFEITO!$N$28*EFEITO!$AA$28</f>
        <v>0</v>
      </c>
      <c r="M28" s="65">
        <f ca="1">$J$28-EFEITO!$K$28*EFEITO!$Y$28</f>
        <v>1550.0761315896723</v>
      </c>
      <c r="N28" s="65">
        <f>$K$28-EFEITO!$M$28*EFEITO!$Z$28</f>
        <v>0</v>
      </c>
      <c r="O28" s="65">
        <f>$L$28-EFEITO!$O$28*EFEITO!$AA$28</f>
        <v>0</v>
      </c>
      <c r="P28" s="48"/>
      <c r="Q28" s="48"/>
      <c r="R28" s="48"/>
      <c r="S28" s="48"/>
      <c r="T28" s="48"/>
      <c r="U28" s="48"/>
      <c r="V28" s="48"/>
      <c r="W28" s="48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ht="11.25" customHeight="1" x14ac:dyDescent="0.2">
      <c r="A29" s="44" t="s">
        <v>21</v>
      </c>
      <c r="B29" s="44" t="s">
        <v>35</v>
      </c>
      <c r="C29" s="44" t="s">
        <v>53</v>
      </c>
      <c r="D29" s="44" t="s">
        <v>25</v>
      </c>
      <c r="E29" s="44" t="s">
        <v>25</v>
      </c>
      <c r="F29" s="44" t="s">
        <v>25</v>
      </c>
      <c r="G29" s="44" t="s">
        <v>54</v>
      </c>
      <c r="H29" s="44" t="s">
        <v>25</v>
      </c>
      <c r="I29" s="64">
        <v>44531</v>
      </c>
      <c r="J29" s="65">
        <f ca="1">EFEITO!$J$29*EFEITO!$Y$29</f>
        <v>3100.1522631793446</v>
      </c>
      <c r="K29" s="65">
        <f>EFEITO!$L$29*EFEITO!$Z$29</f>
        <v>0</v>
      </c>
      <c r="L29" s="65">
        <f>EFEITO!$N$29*EFEITO!$AA$29</f>
        <v>0</v>
      </c>
      <c r="M29" s="65">
        <f ca="1">$J$29-EFEITO!$K$29*EFEITO!$Y$29</f>
        <v>1550.0761315896723</v>
      </c>
      <c r="N29" s="65">
        <f>$K$29-EFEITO!$M$29*EFEITO!$Z$29</f>
        <v>0</v>
      </c>
      <c r="O29" s="65">
        <f>$L$29-EFEITO!$O$29*EFEITO!$AA$29</f>
        <v>0</v>
      </c>
      <c r="P29" s="48"/>
      <c r="Q29" s="48"/>
      <c r="R29" s="48"/>
      <c r="S29" s="48"/>
      <c r="T29" s="48"/>
      <c r="U29" s="48"/>
      <c r="V29" s="48"/>
      <c r="W29" s="48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ht="11.25" customHeight="1" x14ac:dyDescent="0.2">
      <c r="A30" s="44" t="s">
        <v>21</v>
      </c>
      <c r="B30" s="44" t="s">
        <v>35</v>
      </c>
      <c r="C30" s="44" t="s">
        <v>53</v>
      </c>
      <c r="D30" s="44" t="s">
        <v>25</v>
      </c>
      <c r="E30" s="44" t="s">
        <v>25</v>
      </c>
      <c r="F30" s="44" t="s">
        <v>25</v>
      </c>
      <c r="G30" s="44" t="s">
        <v>54</v>
      </c>
      <c r="H30" s="44" t="s">
        <v>25</v>
      </c>
      <c r="I30" s="64">
        <v>44562</v>
      </c>
      <c r="J30" s="65">
        <f ca="1">EFEITO!$J$30*EFEITO!$Y$30</f>
        <v>3100.1522631793446</v>
      </c>
      <c r="K30" s="65">
        <f>EFEITO!$L$30*EFEITO!$Z$30</f>
        <v>0</v>
      </c>
      <c r="L30" s="65">
        <f>EFEITO!$N$30*EFEITO!$AA$30</f>
        <v>0</v>
      </c>
      <c r="M30" s="65">
        <f ca="1">$J$30-EFEITO!$K$30*EFEITO!$Y$30</f>
        <v>1550.0761315896723</v>
      </c>
      <c r="N30" s="65">
        <f>$K$30-EFEITO!$M$30*EFEITO!$Z$30</f>
        <v>0</v>
      </c>
      <c r="O30" s="65">
        <f>$L$30-EFEITO!$O$30*EFEITO!$AA$30</f>
        <v>0</v>
      </c>
      <c r="P30" s="48"/>
      <c r="Q30" s="48"/>
      <c r="R30" s="48"/>
      <c r="S30" s="48"/>
      <c r="T30" s="48"/>
      <c r="U30" s="48"/>
      <c r="V30" s="48"/>
      <c r="W30" s="48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ht="11.25" customHeight="1" x14ac:dyDescent="0.2">
      <c r="A31" s="44" t="s">
        <v>21</v>
      </c>
      <c r="B31" s="44" t="s">
        <v>35</v>
      </c>
      <c r="C31" s="44" t="s">
        <v>53</v>
      </c>
      <c r="D31" s="44" t="s">
        <v>25</v>
      </c>
      <c r="E31" s="44" t="s">
        <v>25</v>
      </c>
      <c r="F31" s="44" t="s">
        <v>25</v>
      </c>
      <c r="G31" s="44" t="s">
        <v>54</v>
      </c>
      <c r="H31" s="44" t="s">
        <v>25</v>
      </c>
      <c r="I31" s="64">
        <v>44593</v>
      </c>
      <c r="J31" s="65">
        <f ca="1">EFEITO!$J$31*EFEITO!$Y$31</f>
        <v>3100.1522631793446</v>
      </c>
      <c r="K31" s="65">
        <f>EFEITO!$L$31*EFEITO!$Z$31</f>
        <v>0</v>
      </c>
      <c r="L31" s="65">
        <f>EFEITO!$N$31*EFEITO!$AA$31</f>
        <v>0</v>
      </c>
      <c r="M31" s="65">
        <f ca="1">$J$31-EFEITO!$K$31*EFEITO!$Y$31</f>
        <v>1550.0761315896723</v>
      </c>
      <c r="N31" s="65">
        <f>$K$31-EFEITO!$M$31*EFEITO!$Z$31</f>
        <v>0</v>
      </c>
      <c r="O31" s="65">
        <f>$L$31-EFEITO!$O$31*EFEITO!$AA$31</f>
        <v>0</v>
      </c>
      <c r="P31" s="48"/>
      <c r="Q31" s="48"/>
      <c r="R31" s="48"/>
      <c r="S31" s="48"/>
      <c r="T31" s="48"/>
      <c r="U31" s="48"/>
      <c r="V31" s="48"/>
      <c r="W31" s="48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ht="11.25" customHeight="1" x14ac:dyDescent="0.2">
      <c r="A32" s="44" t="s">
        <v>21</v>
      </c>
      <c r="B32" s="44" t="s">
        <v>35</v>
      </c>
      <c r="C32" s="44" t="s">
        <v>53</v>
      </c>
      <c r="D32" s="44" t="s">
        <v>25</v>
      </c>
      <c r="E32" s="44" t="s">
        <v>25</v>
      </c>
      <c r="F32" s="44" t="s">
        <v>25</v>
      </c>
      <c r="G32" s="44" t="s">
        <v>54</v>
      </c>
      <c r="H32" s="44" t="s">
        <v>25</v>
      </c>
      <c r="I32" s="64">
        <v>44621</v>
      </c>
      <c r="J32" s="65">
        <f ca="1">EFEITO!$J$32*EFEITO!$Y$32</f>
        <v>3100.1522631793446</v>
      </c>
      <c r="K32" s="65">
        <f>EFEITO!$L$32*EFEITO!$Z$32</f>
        <v>0</v>
      </c>
      <c r="L32" s="65">
        <f>EFEITO!$N$32*EFEITO!$AA$32</f>
        <v>0</v>
      </c>
      <c r="M32" s="65">
        <f ca="1">$J$32-EFEITO!$K$32*EFEITO!$Y$32</f>
        <v>1550.0761315896723</v>
      </c>
      <c r="N32" s="65">
        <f>$K$32-EFEITO!$M$32*EFEITO!$Z$32</f>
        <v>0</v>
      </c>
      <c r="O32" s="65">
        <f>$L$32-EFEITO!$O$32*EFEITO!$AA$32</f>
        <v>0</v>
      </c>
      <c r="P32" s="48"/>
      <c r="Q32" s="48"/>
      <c r="R32" s="48"/>
      <c r="S32" s="48"/>
      <c r="T32" s="48"/>
      <c r="U32" s="48"/>
      <c r="V32" s="48"/>
      <c r="W32" s="48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ht="11.25" customHeight="1" x14ac:dyDescent="0.2">
      <c r="A33" s="44" t="s">
        <v>21</v>
      </c>
      <c r="B33" s="44" t="s">
        <v>35</v>
      </c>
      <c r="C33" s="44" t="s">
        <v>53</v>
      </c>
      <c r="D33" s="44" t="s">
        <v>25</v>
      </c>
      <c r="E33" s="44" t="s">
        <v>25</v>
      </c>
      <c r="F33" s="44" t="s">
        <v>25</v>
      </c>
      <c r="G33" s="44" t="s">
        <v>54</v>
      </c>
      <c r="H33" s="44" t="s">
        <v>25</v>
      </c>
      <c r="I33" s="64">
        <v>44652</v>
      </c>
      <c r="J33" s="65">
        <f ca="1">EFEITO!$J$33*EFEITO!$Y$33</f>
        <v>3100.1522631793446</v>
      </c>
      <c r="K33" s="65">
        <f>EFEITO!$L$33*EFEITO!$Z$33</f>
        <v>0</v>
      </c>
      <c r="L33" s="65">
        <f>EFEITO!$N$33*EFEITO!$AA$33</f>
        <v>0</v>
      </c>
      <c r="M33" s="65">
        <f ca="1">$J$33-EFEITO!$K$33*EFEITO!$Y$33</f>
        <v>1550.0761315896723</v>
      </c>
      <c r="N33" s="65">
        <f>$K$33-EFEITO!$M$33*EFEITO!$Z$33</f>
        <v>0</v>
      </c>
      <c r="O33" s="65">
        <f>$L$33-EFEITO!$O$33*EFEITO!$AA$33</f>
        <v>0</v>
      </c>
      <c r="P33" s="48"/>
      <c r="Q33" s="48"/>
      <c r="R33" s="48"/>
      <c r="S33" s="48"/>
      <c r="T33" s="48"/>
      <c r="U33" s="48"/>
      <c r="V33" s="48"/>
      <c r="W33" s="48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ht="11.25" customHeight="1" x14ac:dyDescent="0.2">
      <c r="A34" s="44" t="s">
        <v>21</v>
      </c>
      <c r="B34" s="44" t="s">
        <v>35</v>
      </c>
      <c r="C34" s="44" t="s">
        <v>53</v>
      </c>
      <c r="D34" s="44" t="s">
        <v>25</v>
      </c>
      <c r="E34" s="44" t="s">
        <v>25</v>
      </c>
      <c r="F34" s="44" t="s">
        <v>25</v>
      </c>
      <c r="G34" s="44" t="s">
        <v>54</v>
      </c>
      <c r="H34" s="44" t="s">
        <v>25</v>
      </c>
      <c r="I34" s="64">
        <v>44682</v>
      </c>
      <c r="J34" s="65">
        <f ca="1">EFEITO!$J$34*EFEITO!$Y$34</f>
        <v>3100.1522631793446</v>
      </c>
      <c r="K34" s="65">
        <f>EFEITO!$L$34*EFEITO!$Z$34</f>
        <v>0</v>
      </c>
      <c r="L34" s="65">
        <f>EFEITO!$N$34*EFEITO!$AA$34</f>
        <v>0</v>
      </c>
      <c r="M34" s="65">
        <f ca="1">$J$34-EFEITO!$K$34*EFEITO!$Y$34</f>
        <v>1550.0761315896723</v>
      </c>
      <c r="N34" s="65">
        <f>$K$34-EFEITO!$M$34*EFEITO!$Z$34</f>
        <v>0</v>
      </c>
      <c r="O34" s="65">
        <f>$L$34-EFEITO!$O$34*EFEITO!$AA$34</f>
        <v>0</v>
      </c>
      <c r="P34" s="48"/>
      <c r="Q34" s="48"/>
      <c r="R34" s="48"/>
      <c r="S34" s="48"/>
      <c r="T34" s="48"/>
      <c r="U34" s="48"/>
      <c r="V34" s="48"/>
      <c r="W34" s="48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ht="11.25" customHeight="1" x14ac:dyDescent="0.2">
      <c r="A35" s="44" t="s">
        <v>21</v>
      </c>
      <c r="B35" s="44" t="s">
        <v>35</v>
      </c>
      <c r="C35" s="44" t="s">
        <v>53</v>
      </c>
      <c r="D35" s="44" t="s">
        <v>25</v>
      </c>
      <c r="E35" s="44" t="s">
        <v>25</v>
      </c>
      <c r="F35" s="44" t="s">
        <v>25</v>
      </c>
      <c r="G35" s="44" t="s">
        <v>54</v>
      </c>
      <c r="H35" s="44" t="s">
        <v>25</v>
      </c>
      <c r="I35" s="64">
        <v>44713</v>
      </c>
      <c r="J35" s="65">
        <f ca="1">EFEITO!$J$35*EFEITO!$Y$35</f>
        <v>3100.1522631793446</v>
      </c>
      <c r="K35" s="65">
        <f>EFEITO!$L$35*EFEITO!$Z$35</f>
        <v>0</v>
      </c>
      <c r="L35" s="65">
        <f>EFEITO!$N$35*EFEITO!$AA$35</f>
        <v>0</v>
      </c>
      <c r="M35" s="65">
        <f ca="1">$J$35-EFEITO!$K$35*EFEITO!$Y$35</f>
        <v>1550.0761315896723</v>
      </c>
      <c r="N35" s="65">
        <f>$K$35-EFEITO!$M$35*EFEITO!$Z$35</f>
        <v>0</v>
      </c>
      <c r="O35" s="65">
        <f>$L$35-EFEITO!$O$35*EFEITO!$AA$35</f>
        <v>0</v>
      </c>
      <c r="P35" s="48"/>
      <c r="Q35" s="48"/>
      <c r="R35" s="48"/>
      <c r="S35" s="48"/>
      <c r="T35" s="48"/>
      <c r="U35" s="48"/>
      <c r="V35" s="48"/>
      <c r="W35" s="48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ht="11.25" customHeight="1" x14ac:dyDescent="0.2">
      <c r="A36" s="44" t="s">
        <v>21</v>
      </c>
      <c r="B36" s="44" t="s">
        <v>35</v>
      </c>
      <c r="C36" s="44" t="s">
        <v>53</v>
      </c>
      <c r="D36" s="44" t="s">
        <v>25</v>
      </c>
      <c r="E36" s="44" t="s">
        <v>25</v>
      </c>
      <c r="F36" s="44" t="s">
        <v>25</v>
      </c>
      <c r="G36" s="44" t="s">
        <v>54</v>
      </c>
      <c r="H36" s="44" t="s">
        <v>25</v>
      </c>
      <c r="I36" s="64">
        <v>44743</v>
      </c>
      <c r="J36" s="65">
        <f ca="1">EFEITO!$J$36*EFEITO!$Y$36</f>
        <v>3100.1522631793446</v>
      </c>
      <c r="K36" s="65">
        <f>EFEITO!$L$36*EFEITO!$Z$36</f>
        <v>0</v>
      </c>
      <c r="L36" s="65">
        <f>EFEITO!$N$36*EFEITO!$AA$36</f>
        <v>0</v>
      </c>
      <c r="M36" s="65">
        <f ca="1">$J$36-EFEITO!$K$36*EFEITO!$Y$36</f>
        <v>1550.0761315896723</v>
      </c>
      <c r="N36" s="65">
        <f>$K$36-EFEITO!$M$36*EFEITO!$Z$36</f>
        <v>0</v>
      </c>
      <c r="O36" s="65">
        <f>$L$36-EFEITO!$O$36*EFEITO!$AA$36</f>
        <v>0</v>
      </c>
      <c r="P36" s="48"/>
      <c r="Q36" s="48"/>
      <c r="R36" s="48"/>
      <c r="S36" s="48"/>
      <c r="T36" s="48"/>
      <c r="U36" s="48"/>
      <c r="V36" s="48"/>
      <c r="W36" s="48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ht="11.25" customHeight="1" x14ac:dyDescent="0.2">
      <c r="A37" s="44" t="s">
        <v>21</v>
      </c>
      <c r="B37" s="44" t="s">
        <v>35</v>
      </c>
      <c r="C37" s="44" t="s">
        <v>53</v>
      </c>
      <c r="D37" s="44" t="s">
        <v>25</v>
      </c>
      <c r="E37" s="44" t="s">
        <v>25</v>
      </c>
      <c r="F37" s="44" t="s">
        <v>25</v>
      </c>
      <c r="G37" s="44" t="s">
        <v>54</v>
      </c>
      <c r="H37" s="44" t="s">
        <v>25</v>
      </c>
      <c r="I37" s="64">
        <v>44774</v>
      </c>
      <c r="J37" s="65">
        <f ca="1">EFEITO!$J$37*EFEITO!$Y$37</f>
        <v>3100.1522631793446</v>
      </c>
      <c r="K37" s="65">
        <f>EFEITO!$L$37*EFEITO!$Z$37</f>
        <v>0</v>
      </c>
      <c r="L37" s="65">
        <f>EFEITO!$N$37*EFEITO!$AA$37</f>
        <v>0</v>
      </c>
      <c r="M37" s="65">
        <f ca="1">$J$37-EFEITO!$K$37*EFEITO!$Y$37</f>
        <v>1550.0761315896723</v>
      </c>
      <c r="N37" s="65">
        <f>$K$37-EFEITO!$M$37*EFEITO!$Z$37</f>
        <v>0</v>
      </c>
      <c r="O37" s="65">
        <f>$L$37-EFEITO!$O$37*EFEITO!$AA$37</f>
        <v>0</v>
      </c>
      <c r="P37" s="48"/>
      <c r="Q37" s="48"/>
      <c r="R37" s="48"/>
      <c r="S37" s="48"/>
      <c r="T37" s="48"/>
      <c r="U37" s="48"/>
      <c r="V37" s="48"/>
      <c r="W37" s="48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ht="11.25" customHeight="1" x14ac:dyDescent="0.2">
      <c r="A38" s="44" t="s">
        <v>21</v>
      </c>
      <c r="B38" s="44" t="s">
        <v>35</v>
      </c>
      <c r="C38" s="44" t="s">
        <v>36</v>
      </c>
      <c r="D38" s="44" t="s">
        <v>39</v>
      </c>
      <c r="E38" s="44" t="s">
        <v>25</v>
      </c>
      <c r="F38" s="44" t="s">
        <v>25</v>
      </c>
      <c r="G38" s="44" t="s">
        <v>25</v>
      </c>
      <c r="H38" s="44" t="s">
        <v>38</v>
      </c>
      <c r="I38" s="64">
        <v>44440</v>
      </c>
      <c r="J38" s="65">
        <f>EFEITO!$J$38*EFEITO!$Y$38</f>
        <v>0</v>
      </c>
      <c r="K38" s="65">
        <f ca="1">EFEITO!$L$38*EFEITO!$Z$38</f>
        <v>2954.8943050246298</v>
      </c>
      <c r="L38" s="65">
        <f>EFEITO!$N$38*EFEITO!$AA$38</f>
        <v>4019.0505031241078</v>
      </c>
      <c r="M38" s="65">
        <f>$J$38-EFEITO!$K$38*EFEITO!$Y$38</f>
        <v>0</v>
      </c>
      <c r="N38" s="65">
        <f ca="1">$K$38-EFEITO!$M$38*EFEITO!$Z$38</f>
        <v>0</v>
      </c>
      <c r="O38" s="65">
        <f>$L$38-EFEITO!$O$38*EFEITO!$AA$38</f>
        <v>0</v>
      </c>
      <c r="P38" s="48"/>
      <c r="Q38" s="48"/>
      <c r="R38" s="48"/>
      <c r="S38" s="48"/>
      <c r="T38" s="48"/>
      <c r="U38" s="48"/>
      <c r="V38" s="48"/>
      <c r="W38" s="48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ht="11.25" customHeight="1" x14ac:dyDescent="0.2">
      <c r="A39" s="44" t="s">
        <v>21</v>
      </c>
      <c r="B39" s="44" t="s">
        <v>35</v>
      </c>
      <c r="C39" s="44" t="s">
        <v>36</v>
      </c>
      <c r="D39" s="44" t="s">
        <v>39</v>
      </c>
      <c r="E39" s="44" t="s">
        <v>25</v>
      </c>
      <c r="F39" s="44" t="s">
        <v>25</v>
      </c>
      <c r="G39" s="44" t="s">
        <v>25</v>
      </c>
      <c r="H39" s="44" t="s">
        <v>38</v>
      </c>
      <c r="I39" s="64">
        <v>44470</v>
      </c>
      <c r="J39" s="65">
        <f>EFEITO!$J$39*EFEITO!$Y$39</f>
        <v>0</v>
      </c>
      <c r="K39" s="65">
        <f ca="1">EFEITO!$L$39*EFEITO!$Z$39</f>
        <v>3609.5959998967833</v>
      </c>
      <c r="L39" s="65">
        <f>EFEITO!$N$39*EFEITO!$AA$39</f>
        <v>4909.5321598445507</v>
      </c>
      <c r="M39" s="65">
        <f>$J$39-EFEITO!$K$39*EFEITO!$Y$39</f>
        <v>0</v>
      </c>
      <c r="N39" s="65">
        <f ca="1">$K$39-EFEITO!$M$39*EFEITO!$Z$39</f>
        <v>0</v>
      </c>
      <c r="O39" s="65">
        <f>$L$39-EFEITO!$O$39*EFEITO!$AA$39</f>
        <v>0</v>
      </c>
      <c r="P39" s="48"/>
      <c r="Q39" s="48"/>
      <c r="R39" s="48"/>
      <c r="S39" s="48"/>
      <c r="T39" s="48"/>
      <c r="U39" s="48"/>
      <c r="V39" s="48"/>
      <c r="W39" s="48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ht="11.25" customHeight="1" x14ac:dyDescent="0.2">
      <c r="A40" s="44" t="s">
        <v>21</v>
      </c>
      <c r="B40" s="44" t="s">
        <v>35</v>
      </c>
      <c r="C40" s="44" t="s">
        <v>36</v>
      </c>
      <c r="D40" s="44" t="s">
        <v>39</v>
      </c>
      <c r="E40" s="44" t="s">
        <v>25</v>
      </c>
      <c r="F40" s="44" t="s">
        <v>25</v>
      </c>
      <c r="G40" s="44" t="s">
        <v>25</v>
      </c>
      <c r="H40" s="44" t="s">
        <v>38</v>
      </c>
      <c r="I40" s="64">
        <v>44501</v>
      </c>
      <c r="J40" s="65">
        <f>EFEITO!$J$40*EFEITO!$Y$40</f>
        <v>0</v>
      </c>
      <c r="K40" s="65">
        <f ca="1">EFEITO!$L$40*EFEITO!$Z$40</f>
        <v>3008.9119376196941</v>
      </c>
      <c r="L40" s="65">
        <f>EFEITO!$N$40*EFEITO!$AA$40</f>
        <v>4092.5216906009659</v>
      </c>
      <c r="M40" s="65">
        <f>$J$40-EFEITO!$K$40*EFEITO!$Y$40</f>
        <v>0</v>
      </c>
      <c r="N40" s="65">
        <f ca="1">$K$40-EFEITO!$M$40*EFEITO!$Z$40</f>
        <v>0</v>
      </c>
      <c r="O40" s="65">
        <f>$L$40-EFEITO!$O$40*EFEITO!$AA$40</f>
        <v>0</v>
      </c>
      <c r="P40" s="48"/>
      <c r="Q40" s="48"/>
      <c r="R40" s="48"/>
      <c r="S40" s="48"/>
      <c r="T40" s="48"/>
      <c r="U40" s="48"/>
      <c r="V40" s="48"/>
      <c r="W40" s="48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ht="11.25" customHeight="1" x14ac:dyDescent="0.2">
      <c r="A41" s="44" t="s">
        <v>21</v>
      </c>
      <c r="B41" s="44" t="s">
        <v>35</v>
      </c>
      <c r="C41" s="44" t="s">
        <v>36</v>
      </c>
      <c r="D41" s="44" t="s">
        <v>39</v>
      </c>
      <c r="E41" s="44" t="s">
        <v>25</v>
      </c>
      <c r="F41" s="44" t="s">
        <v>25</v>
      </c>
      <c r="G41" s="44" t="s">
        <v>25</v>
      </c>
      <c r="H41" s="44" t="s">
        <v>38</v>
      </c>
      <c r="I41" s="64">
        <v>44531</v>
      </c>
      <c r="J41" s="65">
        <f>EFEITO!$J$41*EFEITO!$Y$41</f>
        <v>0</v>
      </c>
      <c r="K41" s="65">
        <f ca="1">EFEITO!$L$41*EFEITO!$Z$41</f>
        <v>2934.1259730841984</v>
      </c>
      <c r="L41" s="65">
        <f>EFEITO!$N$41*EFEITO!$AA$41</f>
        <v>3990.8028007300472</v>
      </c>
      <c r="M41" s="65">
        <f>$J$41-EFEITO!$K$41*EFEITO!$Y$41</f>
        <v>0</v>
      </c>
      <c r="N41" s="65">
        <f ca="1">$K$41-EFEITO!$M$41*EFEITO!$Z$41</f>
        <v>0</v>
      </c>
      <c r="O41" s="65">
        <f>$L$41-EFEITO!$O$41*EFEITO!$AA$41</f>
        <v>0</v>
      </c>
      <c r="P41" s="48"/>
      <c r="Q41" s="48"/>
      <c r="R41" s="48"/>
      <c r="S41" s="48"/>
      <c r="T41" s="48"/>
      <c r="U41" s="48"/>
      <c r="V41" s="48"/>
      <c r="W41" s="48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ht="11.25" customHeight="1" x14ac:dyDescent="0.2">
      <c r="A42" s="44" t="s">
        <v>21</v>
      </c>
      <c r="B42" s="44" t="s">
        <v>35</v>
      </c>
      <c r="C42" s="44" t="s">
        <v>36</v>
      </c>
      <c r="D42" s="44" t="s">
        <v>39</v>
      </c>
      <c r="E42" s="44" t="s">
        <v>25</v>
      </c>
      <c r="F42" s="44" t="s">
        <v>25</v>
      </c>
      <c r="G42" s="44" t="s">
        <v>25</v>
      </c>
      <c r="H42" s="44" t="s">
        <v>38</v>
      </c>
      <c r="I42" s="64">
        <v>44562</v>
      </c>
      <c r="J42" s="65">
        <f>EFEITO!$J$42*EFEITO!$Y$42</f>
        <v>0</v>
      </c>
      <c r="K42" s="65">
        <f ca="1">EFEITO!$L$42*EFEITO!$Z$42</f>
        <v>2494.8957220940197</v>
      </c>
      <c r="L42" s="65">
        <f>EFEITO!$N$42*EFEITO!$AA$42</f>
        <v>3393.3910563479781</v>
      </c>
      <c r="M42" s="65">
        <f>$J$42-EFEITO!$K$42*EFEITO!$Y$42</f>
        <v>0</v>
      </c>
      <c r="N42" s="65">
        <f ca="1">$K$42-EFEITO!$M$42*EFEITO!$Z$42</f>
        <v>0</v>
      </c>
      <c r="O42" s="65">
        <f>$L$42-EFEITO!$O$42*EFEITO!$AA$42</f>
        <v>0</v>
      </c>
      <c r="P42" s="48"/>
      <c r="Q42" s="48"/>
      <c r="R42" s="48"/>
      <c r="S42" s="48"/>
      <c r="T42" s="48"/>
      <c r="U42" s="48"/>
      <c r="V42" s="48"/>
      <c r="W42" s="48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ht="11.25" customHeight="1" x14ac:dyDescent="0.2">
      <c r="A43" s="44" t="s">
        <v>21</v>
      </c>
      <c r="B43" s="44" t="s">
        <v>35</v>
      </c>
      <c r="C43" s="44" t="s">
        <v>36</v>
      </c>
      <c r="D43" s="44" t="s">
        <v>39</v>
      </c>
      <c r="E43" s="44" t="s">
        <v>25</v>
      </c>
      <c r="F43" s="44" t="s">
        <v>25</v>
      </c>
      <c r="G43" s="44" t="s">
        <v>25</v>
      </c>
      <c r="H43" s="44" t="s">
        <v>38</v>
      </c>
      <c r="I43" s="64">
        <v>44593</v>
      </c>
      <c r="J43" s="65">
        <f>EFEITO!$J$43*EFEITO!$Y$43</f>
        <v>0</v>
      </c>
      <c r="K43" s="65">
        <f ca="1">EFEITO!$L$43*EFEITO!$Z$43</f>
        <v>2751.0052001094346</v>
      </c>
      <c r="L43" s="65">
        <f>EFEITO!$N$43*EFEITO!$AA$43</f>
        <v>3741.7341171208827</v>
      </c>
      <c r="M43" s="65">
        <f>$J$43-EFEITO!$K$43*EFEITO!$Y$43</f>
        <v>0</v>
      </c>
      <c r="N43" s="65">
        <f ca="1">$K$43-EFEITO!$M$43*EFEITO!$Z$43</f>
        <v>0</v>
      </c>
      <c r="O43" s="65">
        <f>$L$43-EFEITO!$O$43*EFEITO!$AA$43</f>
        <v>0</v>
      </c>
      <c r="P43" s="48"/>
      <c r="Q43" s="48"/>
      <c r="R43" s="48"/>
      <c r="S43" s="48"/>
      <c r="T43" s="48"/>
      <c r="U43" s="48"/>
      <c r="V43" s="48"/>
      <c r="W43" s="48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ht="11.25" customHeight="1" x14ac:dyDescent="0.2">
      <c r="A44" s="44" t="s">
        <v>21</v>
      </c>
      <c r="B44" s="44" t="s">
        <v>35</v>
      </c>
      <c r="C44" s="44" t="s">
        <v>36</v>
      </c>
      <c r="D44" s="44" t="s">
        <v>39</v>
      </c>
      <c r="E44" s="44" t="s">
        <v>25</v>
      </c>
      <c r="F44" s="44" t="s">
        <v>25</v>
      </c>
      <c r="G44" s="44" t="s">
        <v>25</v>
      </c>
      <c r="H44" s="44" t="s">
        <v>38</v>
      </c>
      <c r="I44" s="64">
        <v>44621</v>
      </c>
      <c r="J44" s="65">
        <f>EFEITO!$J$44*EFEITO!$Y$44</f>
        <v>0</v>
      </c>
      <c r="K44" s="65">
        <f ca="1">EFEITO!$L$44*EFEITO!$Z$44</f>
        <v>3235.5663294695928</v>
      </c>
      <c r="L44" s="65">
        <f>EFEITO!$N$44*EFEITO!$AA$44</f>
        <v>4400.8019042284486</v>
      </c>
      <c r="M44" s="65">
        <f>$J$44-EFEITO!$K$44*EFEITO!$Y$44</f>
        <v>0</v>
      </c>
      <c r="N44" s="65">
        <f ca="1">$K$44-EFEITO!$M$44*EFEITO!$Z$44</f>
        <v>0</v>
      </c>
      <c r="O44" s="65">
        <f>$L$44-EFEITO!$O$44*EFEITO!$AA$44</f>
        <v>0</v>
      </c>
      <c r="P44" s="48"/>
      <c r="Q44" s="48"/>
      <c r="R44" s="48"/>
      <c r="S44" s="48"/>
      <c r="T44" s="48"/>
      <c r="U44" s="48"/>
      <c r="V44" s="48"/>
      <c r="W44" s="48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ht="11.25" customHeight="1" x14ac:dyDescent="0.2">
      <c r="A45" s="44" t="s">
        <v>21</v>
      </c>
      <c r="B45" s="44" t="s">
        <v>35</v>
      </c>
      <c r="C45" s="44" t="s">
        <v>36</v>
      </c>
      <c r="D45" s="44" t="s">
        <v>39</v>
      </c>
      <c r="E45" s="44" t="s">
        <v>25</v>
      </c>
      <c r="F45" s="44" t="s">
        <v>25</v>
      </c>
      <c r="G45" s="44" t="s">
        <v>25</v>
      </c>
      <c r="H45" s="44" t="s">
        <v>38</v>
      </c>
      <c r="I45" s="64">
        <v>44652</v>
      </c>
      <c r="J45" s="65">
        <f>EFEITO!$J$45*EFEITO!$Y$45</f>
        <v>0</v>
      </c>
      <c r="K45" s="65">
        <f ca="1">EFEITO!$L$45*EFEITO!$Z$45</f>
        <v>3106.163645840752</v>
      </c>
      <c r="L45" s="65">
        <f>EFEITO!$N$45*EFEITO!$AA$45</f>
        <v>4224.7969893116124</v>
      </c>
      <c r="M45" s="65">
        <f>$J$45-EFEITO!$K$45*EFEITO!$Y$45</f>
        <v>0</v>
      </c>
      <c r="N45" s="65">
        <f ca="1">$K$45-EFEITO!$M$45*EFEITO!$Z$45</f>
        <v>0</v>
      </c>
      <c r="O45" s="65">
        <f>$L$45-EFEITO!$O$45*EFEITO!$AA$45</f>
        <v>0</v>
      </c>
      <c r="P45" s="48"/>
      <c r="Q45" s="48"/>
      <c r="R45" s="48"/>
      <c r="S45" s="48"/>
      <c r="T45" s="48"/>
      <c r="U45" s="48"/>
      <c r="V45" s="48"/>
      <c r="W45" s="48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ht="11.25" customHeight="1" x14ac:dyDescent="0.2">
      <c r="A46" s="44" t="s">
        <v>21</v>
      </c>
      <c r="B46" s="44" t="s">
        <v>35</v>
      </c>
      <c r="C46" s="44" t="s">
        <v>36</v>
      </c>
      <c r="D46" s="44" t="s">
        <v>39</v>
      </c>
      <c r="E46" s="44" t="s">
        <v>25</v>
      </c>
      <c r="F46" s="44" t="s">
        <v>25</v>
      </c>
      <c r="G46" s="44" t="s">
        <v>25</v>
      </c>
      <c r="H46" s="44" t="s">
        <v>38</v>
      </c>
      <c r="I46" s="64">
        <v>44682</v>
      </c>
      <c r="J46" s="65">
        <f>EFEITO!$J$46*EFEITO!$Y$46</f>
        <v>0</v>
      </c>
      <c r="K46" s="65">
        <f ca="1">EFEITO!$L$46*EFEITO!$Z$46</f>
        <v>3452.8350328464126</v>
      </c>
      <c r="L46" s="65">
        <f>EFEITO!$N$46*EFEITO!$AA$46</f>
        <v>4696.316329274001</v>
      </c>
      <c r="M46" s="65">
        <f>$J$46-EFEITO!$K$46*EFEITO!$Y$46</f>
        <v>0</v>
      </c>
      <c r="N46" s="65">
        <f ca="1">$K$46-EFEITO!$M$46*EFEITO!$Z$46</f>
        <v>0</v>
      </c>
      <c r="O46" s="65">
        <f>$L$46-EFEITO!$O$46*EFEITO!$AA$46</f>
        <v>0</v>
      </c>
      <c r="P46" s="48"/>
      <c r="Q46" s="48"/>
      <c r="R46" s="48"/>
      <c r="S46" s="48"/>
      <c r="T46" s="48"/>
      <c r="U46" s="48"/>
      <c r="V46" s="48"/>
      <c r="W46" s="48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ht="11.25" customHeight="1" x14ac:dyDescent="0.2">
      <c r="A47" s="44" t="s">
        <v>21</v>
      </c>
      <c r="B47" s="44" t="s">
        <v>35</v>
      </c>
      <c r="C47" s="44" t="s">
        <v>36</v>
      </c>
      <c r="D47" s="44" t="s">
        <v>39</v>
      </c>
      <c r="E47" s="44" t="s">
        <v>25</v>
      </c>
      <c r="F47" s="44" t="s">
        <v>25</v>
      </c>
      <c r="G47" s="44" t="s">
        <v>25</v>
      </c>
      <c r="H47" s="44" t="s">
        <v>38</v>
      </c>
      <c r="I47" s="64">
        <v>44713</v>
      </c>
      <c r="J47" s="65">
        <f>EFEITO!$J$47*EFEITO!$Y$47</f>
        <v>0</v>
      </c>
      <c r="K47" s="65">
        <f ca="1">EFEITO!$L$47*EFEITO!$Z$47</f>
        <v>3473.9029080359846</v>
      </c>
      <c r="L47" s="65">
        <f>EFEITO!$N$47*EFEITO!$AA$47</f>
        <v>4724.97145045259</v>
      </c>
      <c r="M47" s="65">
        <f>$J$47-EFEITO!$K$47*EFEITO!$Y$47</f>
        <v>0</v>
      </c>
      <c r="N47" s="65">
        <f ca="1">$K$47-EFEITO!$M$47*EFEITO!$Z$47</f>
        <v>0</v>
      </c>
      <c r="O47" s="65">
        <f>$L$47-EFEITO!$O$47*EFEITO!$AA$47</f>
        <v>0</v>
      </c>
      <c r="P47" s="48"/>
      <c r="Q47" s="48"/>
      <c r="R47" s="48"/>
      <c r="S47" s="48"/>
      <c r="T47" s="48"/>
      <c r="U47" s="48"/>
      <c r="V47" s="48"/>
      <c r="W47" s="48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ht="11.25" customHeight="1" x14ac:dyDescent="0.2">
      <c r="A48" s="44" t="s">
        <v>21</v>
      </c>
      <c r="B48" s="44" t="s">
        <v>35</v>
      </c>
      <c r="C48" s="44" t="s">
        <v>36</v>
      </c>
      <c r="D48" s="44" t="s">
        <v>39</v>
      </c>
      <c r="E48" s="44" t="s">
        <v>25</v>
      </c>
      <c r="F48" s="44" t="s">
        <v>25</v>
      </c>
      <c r="G48" s="44" t="s">
        <v>25</v>
      </c>
      <c r="H48" s="44" t="s">
        <v>38</v>
      </c>
      <c r="I48" s="64">
        <v>44743</v>
      </c>
      <c r="J48" s="65">
        <f>EFEITO!$J$48*EFEITO!$Y$48</f>
        <v>0</v>
      </c>
      <c r="K48" s="65">
        <f ca="1">EFEITO!$L$48*EFEITO!$Z$48</f>
        <v>4129.5032326555593</v>
      </c>
      <c r="L48" s="65">
        <f>EFEITO!$N$48*EFEITO!$AA$48</f>
        <v>5616.6753635266214</v>
      </c>
      <c r="M48" s="65">
        <f>$J$48-EFEITO!$K$48*EFEITO!$Y$48</f>
        <v>0</v>
      </c>
      <c r="N48" s="65">
        <f ca="1">$K$48-EFEITO!$M$48*EFEITO!$Z$48</f>
        <v>0</v>
      </c>
      <c r="O48" s="65">
        <f>$L$48-EFEITO!$O$48*EFEITO!$AA$48</f>
        <v>0</v>
      </c>
      <c r="P48" s="48"/>
      <c r="Q48" s="48"/>
      <c r="R48" s="48"/>
      <c r="S48" s="48"/>
      <c r="T48" s="48"/>
      <c r="U48" s="48"/>
      <c r="V48" s="48"/>
      <c r="W48" s="48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ht="11.25" customHeight="1" x14ac:dyDescent="0.2">
      <c r="A49" s="44" t="s">
        <v>21</v>
      </c>
      <c r="B49" s="44" t="s">
        <v>35</v>
      </c>
      <c r="C49" s="44" t="s">
        <v>36</v>
      </c>
      <c r="D49" s="44" t="s">
        <v>39</v>
      </c>
      <c r="E49" s="44" t="s">
        <v>25</v>
      </c>
      <c r="F49" s="44" t="s">
        <v>25</v>
      </c>
      <c r="G49" s="44" t="s">
        <v>25</v>
      </c>
      <c r="H49" s="44" t="s">
        <v>38</v>
      </c>
      <c r="I49" s="64">
        <v>44774</v>
      </c>
      <c r="J49" s="65">
        <f>EFEITO!$J$49*EFEITO!$Y$49</f>
        <v>0</v>
      </c>
      <c r="K49" s="65">
        <f ca="1">EFEITO!$L$49*EFEITO!$Z$49</f>
        <v>3344.0009856585752</v>
      </c>
      <c r="L49" s="65">
        <f>EFEITO!$N$49*EFEITO!$AA$49</f>
        <v>4548.2875042282049</v>
      </c>
      <c r="M49" s="65">
        <f>$J$49-EFEITO!$K$49*EFEITO!$Y$49</f>
        <v>0</v>
      </c>
      <c r="N49" s="65">
        <f ca="1">$K$49-EFEITO!$M$49*EFEITO!$Z$49</f>
        <v>0</v>
      </c>
      <c r="O49" s="65">
        <f>$L$49-EFEITO!$O$49*EFEITO!$AA$49</f>
        <v>0</v>
      </c>
      <c r="P49" s="48"/>
      <c r="Q49" s="48"/>
      <c r="R49" s="48"/>
      <c r="S49" s="48"/>
      <c r="T49" s="48"/>
      <c r="U49" s="48"/>
      <c r="V49" s="48"/>
      <c r="W49" s="48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ht="11.25" customHeight="1" x14ac:dyDescent="0.2">
      <c r="A50" s="44" t="s">
        <v>21</v>
      </c>
      <c r="B50" s="44" t="s">
        <v>35</v>
      </c>
      <c r="C50" s="44" t="s">
        <v>36</v>
      </c>
      <c r="D50" s="44" t="s">
        <v>39</v>
      </c>
      <c r="E50" s="44" t="s">
        <v>25</v>
      </c>
      <c r="F50" s="44" t="s">
        <v>25</v>
      </c>
      <c r="G50" s="44" t="s">
        <v>25</v>
      </c>
      <c r="H50" s="44" t="s">
        <v>25</v>
      </c>
      <c r="I50" s="64">
        <v>44440</v>
      </c>
      <c r="J50" s="65">
        <f ca="1">EFEITO!$J$50*EFEITO!$Y$50</f>
        <v>6624.8670264960147</v>
      </c>
      <c r="K50" s="65">
        <f>EFEITO!$L$50*EFEITO!$Z$50</f>
        <v>0</v>
      </c>
      <c r="L50" s="65">
        <f>EFEITO!$N$50*EFEITO!$AA$50</f>
        <v>0</v>
      </c>
      <c r="M50" s="65">
        <f ca="1">$J$50-EFEITO!$K$50*EFEITO!$Y$50</f>
        <v>0</v>
      </c>
      <c r="N50" s="65">
        <f>$K$50-EFEITO!$M$50*EFEITO!$Z$50</f>
        <v>0</v>
      </c>
      <c r="O50" s="65">
        <f>$L$50-EFEITO!$O$50*EFEITO!$AA$50</f>
        <v>0</v>
      </c>
      <c r="P50" s="48"/>
      <c r="Q50" s="48"/>
      <c r="R50" s="48"/>
      <c r="S50" s="48"/>
      <c r="T50" s="48"/>
      <c r="U50" s="48"/>
      <c r="V50" s="48"/>
      <c r="W50" s="48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ht="11.25" customHeight="1" x14ac:dyDescent="0.2">
      <c r="A51" s="44" t="s">
        <v>21</v>
      </c>
      <c r="B51" s="44" t="s">
        <v>35</v>
      </c>
      <c r="C51" s="44" t="s">
        <v>36</v>
      </c>
      <c r="D51" s="44" t="s">
        <v>39</v>
      </c>
      <c r="E51" s="44" t="s">
        <v>25</v>
      </c>
      <c r="F51" s="44" t="s">
        <v>25</v>
      </c>
      <c r="G51" s="44" t="s">
        <v>25</v>
      </c>
      <c r="H51" s="44" t="s">
        <v>25</v>
      </c>
      <c r="I51" s="64">
        <v>44470</v>
      </c>
      <c r="J51" s="65">
        <f ca="1">EFEITO!$J$51*EFEITO!$Y$51</f>
        <v>7556.8825397292949</v>
      </c>
      <c r="K51" s="65">
        <f>EFEITO!$L$51*EFEITO!$Z$51</f>
        <v>0</v>
      </c>
      <c r="L51" s="65">
        <f>EFEITO!$N$51*EFEITO!$AA$51</f>
        <v>0</v>
      </c>
      <c r="M51" s="65">
        <f ca="1">$J$51-EFEITO!$K$51*EFEITO!$Y$51</f>
        <v>0</v>
      </c>
      <c r="N51" s="65">
        <f>$K$51-EFEITO!$M$51*EFEITO!$Z$51</f>
        <v>0</v>
      </c>
      <c r="O51" s="65">
        <f>$L$51-EFEITO!$O$51*EFEITO!$AA$51</f>
        <v>0</v>
      </c>
      <c r="P51" s="48"/>
      <c r="Q51" s="48"/>
      <c r="R51" s="48"/>
      <c r="S51" s="48"/>
      <c r="T51" s="48"/>
      <c r="U51" s="48"/>
      <c r="V51" s="48"/>
      <c r="W51" s="48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ht="11.25" customHeight="1" x14ac:dyDescent="0.2">
      <c r="A52" s="44" t="s">
        <v>21</v>
      </c>
      <c r="B52" s="44" t="s">
        <v>35</v>
      </c>
      <c r="C52" s="44" t="s">
        <v>36</v>
      </c>
      <c r="D52" s="44" t="s">
        <v>39</v>
      </c>
      <c r="E52" s="44" t="s">
        <v>25</v>
      </c>
      <c r="F52" s="44" t="s">
        <v>25</v>
      </c>
      <c r="G52" s="44" t="s">
        <v>25</v>
      </c>
      <c r="H52" s="44" t="s">
        <v>25</v>
      </c>
      <c r="I52" s="64">
        <v>44501</v>
      </c>
      <c r="J52" s="65">
        <f ca="1">EFEITO!$J$52*EFEITO!$Y$52</f>
        <v>7808.7786243869377</v>
      </c>
      <c r="K52" s="65">
        <f>EFEITO!$L$52*EFEITO!$Z$52</f>
        <v>0</v>
      </c>
      <c r="L52" s="65">
        <f>EFEITO!$N$52*EFEITO!$AA$52</f>
        <v>0</v>
      </c>
      <c r="M52" s="65">
        <f ca="1">$J$52-EFEITO!$K$52*EFEITO!$Y$52</f>
        <v>0</v>
      </c>
      <c r="N52" s="65">
        <f>$K$52-EFEITO!$M$52*EFEITO!$Z$52</f>
        <v>0</v>
      </c>
      <c r="O52" s="65">
        <f>$L$52-EFEITO!$O$52*EFEITO!$AA$52</f>
        <v>0</v>
      </c>
      <c r="P52" s="48"/>
      <c r="Q52" s="48"/>
      <c r="R52" s="48"/>
      <c r="S52" s="48"/>
      <c r="T52" s="48"/>
      <c r="U52" s="48"/>
      <c r="V52" s="48"/>
      <c r="W52" s="48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ht="11.25" customHeight="1" x14ac:dyDescent="0.2">
      <c r="A53" s="44" t="s">
        <v>21</v>
      </c>
      <c r="B53" s="44" t="s">
        <v>35</v>
      </c>
      <c r="C53" s="44" t="s">
        <v>36</v>
      </c>
      <c r="D53" s="44" t="s">
        <v>39</v>
      </c>
      <c r="E53" s="44" t="s">
        <v>25</v>
      </c>
      <c r="F53" s="44" t="s">
        <v>25</v>
      </c>
      <c r="G53" s="44" t="s">
        <v>25</v>
      </c>
      <c r="H53" s="44" t="s">
        <v>25</v>
      </c>
      <c r="I53" s="64">
        <v>44531</v>
      </c>
      <c r="J53" s="65">
        <f ca="1">EFEITO!$J$53*EFEITO!$Y$53</f>
        <v>8060.6747090445806</v>
      </c>
      <c r="K53" s="65">
        <f>EFEITO!$L$53*EFEITO!$Z$53</f>
        <v>0</v>
      </c>
      <c r="L53" s="65">
        <f>EFEITO!$N$53*EFEITO!$AA$53</f>
        <v>0</v>
      </c>
      <c r="M53" s="65">
        <f ca="1">$J$53-EFEITO!$K$53*EFEITO!$Y$53</f>
        <v>0</v>
      </c>
      <c r="N53" s="65">
        <f>$K$53-EFEITO!$M$53*EFEITO!$Z$53</f>
        <v>0</v>
      </c>
      <c r="O53" s="65">
        <f>$L$53-EFEITO!$O$53*EFEITO!$AA$53</f>
        <v>0</v>
      </c>
      <c r="P53" s="48"/>
      <c r="Q53" s="48"/>
      <c r="R53" s="48"/>
      <c r="S53" s="48"/>
      <c r="T53" s="48"/>
      <c r="U53" s="48"/>
      <c r="V53" s="48"/>
      <c r="W53" s="48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ht="11.25" customHeight="1" x14ac:dyDescent="0.2">
      <c r="A54" s="44" t="s">
        <v>21</v>
      </c>
      <c r="B54" s="44" t="s">
        <v>35</v>
      </c>
      <c r="C54" s="44" t="s">
        <v>36</v>
      </c>
      <c r="D54" s="44" t="s">
        <v>39</v>
      </c>
      <c r="E54" s="44" t="s">
        <v>25</v>
      </c>
      <c r="F54" s="44" t="s">
        <v>25</v>
      </c>
      <c r="G54" s="44" t="s">
        <v>25</v>
      </c>
      <c r="H54" s="44" t="s">
        <v>25</v>
      </c>
      <c r="I54" s="64">
        <v>44562</v>
      </c>
      <c r="J54" s="65">
        <f ca="1">EFEITO!$J$54*EFEITO!$Y$54</f>
        <v>7884.3474497842308</v>
      </c>
      <c r="K54" s="65">
        <f>EFEITO!$L$54*EFEITO!$Z$54</f>
        <v>0</v>
      </c>
      <c r="L54" s="65">
        <f>EFEITO!$N$54*EFEITO!$AA$54</f>
        <v>0</v>
      </c>
      <c r="M54" s="65">
        <f ca="1">$J$54-EFEITO!$K$54*EFEITO!$Y$54</f>
        <v>0</v>
      </c>
      <c r="N54" s="65">
        <f>$K$54-EFEITO!$M$54*EFEITO!$Z$54</f>
        <v>0</v>
      </c>
      <c r="O54" s="65">
        <f>$L$54-EFEITO!$O$54*EFEITO!$AA$54</f>
        <v>0</v>
      </c>
      <c r="P54" s="48"/>
      <c r="Q54" s="48"/>
      <c r="R54" s="48"/>
      <c r="S54" s="48"/>
      <c r="T54" s="48"/>
      <c r="U54" s="48"/>
      <c r="V54" s="48"/>
      <c r="W54" s="48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1:36" ht="11.25" customHeight="1" x14ac:dyDescent="0.2">
      <c r="A55" s="44" t="s">
        <v>21</v>
      </c>
      <c r="B55" s="44" t="s">
        <v>35</v>
      </c>
      <c r="C55" s="44" t="s">
        <v>36</v>
      </c>
      <c r="D55" s="44" t="s">
        <v>39</v>
      </c>
      <c r="E55" s="44" t="s">
        <v>25</v>
      </c>
      <c r="F55" s="44" t="s">
        <v>25</v>
      </c>
      <c r="G55" s="44" t="s">
        <v>25</v>
      </c>
      <c r="H55" s="44" t="s">
        <v>25</v>
      </c>
      <c r="I55" s="64">
        <v>44593</v>
      </c>
      <c r="J55" s="65">
        <f ca="1">EFEITO!$J$55*EFEITO!$Y$55</f>
        <v>8085.8643175103452</v>
      </c>
      <c r="K55" s="65">
        <f>EFEITO!$L$55*EFEITO!$Z$55</f>
        <v>0</v>
      </c>
      <c r="L55" s="65">
        <f>EFEITO!$N$55*EFEITO!$AA$55</f>
        <v>0</v>
      </c>
      <c r="M55" s="65">
        <f ca="1">$J$55-EFEITO!$K$55*EFEITO!$Y$55</f>
        <v>0</v>
      </c>
      <c r="N55" s="65">
        <f>$K$55-EFEITO!$M$55*EFEITO!$Z$55</f>
        <v>0</v>
      </c>
      <c r="O55" s="65">
        <f>$L$55-EFEITO!$O$55*EFEITO!$AA$55</f>
        <v>0</v>
      </c>
      <c r="P55" s="48"/>
      <c r="Q55" s="48"/>
      <c r="R55" s="48"/>
      <c r="S55" s="48"/>
      <c r="T55" s="48"/>
      <c r="U55" s="48"/>
      <c r="V55" s="48"/>
      <c r="W55" s="48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1:36" ht="11.25" customHeight="1" x14ac:dyDescent="0.2">
      <c r="A56" s="44" t="s">
        <v>21</v>
      </c>
      <c r="B56" s="44" t="s">
        <v>35</v>
      </c>
      <c r="C56" s="44" t="s">
        <v>36</v>
      </c>
      <c r="D56" s="44" t="s">
        <v>39</v>
      </c>
      <c r="E56" s="44" t="s">
        <v>25</v>
      </c>
      <c r="F56" s="44" t="s">
        <v>25</v>
      </c>
      <c r="G56" s="44" t="s">
        <v>25</v>
      </c>
      <c r="H56" s="44" t="s">
        <v>25</v>
      </c>
      <c r="I56" s="64">
        <v>44621</v>
      </c>
      <c r="J56" s="65">
        <f ca="1">EFEITO!$J$56*EFEITO!$Y$56</f>
        <v>8211.8123598391667</v>
      </c>
      <c r="K56" s="65">
        <f>EFEITO!$L$56*EFEITO!$Z$56</f>
        <v>0</v>
      </c>
      <c r="L56" s="65">
        <f>EFEITO!$N$56*EFEITO!$AA$56</f>
        <v>0</v>
      </c>
      <c r="M56" s="65">
        <f ca="1">$J$56-EFEITO!$K$56*EFEITO!$Y$56</f>
        <v>0</v>
      </c>
      <c r="N56" s="65">
        <f>$K$56-EFEITO!$M$56*EFEITO!$Z$56</f>
        <v>0</v>
      </c>
      <c r="O56" s="65">
        <f>$L$56-EFEITO!$O$56*EFEITO!$AA$56</f>
        <v>0</v>
      </c>
      <c r="P56" s="48"/>
      <c r="Q56" s="48"/>
      <c r="R56" s="48"/>
      <c r="S56" s="48"/>
      <c r="T56" s="48"/>
      <c r="U56" s="48"/>
      <c r="V56" s="48"/>
      <c r="W56" s="48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36" ht="11.25" customHeight="1" x14ac:dyDescent="0.2">
      <c r="A57" s="44" t="s">
        <v>21</v>
      </c>
      <c r="B57" s="44" t="s">
        <v>35</v>
      </c>
      <c r="C57" s="44" t="s">
        <v>36</v>
      </c>
      <c r="D57" s="44" t="s">
        <v>39</v>
      </c>
      <c r="E57" s="44" t="s">
        <v>25</v>
      </c>
      <c r="F57" s="44" t="s">
        <v>25</v>
      </c>
      <c r="G57" s="44" t="s">
        <v>25</v>
      </c>
      <c r="H57" s="44" t="s">
        <v>25</v>
      </c>
      <c r="I57" s="64">
        <v>44652</v>
      </c>
      <c r="J57" s="65">
        <f ca="1">EFEITO!$J$57*EFEITO!$Y$57</f>
        <v>7909.5370582499954</v>
      </c>
      <c r="K57" s="65">
        <f>EFEITO!$L$57*EFEITO!$Z$57</f>
        <v>0</v>
      </c>
      <c r="L57" s="65">
        <f>EFEITO!$N$57*EFEITO!$AA$57</f>
        <v>0</v>
      </c>
      <c r="M57" s="65">
        <f ca="1">$J$57-EFEITO!$K$57*EFEITO!$Y$57</f>
        <v>0</v>
      </c>
      <c r="N57" s="65">
        <f>$K$57-EFEITO!$M$57*EFEITO!$Z$57</f>
        <v>0</v>
      </c>
      <c r="O57" s="65">
        <f>$L$57-EFEITO!$O$57*EFEITO!$AA$57</f>
        <v>0</v>
      </c>
      <c r="P57" s="48"/>
      <c r="Q57" s="48"/>
      <c r="R57" s="48"/>
      <c r="S57" s="48"/>
      <c r="T57" s="48"/>
      <c r="U57" s="48"/>
      <c r="V57" s="48"/>
      <c r="W57" s="48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 ht="11.25" customHeight="1" x14ac:dyDescent="0.2">
      <c r="A58" s="44" t="s">
        <v>21</v>
      </c>
      <c r="B58" s="44" t="s">
        <v>35</v>
      </c>
      <c r="C58" s="44" t="s">
        <v>36</v>
      </c>
      <c r="D58" s="44" t="s">
        <v>39</v>
      </c>
      <c r="E58" s="44" t="s">
        <v>25</v>
      </c>
      <c r="F58" s="44" t="s">
        <v>25</v>
      </c>
      <c r="G58" s="44" t="s">
        <v>25</v>
      </c>
      <c r="H58" s="44" t="s">
        <v>25</v>
      </c>
      <c r="I58" s="64">
        <v>44682</v>
      </c>
      <c r="J58" s="65">
        <f ca="1">EFEITO!$J$58*EFEITO!$Y$58</f>
        <v>8438.5188360310458</v>
      </c>
      <c r="K58" s="65">
        <f>EFEITO!$L$58*EFEITO!$Z$58</f>
        <v>0</v>
      </c>
      <c r="L58" s="65">
        <f>EFEITO!$N$58*EFEITO!$AA$58</f>
        <v>0</v>
      </c>
      <c r="M58" s="65">
        <f ca="1">$J$58-EFEITO!$K$58*EFEITO!$Y$58</f>
        <v>0</v>
      </c>
      <c r="N58" s="65">
        <f>$K$58-EFEITO!$M$58*EFEITO!$Z$58</f>
        <v>0</v>
      </c>
      <c r="O58" s="65">
        <f>$L$58-EFEITO!$O$58*EFEITO!$AA$58</f>
        <v>0</v>
      </c>
      <c r="P58" s="48"/>
      <c r="Q58" s="48"/>
      <c r="R58" s="48"/>
      <c r="S58" s="48"/>
      <c r="T58" s="48"/>
      <c r="U58" s="48"/>
      <c r="V58" s="48"/>
      <c r="W58" s="48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spans="1:36" ht="11.25" customHeight="1" x14ac:dyDescent="0.2">
      <c r="A59" s="44" t="s">
        <v>21</v>
      </c>
      <c r="B59" s="44" t="s">
        <v>35</v>
      </c>
      <c r="C59" s="44" t="s">
        <v>36</v>
      </c>
      <c r="D59" s="44" t="s">
        <v>39</v>
      </c>
      <c r="E59" s="44" t="s">
        <v>25</v>
      </c>
      <c r="F59" s="44" t="s">
        <v>25</v>
      </c>
      <c r="G59" s="44" t="s">
        <v>25</v>
      </c>
      <c r="H59" s="44" t="s">
        <v>25</v>
      </c>
      <c r="I59" s="64">
        <v>44713</v>
      </c>
      <c r="J59" s="65">
        <f ca="1">EFEITO!$J$59*EFEITO!$Y$59</f>
        <v>8211.8123598391667</v>
      </c>
      <c r="K59" s="65">
        <f>EFEITO!$L$59*EFEITO!$Z$59</f>
        <v>0</v>
      </c>
      <c r="L59" s="65">
        <f>EFEITO!$N$59*EFEITO!$AA$59</f>
        <v>0</v>
      </c>
      <c r="M59" s="65">
        <f ca="1">$J$59-EFEITO!$K$59*EFEITO!$Y$59</f>
        <v>0</v>
      </c>
      <c r="N59" s="65">
        <f>$K$59-EFEITO!$M$59*EFEITO!$Z$59</f>
        <v>0</v>
      </c>
      <c r="O59" s="65">
        <f>$L$59-EFEITO!$O$59*EFEITO!$AA$59</f>
        <v>0</v>
      </c>
      <c r="P59" s="48"/>
      <c r="Q59" s="48"/>
      <c r="R59" s="48"/>
      <c r="S59" s="48"/>
      <c r="T59" s="48"/>
      <c r="U59" s="48"/>
      <c r="V59" s="48"/>
      <c r="W59" s="48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36" ht="11.25" customHeight="1" x14ac:dyDescent="0.2">
      <c r="A60" s="44" t="s">
        <v>21</v>
      </c>
      <c r="B60" s="44" t="s">
        <v>35</v>
      </c>
      <c r="C60" s="44" t="s">
        <v>36</v>
      </c>
      <c r="D60" s="44" t="s">
        <v>39</v>
      </c>
      <c r="E60" s="44" t="s">
        <v>25</v>
      </c>
      <c r="F60" s="44" t="s">
        <v>25</v>
      </c>
      <c r="G60" s="44" t="s">
        <v>25</v>
      </c>
      <c r="H60" s="44" t="s">
        <v>25</v>
      </c>
      <c r="I60" s="64">
        <v>44743</v>
      </c>
      <c r="J60" s="65">
        <f ca="1">EFEITO!$J$60*EFEITO!$Y$60</f>
        <v>9043.0694392093901</v>
      </c>
      <c r="K60" s="65">
        <f>EFEITO!$L$60*EFEITO!$Z$60</f>
        <v>0</v>
      </c>
      <c r="L60" s="65">
        <f>EFEITO!$N$60*EFEITO!$AA$60</f>
        <v>0</v>
      </c>
      <c r="M60" s="65">
        <f ca="1">$J$60-EFEITO!$K$60*EFEITO!$Y$60</f>
        <v>0</v>
      </c>
      <c r="N60" s="65">
        <f>$K$60-EFEITO!$M$60*EFEITO!$Z$60</f>
        <v>0</v>
      </c>
      <c r="O60" s="65">
        <f>$L$60-EFEITO!$O$60*EFEITO!$AA$60</f>
        <v>0</v>
      </c>
      <c r="P60" s="48"/>
      <c r="Q60" s="48"/>
      <c r="R60" s="48"/>
      <c r="S60" s="48"/>
      <c r="T60" s="48"/>
      <c r="U60" s="48"/>
      <c r="V60" s="48"/>
      <c r="W60" s="48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spans="1:36" ht="11.25" customHeight="1" x14ac:dyDescent="0.2">
      <c r="A61" s="44" t="s">
        <v>21</v>
      </c>
      <c r="B61" s="44" t="s">
        <v>35</v>
      </c>
      <c r="C61" s="44" t="s">
        <v>36</v>
      </c>
      <c r="D61" s="44" t="s">
        <v>39</v>
      </c>
      <c r="E61" s="44" t="s">
        <v>25</v>
      </c>
      <c r="F61" s="44" t="s">
        <v>25</v>
      </c>
      <c r="G61" s="44" t="s">
        <v>25</v>
      </c>
      <c r="H61" s="44" t="s">
        <v>25</v>
      </c>
      <c r="I61" s="64">
        <v>44774</v>
      </c>
      <c r="J61" s="65">
        <f ca="1">EFEITO!$J$61*EFEITO!$Y$61</f>
        <v>8967.5006138120971</v>
      </c>
      <c r="K61" s="65">
        <f>EFEITO!$L$61*EFEITO!$Z$61</f>
        <v>0</v>
      </c>
      <c r="L61" s="65">
        <f>EFEITO!$N$61*EFEITO!$AA$61</f>
        <v>0</v>
      </c>
      <c r="M61" s="65">
        <f ca="1">$J$61-EFEITO!$K$61*EFEITO!$Y$61</f>
        <v>0</v>
      </c>
      <c r="N61" s="65">
        <f>$K$61-EFEITO!$M$61*EFEITO!$Z$61</f>
        <v>0</v>
      </c>
      <c r="O61" s="65">
        <f>$L$61-EFEITO!$O$61*EFEITO!$AA$61</f>
        <v>0</v>
      </c>
      <c r="P61" s="48"/>
      <c r="Q61" s="48"/>
      <c r="R61" s="48"/>
      <c r="S61" s="48"/>
      <c r="T61" s="48"/>
      <c r="U61" s="48"/>
      <c r="V61" s="48"/>
      <c r="W61" s="48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spans="1:36" ht="11.25" customHeight="1" x14ac:dyDescent="0.2">
      <c r="A62" s="44" t="s">
        <v>21</v>
      </c>
      <c r="B62" s="44" t="s">
        <v>35</v>
      </c>
      <c r="C62" s="44" t="s">
        <v>36</v>
      </c>
      <c r="D62" s="44" t="s">
        <v>39</v>
      </c>
      <c r="E62" s="44" t="s">
        <v>25</v>
      </c>
      <c r="F62" s="44" t="s">
        <v>25</v>
      </c>
      <c r="G62" s="44" t="s">
        <v>25</v>
      </c>
      <c r="H62" s="44" t="s">
        <v>37</v>
      </c>
      <c r="I62" s="64">
        <v>44440</v>
      </c>
      <c r="J62" s="65">
        <f>EFEITO!$J$62*EFEITO!$Y$62</f>
        <v>0</v>
      </c>
      <c r="K62" s="65">
        <f ca="1">EFEITO!$L$62*EFEITO!$Z$62</f>
        <v>4091.3477598299442</v>
      </c>
      <c r="L62" s="65">
        <f>EFEITO!$N$62*EFEITO!$AA$62</f>
        <v>287.63766187797728</v>
      </c>
      <c r="M62" s="65">
        <f>$J$62-EFEITO!$K$62*EFEITO!$Y$62</f>
        <v>0</v>
      </c>
      <c r="N62" s="65">
        <f ca="1">$K$62-EFEITO!$M$62*EFEITO!$Z$62</f>
        <v>0</v>
      </c>
      <c r="O62" s="65">
        <f>$L$62-EFEITO!$O$62*EFEITO!$AA$62</f>
        <v>0</v>
      </c>
      <c r="P62" s="48"/>
      <c r="Q62" s="48"/>
      <c r="R62" s="48"/>
      <c r="S62" s="48"/>
      <c r="T62" s="48"/>
      <c r="U62" s="48"/>
      <c r="V62" s="48"/>
      <c r="W62" s="48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 ht="11.25" customHeight="1" x14ac:dyDescent="0.2">
      <c r="A63" s="44" t="s">
        <v>21</v>
      </c>
      <c r="B63" s="44" t="s">
        <v>35</v>
      </c>
      <c r="C63" s="44" t="s">
        <v>36</v>
      </c>
      <c r="D63" s="44" t="s">
        <v>39</v>
      </c>
      <c r="E63" s="44" t="s">
        <v>25</v>
      </c>
      <c r="F63" s="44" t="s">
        <v>25</v>
      </c>
      <c r="G63" s="44" t="s">
        <v>25</v>
      </c>
      <c r="H63" s="44" t="s">
        <v>37</v>
      </c>
      <c r="I63" s="64">
        <v>44470</v>
      </c>
      <c r="J63" s="65">
        <f>EFEITO!$J$63*EFEITO!$Y$63</f>
        <v>0</v>
      </c>
      <c r="K63" s="65">
        <f ca="1">EFEITO!$L$63*EFEITO!$Z$63</f>
        <v>4483.4835460648264</v>
      </c>
      <c r="L63" s="65">
        <f>EFEITO!$N$63*EFEITO!$AA$63</f>
        <v>315.2063329644879</v>
      </c>
      <c r="M63" s="65">
        <f>$J$63-EFEITO!$K$63*EFEITO!$Y$63</f>
        <v>0</v>
      </c>
      <c r="N63" s="65">
        <f ca="1">$K$63-EFEITO!$M$63*EFEITO!$Z$63</f>
        <v>0</v>
      </c>
      <c r="O63" s="65">
        <f>$L$63-EFEITO!$O$63*EFEITO!$AA$63</f>
        <v>0</v>
      </c>
      <c r="P63" s="48"/>
      <c r="Q63" s="48"/>
      <c r="R63" s="48"/>
      <c r="S63" s="48"/>
      <c r="T63" s="48"/>
      <c r="U63" s="48"/>
      <c r="V63" s="48"/>
      <c r="W63" s="48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spans="1:36" ht="11.25" customHeight="1" x14ac:dyDescent="0.2">
      <c r="A64" s="44" t="s">
        <v>21</v>
      </c>
      <c r="B64" s="44" t="s">
        <v>35</v>
      </c>
      <c r="C64" s="44" t="s">
        <v>36</v>
      </c>
      <c r="D64" s="44" t="s">
        <v>39</v>
      </c>
      <c r="E64" s="44" t="s">
        <v>25</v>
      </c>
      <c r="F64" s="44" t="s">
        <v>25</v>
      </c>
      <c r="G64" s="44" t="s">
        <v>25</v>
      </c>
      <c r="H64" s="44" t="s">
        <v>37</v>
      </c>
      <c r="I64" s="64">
        <v>44501</v>
      </c>
      <c r="J64" s="65">
        <f>EFEITO!$J$64*EFEITO!$Y$64</f>
        <v>0</v>
      </c>
      <c r="K64" s="65">
        <f ca="1">EFEITO!$L$64*EFEITO!$Z$64</f>
        <v>3181.5154676298012</v>
      </c>
      <c r="L64" s="65">
        <f>EFEITO!$N$64*EFEITO!$AA$64</f>
        <v>223.67291270681235</v>
      </c>
      <c r="M64" s="65">
        <f>$J$64-EFEITO!$K$64*EFEITO!$Y$64</f>
        <v>0</v>
      </c>
      <c r="N64" s="65">
        <f ca="1">$K$64-EFEITO!$M$64*EFEITO!$Z$64</f>
        <v>0</v>
      </c>
      <c r="O64" s="65">
        <f>$L$64-EFEITO!$O$64*EFEITO!$AA$64</f>
        <v>0</v>
      </c>
      <c r="P64" s="48"/>
      <c r="Q64" s="48"/>
      <c r="R64" s="48"/>
      <c r="S64" s="48"/>
      <c r="T64" s="48"/>
      <c r="U64" s="48"/>
      <c r="V64" s="48"/>
      <c r="W64" s="48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1:36" ht="11.25" customHeight="1" x14ac:dyDescent="0.2">
      <c r="A65" s="44" t="s">
        <v>21</v>
      </c>
      <c r="B65" s="44" t="s">
        <v>35</v>
      </c>
      <c r="C65" s="44" t="s">
        <v>36</v>
      </c>
      <c r="D65" s="44" t="s">
        <v>39</v>
      </c>
      <c r="E65" s="44" t="s">
        <v>25</v>
      </c>
      <c r="F65" s="44" t="s">
        <v>25</v>
      </c>
      <c r="G65" s="44" t="s">
        <v>25</v>
      </c>
      <c r="H65" s="44" t="s">
        <v>37</v>
      </c>
      <c r="I65" s="64">
        <v>44531</v>
      </c>
      <c r="J65" s="65">
        <f>EFEITO!$J$65*EFEITO!$Y$65</f>
        <v>0</v>
      </c>
      <c r="K65" s="65">
        <f ca="1">EFEITO!$L$65*EFEITO!$Z$65</f>
        <v>3562.0610335818783</v>
      </c>
      <c r="L65" s="65">
        <f>EFEITO!$N$65*EFEITO!$AA$65</f>
        <v>250.42674622426352</v>
      </c>
      <c r="M65" s="65">
        <f>$J$65-EFEITO!$K$65*EFEITO!$Y$65</f>
        <v>0</v>
      </c>
      <c r="N65" s="65">
        <f ca="1">$K$65-EFEITO!$M$65*EFEITO!$Z$65</f>
        <v>0</v>
      </c>
      <c r="O65" s="65">
        <f>$L$65-EFEITO!$O$65*EFEITO!$AA$65</f>
        <v>0</v>
      </c>
      <c r="P65" s="48"/>
      <c r="Q65" s="48"/>
      <c r="R65" s="48"/>
      <c r="S65" s="48"/>
      <c r="T65" s="48"/>
      <c r="U65" s="48"/>
      <c r="V65" s="48"/>
      <c r="W65" s="48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ht="11.25" customHeight="1" x14ac:dyDescent="0.2">
      <c r="A66" s="44" t="s">
        <v>21</v>
      </c>
      <c r="B66" s="44" t="s">
        <v>35</v>
      </c>
      <c r="C66" s="44" t="s">
        <v>36</v>
      </c>
      <c r="D66" s="44" t="s">
        <v>39</v>
      </c>
      <c r="E66" s="44" t="s">
        <v>25</v>
      </c>
      <c r="F66" s="44" t="s">
        <v>25</v>
      </c>
      <c r="G66" s="44" t="s">
        <v>25</v>
      </c>
      <c r="H66" s="44" t="s">
        <v>37</v>
      </c>
      <c r="I66" s="64">
        <v>44562</v>
      </c>
      <c r="J66" s="65">
        <f>EFEITO!$J$66*EFEITO!$Y$66</f>
        <v>0</v>
      </c>
      <c r="K66" s="65">
        <f ca="1">EFEITO!$L$66*EFEITO!$Z$66</f>
        <v>3392.071136100747</v>
      </c>
      <c r="L66" s="65">
        <f>EFEITO!$N$66*EFEITO!$AA$66</f>
        <v>238.47579521139193</v>
      </c>
      <c r="M66" s="65">
        <f>$J$66-EFEITO!$K$66*EFEITO!$Y$66</f>
        <v>0</v>
      </c>
      <c r="N66" s="65">
        <f ca="1">$K$66-EFEITO!$M$66*EFEITO!$Z$66</f>
        <v>0</v>
      </c>
      <c r="O66" s="65">
        <f>$L$66-EFEITO!$O$66*EFEITO!$AA$66</f>
        <v>0</v>
      </c>
      <c r="P66" s="48"/>
      <c r="Q66" s="48"/>
      <c r="R66" s="48"/>
      <c r="S66" s="48"/>
      <c r="T66" s="48"/>
      <c r="U66" s="48"/>
      <c r="V66" s="48"/>
      <c r="W66" s="48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ht="11.25" customHeight="1" x14ac:dyDescent="0.2">
      <c r="A67" s="44" t="s">
        <v>21</v>
      </c>
      <c r="B67" s="44" t="s">
        <v>35</v>
      </c>
      <c r="C67" s="44" t="s">
        <v>36</v>
      </c>
      <c r="D67" s="44" t="s">
        <v>39</v>
      </c>
      <c r="E67" s="44" t="s">
        <v>25</v>
      </c>
      <c r="F67" s="44" t="s">
        <v>25</v>
      </c>
      <c r="G67" s="44" t="s">
        <v>25</v>
      </c>
      <c r="H67" s="44" t="s">
        <v>37</v>
      </c>
      <c r="I67" s="64">
        <v>44593</v>
      </c>
      <c r="J67" s="65">
        <f>EFEITO!$J$67*EFEITO!$Y$67</f>
        <v>0</v>
      </c>
      <c r="K67" s="65">
        <f ca="1">EFEITO!$L$67*EFEITO!$Z$67</f>
        <v>3395.9345428616821</v>
      </c>
      <c r="L67" s="65">
        <f>EFEITO!$N$67*EFEITO!$AA$67</f>
        <v>238.74740773441175</v>
      </c>
      <c r="M67" s="65">
        <f>$J$67-EFEITO!$K$67*EFEITO!$Y$67</f>
        <v>0</v>
      </c>
      <c r="N67" s="65">
        <f ca="1">$K$67-EFEITO!$M$67*EFEITO!$Z$67</f>
        <v>0</v>
      </c>
      <c r="O67" s="65">
        <f>$L$67-EFEITO!$O$67*EFEITO!$AA$67</f>
        <v>0</v>
      </c>
      <c r="P67" s="48"/>
      <c r="Q67" s="48"/>
      <c r="R67" s="48"/>
      <c r="S67" s="48"/>
      <c r="T67" s="48"/>
      <c r="U67" s="48"/>
      <c r="V67" s="48"/>
      <c r="W67" s="48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ht="11.25" customHeight="1" x14ac:dyDescent="0.2">
      <c r="A68" s="44" t="s">
        <v>21</v>
      </c>
      <c r="B68" s="44" t="s">
        <v>35</v>
      </c>
      <c r="C68" s="44" t="s">
        <v>36</v>
      </c>
      <c r="D68" s="44" t="s">
        <v>39</v>
      </c>
      <c r="E68" s="44" t="s">
        <v>25</v>
      </c>
      <c r="F68" s="44" t="s">
        <v>25</v>
      </c>
      <c r="G68" s="44" t="s">
        <v>25</v>
      </c>
      <c r="H68" s="44" t="s">
        <v>37</v>
      </c>
      <c r="I68" s="64">
        <v>44621</v>
      </c>
      <c r="J68" s="65">
        <f>EFEITO!$J$68*EFEITO!$Y$68</f>
        <v>0</v>
      </c>
      <c r="K68" s="65">
        <f ca="1">EFEITO!$L$68*EFEITO!$Z$68</f>
        <v>3813.1824730426392</v>
      </c>
      <c r="L68" s="65">
        <f>EFEITO!$N$68*EFEITO!$AA$68</f>
        <v>268.08156022055107</v>
      </c>
      <c r="M68" s="65">
        <f>$J$68-EFEITO!$K$68*EFEITO!$Y$68</f>
        <v>0</v>
      </c>
      <c r="N68" s="65">
        <f ca="1">$K$68-EFEITO!$M$68*EFEITO!$Z$68</f>
        <v>0</v>
      </c>
      <c r="O68" s="65">
        <f>$L$68-EFEITO!$O$68*EFEITO!$AA$68</f>
        <v>0</v>
      </c>
      <c r="P68" s="48"/>
      <c r="Q68" s="48"/>
      <c r="R68" s="48"/>
      <c r="S68" s="48"/>
      <c r="T68" s="48"/>
      <c r="U68" s="48"/>
      <c r="V68" s="48"/>
      <c r="W68" s="48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ht="11.25" customHeight="1" x14ac:dyDescent="0.2">
      <c r="A69" s="44" t="s">
        <v>21</v>
      </c>
      <c r="B69" s="44" t="s">
        <v>35</v>
      </c>
      <c r="C69" s="44" t="s">
        <v>36</v>
      </c>
      <c r="D69" s="44" t="s">
        <v>39</v>
      </c>
      <c r="E69" s="44" t="s">
        <v>25</v>
      </c>
      <c r="F69" s="44" t="s">
        <v>25</v>
      </c>
      <c r="G69" s="44" t="s">
        <v>25</v>
      </c>
      <c r="H69" s="44" t="s">
        <v>37</v>
      </c>
      <c r="I69" s="64">
        <v>44652</v>
      </c>
      <c r="J69" s="65">
        <f>EFEITO!$J$69*EFEITO!$Y$69</f>
        <v>0</v>
      </c>
      <c r="K69" s="65">
        <f ca="1">EFEITO!$L$69*EFEITO!$Z$69</f>
        <v>3745.5728547262806</v>
      </c>
      <c r="L69" s="65">
        <f>EFEITO!$N$69*EFEITO!$AA$69</f>
        <v>263.3283410677044</v>
      </c>
      <c r="M69" s="65">
        <f>$J$69-EFEITO!$K$69*EFEITO!$Y$69</f>
        <v>0</v>
      </c>
      <c r="N69" s="65">
        <f ca="1">$K$69-EFEITO!$M$69*EFEITO!$Z$69</f>
        <v>0</v>
      </c>
      <c r="O69" s="65">
        <f>$L$69-EFEITO!$O$69*EFEITO!$AA$69</f>
        <v>0</v>
      </c>
      <c r="P69" s="48"/>
      <c r="Q69" s="48"/>
      <c r="R69" s="48"/>
      <c r="S69" s="48"/>
      <c r="T69" s="48"/>
      <c r="U69" s="48"/>
      <c r="V69" s="48"/>
      <c r="W69" s="48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ht="11.25" customHeight="1" x14ac:dyDescent="0.2">
      <c r="A70" s="44" t="s">
        <v>21</v>
      </c>
      <c r="B70" s="44" t="s">
        <v>35</v>
      </c>
      <c r="C70" s="44" t="s">
        <v>36</v>
      </c>
      <c r="D70" s="44" t="s">
        <v>39</v>
      </c>
      <c r="E70" s="44" t="s">
        <v>25</v>
      </c>
      <c r="F70" s="44" t="s">
        <v>25</v>
      </c>
      <c r="G70" s="44" t="s">
        <v>25</v>
      </c>
      <c r="H70" s="44" t="s">
        <v>37</v>
      </c>
      <c r="I70" s="64">
        <v>44682</v>
      </c>
      <c r="J70" s="65">
        <f>EFEITO!$J$70*EFEITO!$Y$70</f>
        <v>0</v>
      </c>
      <c r="K70" s="65">
        <f ca="1">EFEITO!$L$70*EFEITO!$Z$70</f>
        <v>3954.1968198167597</v>
      </c>
      <c r="L70" s="65">
        <f>EFEITO!$N$70*EFEITO!$AA$70</f>
        <v>277.99541731077409</v>
      </c>
      <c r="M70" s="65">
        <f>$J$70-EFEITO!$K$70*EFEITO!$Y$70</f>
        <v>0</v>
      </c>
      <c r="N70" s="65">
        <f ca="1">$K$70-EFEITO!$M$70*EFEITO!$Z$70</f>
        <v>0</v>
      </c>
      <c r="O70" s="65">
        <f>$L$70-EFEITO!$O$70*EFEITO!$AA$70</f>
        <v>0</v>
      </c>
      <c r="P70" s="48"/>
      <c r="Q70" s="48"/>
      <c r="R70" s="48"/>
      <c r="S70" s="48"/>
      <c r="T70" s="48"/>
      <c r="U70" s="48"/>
      <c r="V70" s="48"/>
      <c r="W70" s="48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 ht="11.25" customHeight="1" x14ac:dyDescent="0.2">
      <c r="A71" s="44" t="s">
        <v>21</v>
      </c>
      <c r="B71" s="44" t="s">
        <v>35</v>
      </c>
      <c r="C71" s="44" t="s">
        <v>36</v>
      </c>
      <c r="D71" s="44" t="s">
        <v>39</v>
      </c>
      <c r="E71" s="44" t="s">
        <v>25</v>
      </c>
      <c r="F71" s="44" t="s">
        <v>25</v>
      </c>
      <c r="G71" s="44" t="s">
        <v>25</v>
      </c>
      <c r="H71" s="44" t="s">
        <v>37</v>
      </c>
      <c r="I71" s="64">
        <v>44713</v>
      </c>
      <c r="J71" s="65">
        <f>EFEITO!$J$71*EFEITO!$Y$71</f>
        <v>0</v>
      </c>
      <c r="K71" s="65">
        <f ca="1">EFEITO!$L$71*EFEITO!$Z$71</f>
        <v>4379.171563519586</v>
      </c>
      <c r="L71" s="65">
        <f>EFEITO!$N$71*EFEITO!$AA$71</f>
        <v>307.872794842953</v>
      </c>
      <c r="M71" s="65">
        <f>$J$71-EFEITO!$K$71*EFEITO!$Y$71</f>
        <v>0</v>
      </c>
      <c r="N71" s="65">
        <f ca="1">$K$71-EFEITO!$M$71*EFEITO!$Z$71</f>
        <v>0</v>
      </c>
      <c r="O71" s="65">
        <f>$L$71-EFEITO!$O$71*EFEITO!$AA$71</f>
        <v>0</v>
      </c>
      <c r="P71" s="48"/>
      <c r="Q71" s="48"/>
      <c r="R71" s="48"/>
      <c r="S71" s="48"/>
      <c r="T71" s="48"/>
      <c r="U71" s="48"/>
      <c r="V71" s="48"/>
      <c r="W71" s="48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ht="11.25" customHeight="1" x14ac:dyDescent="0.2">
      <c r="A72" s="44" t="s">
        <v>21</v>
      </c>
      <c r="B72" s="44" t="s">
        <v>35</v>
      </c>
      <c r="C72" s="44" t="s">
        <v>36</v>
      </c>
      <c r="D72" s="44" t="s">
        <v>39</v>
      </c>
      <c r="E72" s="44" t="s">
        <v>25</v>
      </c>
      <c r="F72" s="44" t="s">
        <v>25</v>
      </c>
      <c r="G72" s="44" t="s">
        <v>25</v>
      </c>
      <c r="H72" s="44" t="s">
        <v>37</v>
      </c>
      <c r="I72" s="64">
        <v>44743</v>
      </c>
      <c r="J72" s="65">
        <f>EFEITO!$J$72*EFEITO!$Y$72</f>
        <v>0</v>
      </c>
      <c r="K72" s="65">
        <f ca="1">EFEITO!$L$72*EFEITO!$Z$72</f>
        <v>4999.2483486496203</v>
      </c>
      <c r="L72" s="65">
        <f>EFEITO!$N$72*EFEITO!$AA$72</f>
        <v>351.46660478763232</v>
      </c>
      <c r="M72" s="65">
        <f>$J$72-EFEITO!$K$72*EFEITO!$Y$72</f>
        <v>0</v>
      </c>
      <c r="N72" s="65">
        <f ca="1">$K$72-EFEITO!$M$72*EFEITO!$Z$72</f>
        <v>0</v>
      </c>
      <c r="O72" s="65">
        <f>$L$72-EFEITO!$O$72*EFEITO!$AA$72</f>
        <v>0</v>
      </c>
      <c r="P72" s="48"/>
      <c r="Q72" s="48"/>
      <c r="R72" s="48"/>
      <c r="S72" s="48"/>
      <c r="T72" s="48"/>
      <c r="U72" s="48"/>
      <c r="V72" s="48"/>
      <c r="W72" s="48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spans="1:36" ht="11.25" customHeight="1" x14ac:dyDescent="0.2">
      <c r="A73" s="44" t="s">
        <v>21</v>
      </c>
      <c r="B73" s="44" t="s">
        <v>35</v>
      </c>
      <c r="C73" s="44" t="s">
        <v>36</v>
      </c>
      <c r="D73" s="44" t="s">
        <v>39</v>
      </c>
      <c r="E73" s="44" t="s">
        <v>25</v>
      </c>
      <c r="F73" s="44" t="s">
        <v>25</v>
      </c>
      <c r="G73" s="44" t="s">
        <v>25</v>
      </c>
      <c r="H73" s="44" t="s">
        <v>37</v>
      </c>
      <c r="I73" s="64">
        <v>44774</v>
      </c>
      <c r="J73" s="65">
        <f>EFEITO!$J$73*EFEITO!$Y$73</f>
        <v>0</v>
      </c>
      <c r="K73" s="65">
        <f ca="1">EFEITO!$L$73*EFEITO!$Z$73</f>
        <v>4301.9034283008905</v>
      </c>
      <c r="L73" s="65">
        <f>EFEITO!$N$73*EFEITO!$AA$73</f>
        <v>302.44054438255682</v>
      </c>
      <c r="M73" s="65">
        <f>$J$73-EFEITO!$K$73*EFEITO!$Y$73</f>
        <v>0</v>
      </c>
      <c r="N73" s="65">
        <f ca="1">$K$73-EFEITO!$M$73*EFEITO!$Z$73</f>
        <v>0</v>
      </c>
      <c r="O73" s="65">
        <f>$L$73-EFEITO!$O$73*EFEITO!$AA$73</f>
        <v>0</v>
      </c>
      <c r="P73" s="48"/>
      <c r="Q73" s="48"/>
      <c r="R73" s="48"/>
      <c r="S73" s="48"/>
      <c r="T73" s="48"/>
      <c r="U73" s="48"/>
      <c r="V73" s="48"/>
      <c r="W73" s="48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 ht="11.25" customHeight="1" x14ac:dyDescent="0.2">
      <c r="A74" s="44" t="s">
        <v>21</v>
      </c>
      <c r="B74" s="44" t="s">
        <v>35</v>
      </c>
      <c r="C74" s="44" t="s">
        <v>36</v>
      </c>
      <c r="D74" s="44" t="s">
        <v>34</v>
      </c>
      <c r="E74" s="44" t="s">
        <v>25</v>
      </c>
      <c r="F74" s="44" t="s">
        <v>25</v>
      </c>
      <c r="G74" s="44" t="s">
        <v>25</v>
      </c>
      <c r="H74" s="44" t="s">
        <v>38</v>
      </c>
      <c r="I74" s="64">
        <v>44440</v>
      </c>
      <c r="J74" s="65">
        <f>EFEITO!$J$74*EFEITO!$Y$74</f>
        <v>0</v>
      </c>
      <c r="K74" s="65">
        <f ca="1">EFEITO!$L$74*EFEITO!$Z$74</f>
        <v>228178.36805377781</v>
      </c>
      <c r="L74" s="65">
        <f>EFEITO!$N$74*EFEITO!$AA$74</f>
        <v>310353.02459690842</v>
      </c>
      <c r="M74" s="65">
        <f>$J$74-EFEITO!$K$74*EFEITO!$Y$74</f>
        <v>0</v>
      </c>
      <c r="N74" s="65">
        <f ca="1">$K$74-EFEITO!$M$74*EFEITO!$Z$74</f>
        <v>0</v>
      </c>
      <c r="O74" s="65">
        <f>$L$74-EFEITO!$O$74*EFEITO!$AA$74</f>
        <v>0</v>
      </c>
      <c r="P74" s="48"/>
      <c r="Q74" s="48"/>
      <c r="R74" s="48"/>
      <c r="S74" s="48"/>
      <c r="T74" s="48"/>
      <c r="U74" s="48"/>
      <c r="V74" s="48"/>
      <c r="W74" s="48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 ht="11.25" customHeight="1" x14ac:dyDescent="0.2">
      <c r="A75" s="44" t="s">
        <v>28</v>
      </c>
      <c r="B75" s="44" t="s">
        <v>35</v>
      </c>
      <c r="C75" s="44" t="s">
        <v>36</v>
      </c>
      <c r="D75" s="44" t="s">
        <v>34</v>
      </c>
      <c r="E75" s="44" t="s">
        <v>25</v>
      </c>
      <c r="F75" s="44" t="s">
        <v>25</v>
      </c>
      <c r="G75" s="44" t="s">
        <v>25</v>
      </c>
      <c r="H75" s="44" t="s">
        <v>38</v>
      </c>
      <c r="I75" s="64">
        <v>44440</v>
      </c>
      <c r="J75" s="65">
        <f>EFEITO!$J$75*EFEITO!$Y$75</f>
        <v>0</v>
      </c>
      <c r="K75" s="65">
        <f ca="1">EFEITO!$L$75*EFEITO!$Z$75</f>
        <v>38.940622388308633</v>
      </c>
      <c r="L75" s="65">
        <f>EFEITO!$N$75*EFEITO!$AA$75</f>
        <v>52.964441988862674</v>
      </c>
      <c r="M75" s="65">
        <f>$J$75-EFEITO!$K$75*EFEITO!$Y$75</f>
        <v>0</v>
      </c>
      <c r="N75" s="65">
        <f ca="1">$K$75-EFEITO!$M$75*EFEITO!$Z$75</f>
        <v>0</v>
      </c>
      <c r="O75" s="65">
        <f>$L$75-EFEITO!$O$75*EFEITO!$AA$75</f>
        <v>0</v>
      </c>
      <c r="P75" s="48"/>
      <c r="Q75" s="48"/>
      <c r="R75" s="48"/>
      <c r="S75" s="48"/>
      <c r="T75" s="48"/>
      <c r="U75" s="48"/>
      <c r="V75" s="48"/>
      <c r="W75" s="48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 ht="11.25" customHeight="1" x14ac:dyDescent="0.2">
      <c r="A76" s="44" t="s">
        <v>21</v>
      </c>
      <c r="B76" s="44" t="s">
        <v>35</v>
      </c>
      <c r="C76" s="44" t="s">
        <v>36</v>
      </c>
      <c r="D76" s="44" t="s">
        <v>34</v>
      </c>
      <c r="E76" s="44" t="s">
        <v>25</v>
      </c>
      <c r="F76" s="44" t="s">
        <v>25</v>
      </c>
      <c r="G76" s="44" t="s">
        <v>25</v>
      </c>
      <c r="H76" s="44" t="s">
        <v>38</v>
      </c>
      <c r="I76" s="64">
        <v>44470</v>
      </c>
      <c r="J76" s="65">
        <f>EFEITO!$J$76*EFEITO!$Y$76</f>
        <v>0</v>
      </c>
      <c r="K76" s="65">
        <f ca="1">EFEITO!$L$76*EFEITO!$Z$76</f>
        <v>215286.72554500424</v>
      </c>
      <c r="L76" s="65">
        <f>EFEITO!$N$76*EFEITO!$AA$76</f>
        <v>292818.67075458012</v>
      </c>
      <c r="M76" s="65">
        <f>$J$76-EFEITO!$K$76*EFEITO!$Y$76</f>
        <v>0</v>
      </c>
      <c r="N76" s="65">
        <f ca="1">$K$76-EFEITO!$M$76*EFEITO!$Z$76</f>
        <v>0</v>
      </c>
      <c r="O76" s="65">
        <f>$L$76-EFEITO!$O$76*EFEITO!$AA$76</f>
        <v>0</v>
      </c>
      <c r="P76" s="48"/>
      <c r="Q76" s="48"/>
      <c r="R76" s="48"/>
      <c r="S76" s="48"/>
      <c r="T76" s="48"/>
      <c r="U76" s="48"/>
      <c r="V76" s="48"/>
      <c r="W76" s="48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 ht="11.25" customHeight="1" x14ac:dyDescent="0.2">
      <c r="A77" s="44" t="s">
        <v>21</v>
      </c>
      <c r="B77" s="44" t="s">
        <v>35</v>
      </c>
      <c r="C77" s="44" t="s">
        <v>36</v>
      </c>
      <c r="D77" s="44" t="s">
        <v>34</v>
      </c>
      <c r="E77" s="44" t="s">
        <v>25</v>
      </c>
      <c r="F77" s="44" t="s">
        <v>25</v>
      </c>
      <c r="G77" s="44" t="s">
        <v>25</v>
      </c>
      <c r="H77" s="44" t="s">
        <v>38</v>
      </c>
      <c r="I77" s="64">
        <v>44501</v>
      </c>
      <c r="J77" s="65">
        <f>EFEITO!$J$77*EFEITO!$Y$77</f>
        <v>0</v>
      </c>
      <c r="K77" s="65">
        <f ca="1">EFEITO!$L$77*EFEITO!$Z$77</f>
        <v>221509.03761165708</v>
      </c>
      <c r="L77" s="65">
        <f>EFEITO!$N$77*EFEITO!$AA$77</f>
        <v>301281.84535935434</v>
      </c>
      <c r="M77" s="65">
        <f>$J$77-EFEITO!$K$77*EFEITO!$Y$77</f>
        <v>0</v>
      </c>
      <c r="N77" s="65">
        <f ca="1">$K$77-EFEITO!$M$77*EFEITO!$Z$77</f>
        <v>0</v>
      </c>
      <c r="O77" s="65">
        <f>$L$77-EFEITO!$O$77*EFEITO!$AA$77</f>
        <v>0</v>
      </c>
      <c r="P77" s="48"/>
      <c r="Q77" s="48"/>
      <c r="R77" s="48"/>
      <c r="S77" s="48"/>
      <c r="T77" s="48"/>
      <c r="U77" s="48"/>
      <c r="V77" s="48"/>
      <c r="W77" s="48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 ht="11.25" customHeight="1" x14ac:dyDescent="0.2">
      <c r="A78" s="44" t="s">
        <v>28</v>
      </c>
      <c r="B78" s="44" t="s">
        <v>35</v>
      </c>
      <c r="C78" s="44" t="s">
        <v>36</v>
      </c>
      <c r="D78" s="44" t="s">
        <v>34</v>
      </c>
      <c r="E78" s="44" t="s">
        <v>25</v>
      </c>
      <c r="F78" s="44" t="s">
        <v>25</v>
      </c>
      <c r="G78" s="44" t="s">
        <v>25</v>
      </c>
      <c r="H78" s="44" t="s">
        <v>38</v>
      </c>
      <c r="I78" s="64">
        <v>44501</v>
      </c>
      <c r="J78" s="65">
        <f>EFEITO!$J$78*EFEITO!$Y$78</f>
        <v>0</v>
      </c>
      <c r="K78" s="65">
        <f ca="1">EFEITO!$L$78*EFEITO!$Z$78</f>
        <v>1138.863433233457</v>
      </c>
      <c r="L78" s="65">
        <f>EFEITO!$N$78*EFEITO!$AA$78</f>
        <v>1549.0062187819683</v>
      </c>
      <c r="M78" s="65">
        <f>$J$78-EFEITO!$K$78*EFEITO!$Y$78</f>
        <v>0</v>
      </c>
      <c r="N78" s="65">
        <f ca="1">$K$78-EFEITO!$M$78*EFEITO!$Z$78</f>
        <v>0</v>
      </c>
      <c r="O78" s="65">
        <f>$L$78-EFEITO!$O$78*EFEITO!$AA$78</f>
        <v>0</v>
      </c>
      <c r="P78" s="48"/>
      <c r="Q78" s="48"/>
      <c r="R78" s="48"/>
      <c r="S78" s="48"/>
      <c r="T78" s="48"/>
      <c r="U78" s="48"/>
      <c r="V78" s="48"/>
      <c r="W78" s="48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 ht="11.25" customHeight="1" x14ac:dyDescent="0.2">
      <c r="A79" s="44" t="s">
        <v>21</v>
      </c>
      <c r="B79" s="44" t="s">
        <v>35</v>
      </c>
      <c r="C79" s="44" t="s">
        <v>36</v>
      </c>
      <c r="D79" s="44" t="s">
        <v>34</v>
      </c>
      <c r="E79" s="44" t="s">
        <v>25</v>
      </c>
      <c r="F79" s="44" t="s">
        <v>25</v>
      </c>
      <c r="G79" s="44" t="s">
        <v>25</v>
      </c>
      <c r="H79" s="44" t="s">
        <v>38</v>
      </c>
      <c r="I79" s="64">
        <v>44531</v>
      </c>
      <c r="J79" s="65">
        <f>EFEITO!$J$79*EFEITO!$Y$79</f>
        <v>0</v>
      </c>
      <c r="K79" s="65">
        <f ca="1">EFEITO!$L$79*EFEITO!$Z$79</f>
        <v>192271.81923601672</v>
      </c>
      <c r="L79" s="65">
        <f>EFEITO!$N$79*EFEITO!$AA$79</f>
        <v>261515.32747654722</v>
      </c>
      <c r="M79" s="65">
        <f>$J$79-EFEITO!$K$79*EFEITO!$Y$79</f>
        <v>0</v>
      </c>
      <c r="N79" s="65">
        <f ca="1">$K$79-EFEITO!$M$79*EFEITO!$Z$79</f>
        <v>0</v>
      </c>
      <c r="O79" s="65">
        <f>$L$79-EFEITO!$O$79*EFEITO!$AA$79</f>
        <v>0</v>
      </c>
      <c r="P79" s="48"/>
      <c r="Q79" s="48"/>
      <c r="R79" s="48"/>
      <c r="S79" s="48"/>
      <c r="T79" s="48"/>
      <c r="U79" s="48"/>
      <c r="V79" s="48"/>
      <c r="W79" s="48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 ht="11.25" customHeight="1" x14ac:dyDescent="0.2">
      <c r="A80" s="44" t="s">
        <v>28</v>
      </c>
      <c r="B80" s="44" t="s">
        <v>35</v>
      </c>
      <c r="C80" s="44" t="s">
        <v>36</v>
      </c>
      <c r="D80" s="44" t="s">
        <v>34</v>
      </c>
      <c r="E80" s="44" t="s">
        <v>25</v>
      </c>
      <c r="F80" s="44" t="s">
        <v>25</v>
      </c>
      <c r="G80" s="44" t="s">
        <v>25</v>
      </c>
      <c r="H80" s="44" t="s">
        <v>38</v>
      </c>
      <c r="I80" s="64">
        <v>44531</v>
      </c>
      <c r="J80" s="65">
        <f>EFEITO!$J$80*EFEITO!$Y$80</f>
        <v>0</v>
      </c>
      <c r="K80" s="65">
        <f ca="1">EFEITO!$L$80*EFEITO!$Z$80</f>
        <v>607.07431825876017</v>
      </c>
      <c r="L80" s="65">
        <f>EFEITO!$N$80*EFEITO!$AA$80</f>
        <v>825.70206998021808</v>
      </c>
      <c r="M80" s="65">
        <f>$J$80-EFEITO!$K$80*EFEITO!$Y$80</f>
        <v>0</v>
      </c>
      <c r="N80" s="65">
        <f ca="1">$K$80-EFEITO!$M$80*EFEITO!$Z$80</f>
        <v>0</v>
      </c>
      <c r="O80" s="65">
        <f>$L$80-EFEITO!$O$80*EFEITO!$AA$80</f>
        <v>0</v>
      </c>
      <c r="P80" s="48"/>
      <c r="Q80" s="48"/>
      <c r="R80" s="48"/>
      <c r="S80" s="48"/>
      <c r="T80" s="48"/>
      <c r="U80" s="48"/>
      <c r="V80" s="48"/>
      <c r="W80" s="48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ht="11.25" customHeight="1" x14ac:dyDescent="0.2">
      <c r="A81" s="44" t="s">
        <v>21</v>
      </c>
      <c r="B81" s="44" t="s">
        <v>35</v>
      </c>
      <c r="C81" s="44" t="s">
        <v>36</v>
      </c>
      <c r="D81" s="44" t="s">
        <v>34</v>
      </c>
      <c r="E81" s="44" t="s">
        <v>25</v>
      </c>
      <c r="F81" s="44" t="s">
        <v>25</v>
      </c>
      <c r="G81" s="44" t="s">
        <v>25</v>
      </c>
      <c r="H81" s="44" t="s">
        <v>38</v>
      </c>
      <c r="I81" s="64">
        <v>44562</v>
      </c>
      <c r="J81" s="65">
        <f>EFEITO!$J$81*EFEITO!$Y$81</f>
        <v>0</v>
      </c>
      <c r="K81" s="65">
        <f ca="1">EFEITO!$L$81*EFEITO!$Z$81</f>
        <v>213223.47164492216</v>
      </c>
      <c r="L81" s="65">
        <f>EFEITO!$N$81*EFEITO!$AA$81</f>
        <v>290012.37016673945</v>
      </c>
      <c r="M81" s="65">
        <f>$J$81-EFEITO!$K$81*EFEITO!$Y$81</f>
        <v>0</v>
      </c>
      <c r="N81" s="65">
        <f ca="1">$K$81-EFEITO!$M$81*EFEITO!$Z$81</f>
        <v>0</v>
      </c>
      <c r="O81" s="65">
        <f>$L$81-EFEITO!$O$81*EFEITO!$AA$81</f>
        <v>0</v>
      </c>
      <c r="P81" s="48"/>
      <c r="Q81" s="48"/>
      <c r="R81" s="48"/>
      <c r="S81" s="48"/>
      <c r="T81" s="48"/>
      <c r="U81" s="48"/>
      <c r="V81" s="48"/>
      <c r="W81" s="48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 ht="11.25" customHeight="1" x14ac:dyDescent="0.2">
      <c r="A82" s="44" t="s">
        <v>28</v>
      </c>
      <c r="B82" s="44" t="s">
        <v>35</v>
      </c>
      <c r="C82" s="44" t="s">
        <v>36</v>
      </c>
      <c r="D82" s="44" t="s">
        <v>34</v>
      </c>
      <c r="E82" s="44" t="s">
        <v>25</v>
      </c>
      <c r="F82" s="44" t="s">
        <v>25</v>
      </c>
      <c r="G82" s="44" t="s">
        <v>25</v>
      </c>
      <c r="H82" s="44" t="s">
        <v>38</v>
      </c>
      <c r="I82" s="64">
        <v>44562</v>
      </c>
      <c r="J82" s="65">
        <f>EFEITO!$J$82*EFEITO!$Y$82</f>
        <v>0</v>
      </c>
      <c r="K82" s="65">
        <f ca="1">EFEITO!$L$82*EFEITO!$Z$82</f>
        <v>931.67935257771239</v>
      </c>
      <c r="L82" s="65">
        <f>EFEITO!$N$82*EFEITO!$AA$82</f>
        <v>1267.2082261489168</v>
      </c>
      <c r="M82" s="65">
        <f>$J$82-EFEITO!$K$82*EFEITO!$Y$82</f>
        <v>0</v>
      </c>
      <c r="N82" s="65">
        <f ca="1">$K$82-EFEITO!$M$82*EFEITO!$Z$82</f>
        <v>0</v>
      </c>
      <c r="O82" s="65">
        <f>$L$82-EFEITO!$O$82*EFEITO!$AA$82</f>
        <v>0</v>
      </c>
      <c r="P82" s="48"/>
      <c r="Q82" s="48"/>
      <c r="R82" s="48"/>
      <c r="S82" s="48"/>
      <c r="T82" s="48"/>
      <c r="U82" s="48"/>
      <c r="V82" s="48"/>
      <c r="W82" s="48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ht="11.25" customHeight="1" x14ac:dyDescent="0.2">
      <c r="A83" s="44" t="s">
        <v>21</v>
      </c>
      <c r="B83" s="44" t="s">
        <v>35</v>
      </c>
      <c r="C83" s="44" t="s">
        <v>36</v>
      </c>
      <c r="D83" s="44" t="s">
        <v>34</v>
      </c>
      <c r="E83" s="44" t="s">
        <v>25</v>
      </c>
      <c r="F83" s="44" t="s">
        <v>25</v>
      </c>
      <c r="G83" s="44" t="s">
        <v>25</v>
      </c>
      <c r="H83" s="44" t="s">
        <v>38</v>
      </c>
      <c r="I83" s="64">
        <v>44593</v>
      </c>
      <c r="J83" s="65">
        <f>EFEITO!$J$83*EFEITO!$Y$83</f>
        <v>0</v>
      </c>
      <c r="K83" s="65">
        <f ca="1">EFEITO!$L$83*EFEITO!$Z$83</f>
        <v>212689.48587945377</v>
      </c>
      <c r="L83" s="65">
        <f>EFEITO!$N$83*EFEITO!$AA$83</f>
        <v>289286.07828018448</v>
      </c>
      <c r="M83" s="65">
        <f>$J$83-EFEITO!$K$83*EFEITO!$Y$83</f>
        <v>0</v>
      </c>
      <c r="N83" s="65">
        <f ca="1">$K$83-EFEITO!$M$83*EFEITO!$Z$83</f>
        <v>0</v>
      </c>
      <c r="O83" s="65">
        <f>$L$83-EFEITO!$O$83*EFEITO!$AA$83</f>
        <v>0</v>
      </c>
      <c r="P83" s="48"/>
      <c r="Q83" s="48"/>
      <c r="R83" s="48"/>
      <c r="S83" s="48"/>
      <c r="T83" s="48"/>
      <c r="U83" s="48"/>
      <c r="V83" s="48"/>
      <c r="W83" s="48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ht="11.25" customHeight="1" x14ac:dyDescent="0.2">
      <c r="A84" s="44" t="s">
        <v>21</v>
      </c>
      <c r="B84" s="44" t="s">
        <v>35</v>
      </c>
      <c r="C84" s="44" t="s">
        <v>36</v>
      </c>
      <c r="D84" s="44" t="s">
        <v>34</v>
      </c>
      <c r="E84" s="44" t="s">
        <v>25</v>
      </c>
      <c r="F84" s="44" t="s">
        <v>25</v>
      </c>
      <c r="G84" s="44" t="s">
        <v>25</v>
      </c>
      <c r="H84" s="44" t="s">
        <v>38</v>
      </c>
      <c r="I84" s="64">
        <v>44621</v>
      </c>
      <c r="J84" s="65">
        <f>EFEITO!$J$84*EFEITO!$Y$84</f>
        <v>0</v>
      </c>
      <c r="K84" s="65">
        <f ca="1">EFEITO!$L$84*EFEITO!$Z$84</f>
        <v>238507.81745715041</v>
      </c>
      <c r="L84" s="65">
        <f>EFEITO!$N$84*EFEITO!$AA$84</f>
        <v>324402.45396263106</v>
      </c>
      <c r="M84" s="65">
        <f>$J$84-EFEITO!$K$84*EFEITO!$Y$84</f>
        <v>0</v>
      </c>
      <c r="N84" s="65">
        <f ca="1">$K$84-EFEITO!$M$84*EFEITO!$Z$84</f>
        <v>0</v>
      </c>
      <c r="O84" s="65">
        <f>$L$84-EFEITO!$O$84*EFEITO!$AA$84</f>
        <v>0</v>
      </c>
      <c r="P84" s="48"/>
      <c r="Q84" s="48"/>
      <c r="R84" s="48"/>
      <c r="S84" s="48"/>
      <c r="T84" s="48"/>
      <c r="U84" s="48"/>
      <c r="V84" s="48"/>
      <c r="W84" s="48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 ht="11.25" customHeight="1" x14ac:dyDescent="0.2">
      <c r="A85" s="44" t="s">
        <v>21</v>
      </c>
      <c r="B85" s="44" t="s">
        <v>35</v>
      </c>
      <c r="C85" s="44" t="s">
        <v>36</v>
      </c>
      <c r="D85" s="44" t="s">
        <v>34</v>
      </c>
      <c r="E85" s="44" t="s">
        <v>25</v>
      </c>
      <c r="F85" s="44" t="s">
        <v>25</v>
      </c>
      <c r="G85" s="44" t="s">
        <v>25</v>
      </c>
      <c r="H85" s="44" t="s">
        <v>38</v>
      </c>
      <c r="I85" s="64">
        <v>44652</v>
      </c>
      <c r="J85" s="65">
        <f>EFEITO!$J$85*EFEITO!$Y$85</f>
        <v>0</v>
      </c>
      <c r="K85" s="65">
        <f ca="1">EFEITO!$L$85*EFEITO!$Z$85</f>
        <v>218034.33592162342</v>
      </c>
      <c r="L85" s="65">
        <f>EFEITO!$N$85*EFEITO!$AA$85</f>
        <v>296555.78745880967</v>
      </c>
      <c r="M85" s="65">
        <f>$J$85-EFEITO!$K$85*EFEITO!$Y$85</f>
        <v>0</v>
      </c>
      <c r="N85" s="65">
        <f ca="1">$K$85-EFEITO!$M$85*EFEITO!$Z$85</f>
        <v>0</v>
      </c>
      <c r="O85" s="65">
        <f>$L$85-EFEITO!$O$85*EFEITO!$AA$85</f>
        <v>0</v>
      </c>
      <c r="P85" s="48"/>
      <c r="Q85" s="48"/>
      <c r="R85" s="48"/>
      <c r="S85" s="48"/>
      <c r="T85" s="48"/>
      <c r="U85" s="48"/>
      <c r="V85" s="48"/>
      <c r="W85" s="48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1:36" ht="11.25" customHeight="1" x14ac:dyDescent="0.2">
      <c r="A86" s="44" t="s">
        <v>28</v>
      </c>
      <c r="B86" s="44" t="s">
        <v>35</v>
      </c>
      <c r="C86" s="44" t="s">
        <v>36</v>
      </c>
      <c r="D86" s="44" t="s">
        <v>34</v>
      </c>
      <c r="E86" s="44" t="s">
        <v>25</v>
      </c>
      <c r="F86" s="44" t="s">
        <v>25</v>
      </c>
      <c r="G86" s="44" t="s">
        <v>25</v>
      </c>
      <c r="H86" s="44" t="s">
        <v>38</v>
      </c>
      <c r="I86" s="64">
        <v>44652</v>
      </c>
      <c r="J86" s="65">
        <f>EFEITO!$J$86*EFEITO!$Y$86</f>
        <v>0</v>
      </c>
      <c r="K86" s="65">
        <f ca="1">EFEITO!$L$86*EFEITO!$Z$86</f>
        <v>953.4461620152797</v>
      </c>
      <c r="L86" s="65">
        <f>EFEITO!$N$86*EFEITO!$AA$86</f>
        <v>1296.8139911580761</v>
      </c>
      <c r="M86" s="65">
        <f>$J$86-EFEITO!$K$86*EFEITO!$Y$86</f>
        <v>0</v>
      </c>
      <c r="N86" s="65">
        <f ca="1">$K$86-EFEITO!$M$86*EFEITO!$Z$86</f>
        <v>0</v>
      </c>
      <c r="O86" s="65">
        <f>$L$86-EFEITO!$O$86*EFEITO!$AA$86</f>
        <v>0</v>
      </c>
      <c r="P86" s="48"/>
      <c r="Q86" s="48"/>
      <c r="R86" s="48"/>
      <c r="S86" s="48"/>
      <c r="T86" s="48"/>
      <c r="U86" s="48"/>
      <c r="V86" s="48"/>
      <c r="W86" s="48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1:36" ht="11.25" customHeight="1" x14ac:dyDescent="0.2">
      <c r="A87" s="44" t="s">
        <v>21</v>
      </c>
      <c r="B87" s="44" t="s">
        <v>35</v>
      </c>
      <c r="C87" s="44" t="s">
        <v>36</v>
      </c>
      <c r="D87" s="44" t="s">
        <v>34</v>
      </c>
      <c r="E87" s="44" t="s">
        <v>25</v>
      </c>
      <c r="F87" s="44" t="s">
        <v>25</v>
      </c>
      <c r="G87" s="44" t="s">
        <v>25</v>
      </c>
      <c r="H87" s="44" t="s">
        <v>38</v>
      </c>
      <c r="I87" s="64">
        <v>44682</v>
      </c>
      <c r="J87" s="65">
        <f>EFEITO!$J$87*EFEITO!$Y$87</f>
        <v>0</v>
      </c>
      <c r="K87" s="65">
        <f ca="1">EFEITO!$L$87*EFEITO!$Z$87</f>
        <v>232221.70267843051</v>
      </c>
      <c r="L87" s="65">
        <f>EFEITO!$N$87*EFEITO!$AA$87</f>
        <v>315852.49915675196</v>
      </c>
      <c r="M87" s="65">
        <f>$J$87-EFEITO!$K$87*EFEITO!$Y$87</f>
        <v>0</v>
      </c>
      <c r="N87" s="65">
        <f ca="1">$K$87-EFEITO!$M$87*EFEITO!$Z$87</f>
        <v>0</v>
      </c>
      <c r="O87" s="65">
        <f>$L$87-EFEITO!$O$87*EFEITO!$AA$87</f>
        <v>0</v>
      </c>
      <c r="P87" s="48"/>
      <c r="Q87" s="48"/>
      <c r="R87" s="48"/>
      <c r="S87" s="48"/>
      <c r="T87" s="48"/>
      <c r="U87" s="48"/>
      <c r="V87" s="48"/>
      <c r="W87" s="48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1:36" ht="11.25" customHeight="1" x14ac:dyDescent="0.2">
      <c r="A88" s="44" t="s">
        <v>28</v>
      </c>
      <c r="B88" s="44" t="s">
        <v>35</v>
      </c>
      <c r="C88" s="44" t="s">
        <v>36</v>
      </c>
      <c r="D88" s="44" t="s">
        <v>34</v>
      </c>
      <c r="E88" s="44" t="s">
        <v>25</v>
      </c>
      <c r="F88" s="44" t="s">
        <v>25</v>
      </c>
      <c r="G88" s="44" t="s">
        <v>25</v>
      </c>
      <c r="H88" s="44" t="s">
        <v>38</v>
      </c>
      <c r="I88" s="64">
        <v>44682</v>
      </c>
      <c r="J88" s="65">
        <f>EFEITO!$J$88*EFEITO!$Y$88</f>
        <v>0</v>
      </c>
      <c r="K88" s="65">
        <f ca="1">EFEITO!$L$88*EFEITO!$Z$88</f>
        <v>1822.7206710219848</v>
      </c>
      <c r="L88" s="65">
        <f>EFEITO!$N$88*EFEITO!$AA$88</f>
        <v>2479.1433038633027</v>
      </c>
      <c r="M88" s="65">
        <f>$J$88-EFEITO!$K$88*EFEITO!$Y$88</f>
        <v>0</v>
      </c>
      <c r="N88" s="65">
        <f ca="1">$K$88-EFEITO!$M$88*EFEITO!$Z$88</f>
        <v>0</v>
      </c>
      <c r="O88" s="65">
        <f>$L$88-EFEITO!$O$88*EFEITO!$AA$88</f>
        <v>0</v>
      </c>
      <c r="P88" s="48"/>
      <c r="Q88" s="48"/>
      <c r="R88" s="48"/>
      <c r="S88" s="48"/>
      <c r="T88" s="48"/>
      <c r="U88" s="48"/>
      <c r="V88" s="48"/>
      <c r="W88" s="48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1:36" ht="11.25" customHeight="1" x14ac:dyDescent="0.2">
      <c r="A89" s="44" t="s">
        <v>21</v>
      </c>
      <c r="B89" s="44" t="s">
        <v>35</v>
      </c>
      <c r="C89" s="44" t="s">
        <v>36</v>
      </c>
      <c r="D89" s="44" t="s">
        <v>34</v>
      </c>
      <c r="E89" s="44" t="s">
        <v>25</v>
      </c>
      <c r="F89" s="44" t="s">
        <v>25</v>
      </c>
      <c r="G89" s="44" t="s">
        <v>25</v>
      </c>
      <c r="H89" s="44" t="s">
        <v>38</v>
      </c>
      <c r="I89" s="64">
        <v>44713</v>
      </c>
      <c r="J89" s="65">
        <f>EFEITO!$J$89*EFEITO!$Y$89</f>
        <v>0</v>
      </c>
      <c r="K89" s="65">
        <f ca="1">EFEITO!$L$89*EFEITO!$Z$89</f>
        <v>233025.87645462394</v>
      </c>
      <c r="L89" s="65">
        <f>EFEITO!$N$89*EFEITO!$AA$89</f>
        <v>316946.28278695274</v>
      </c>
      <c r="M89" s="65">
        <f>$J$89-EFEITO!$K$89*EFEITO!$Y$89</f>
        <v>0</v>
      </c>
      <c r="N89" s="65">
        <f ca="1">$K$89-EFEITO!$M$89*EFEITO!$Z$89</f>
        <v>0</v>
      </c>
      <c r="O89" s="65">
        <f>$L$89-EFEITO!$O$89*EFEITO!$AA$89</f>
        <v>0</v>
      </c>
      <c r="P89" s="48"/>
      <c r="Q89" s="48"/>
      <c r="R89" s="48"/>
      <c r="S89" s="48"/>
      <c r="T89" s="48"/>
      <c r="U89" s="48"/>
      <c r="V89" s="48"/>
      <c r="W89" s="48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1:36" ht="11.25" customHeight="1" x14ac:dyDescent="0.2">
      <c r="A90" s="44" t="s">
        <v>28</v>
      </c>
      <c r="B90" s="44" t="s">
        <v>35</v>
      </c>
      <c r="C90" s="44" t="s">
        <v>36</v>
      </c>
      <c r="D90" s="44" t="s">
        <v>34</v>
      </c>
      <c r="E90" s="44" t="s">
        <v>25</v>
      </c>
      <c r="F90" s="44" t="s">
        <v>25</v>
      </c>
      <c r="G90" s="44" t="s">
        <v>25</v>
      </c>
      <c r="H90" s="44" t="s">
        <v>38</v>
      </c>
      <c r="I90" s="64">
        <v>44713</v>
      </c>
      <c r="J90" s="65">
        <f>EFEITO!$J$90*EFEITO!$Y$90</f>
        <v>0</v>
      </c>
      <c r="K90" s="65">
        <f ca="1">EFEITO!$L$90*EFEITO!$Z$90</f>
        <v>2173.0864247670488</v>
      </c>
      <c r="L90" s="65">
        <f>EFEITO!$N$90*EFEITO!$AA$90</f>
        <v>2955.6874755015569</v>
      </c>
      <c r="M90" s="65">
        <f>$J$90-EFEITO!$K$90*EFEITO!$Y$90</f>
        <v>0</v>
      </c>
      <c r="N90" s="65">
        <f ca="1">$K$90-EFEITO!$M$90*EFEITO!$Z$90</f>
        <v>0</v>
      </c>
      <c r="O90" s="65">
        <f>$L$90-EFEITO!$O$90*EFEITO!$AA$90</f>
        <v>0</v>
      </c>
      <c r="P90" s="48"/>
      <c r="Q90" s="48"/>
      <c r="R90" s="48"/>
      <c r="S90" s="48"/>
      <c r="T90" s="48"/>
      <c r="U90" s="48"/>
      <c r="V90" s="48"/>
      <c r="W90" s="48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 ht="11.25" customHeight="1" x14ac:dyDescent="0.2">
      <c r="A91" s="44" t="s">
        <v>21</v>
      </c>
      <c r="B91" s="44" t="s">
        <v>35</v>
      </c>
      <c r="C91" s="44" t="s">
        <v>36</v>
      </c>
      <c r="D91" s="44" t="s">
        <v>34</v>
      </c>
      <c r="E91" s="44" t="s">
        <v>25</v>
      </c>
      <c r="F91" s="44" t="s">
        <v>25</v>
      </c>
      <c r="G91" s="44" t="s">
        <v>25</v>
      </c>
      <c r="H91" s="44" t="s">
        <v>38</v>
      </c>
      <c r="I91" s="64">
        <v>44743</v>
      </c>
      <c r="J91" s="65">
        <f>EFEITO!$J$91*EFEITO!$Y$91</f>
        <v>0</v>
      </c>
      <c r="K91" s="65">
        <f ca="1">EFEITO!$L$91*EFEITO!$Z$91</f>
        <v>232128.44488019802</v>
      </c>
      <c r="L91" s="65">
        <f>EFEITO!$N$91*EFEITO!$AA$91</f>
        <v>315725.65610850172</v>
      </c>
      <c r="M91" s="65">
        <f>$J$91-EFEITO!$K$91*EFEITO!$Y$91</f>
        <v>0</v>
      </c>
      <c r="N91" s="65">
        <f ca="1">$K$91-EFEITO!$M$91*EFEITO!$Z$91</f>
        <v>0</v>
      </c>
      <c r="O91" s="65">
        <f>$L$91-EFEITO!$O$91*EFEITO!$AA$91</f>
        <v>0</v>
      </c>
      <c r="P91" s="48"/>
      <c r="Q91" s="48"/>
      <c r="R91" s="48"/>
      <c r="S91" s="48"/>
      <c r="T91" s="48"/>
      <c r="U91" s="48"/>
      <c r="V91" s="48"/>
      <c r="W91" s="48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1:36" ht="11.25" customHeight="1" x14ac:dyDescent="0.2">
      <c r="A92" s="44" t="s">
        <v>21</v>
      </c>
      <c r="B92" s="44" t="s">
        <v>35</v>
      </c>
      <c r="C92" s="44" t="s">
        <v>36</v>
      </c>
      <c r="D92" s="44" t="s">
        <v>34</v>
      </c>
      <c r="E92" s="44" t="s">
        <v>25</v>
      </c>
      <c r="F92" s="44" t="s">
        <v>25</v>
      </c>
      <c r="G92" s="44" t="s">
        <v>25</v>
      </c>
      <c r="H92" s="44" t="s">
        <v>38</v>
      </c>
      <c r="I92" s="64">
        <v>44774</v>
      </c>
      <c r="J92" s="65">
        <f>EFEITO!$J$92*EFEITO!$Y$92</f>
        <v>0</v>
      </c>
      <c r="K92" s="65">
        <f ca="1">EFEITO!$L$92*EFEITO!$Z$92</f>
        <v>241897.84825542694</v>
      </c>
      <c r="L92" s="65">
        <f>EFEITO!$N$92*EFEITO!$AA$92</f>
        <v>329013.34815341531</v>
      </c>
      <c r="M92" s="65">
        <f>$J$92-EFEITO!$K$92*EFEITO!$Y$92</f>
        <v>0</v>
      </c>
      <c r="N92" s="65">
        <f ca="1">$K$92-EFEITO!$M$92*EFEITO!$Z$92</f>
        <v>0</v>
      </c>
      <c r="O92" s="65">
        <f>$L$92-EFEITO!$O$92*EFEITO!$AA$92</f>
        <v>0</v>
      </c>
      <c r="P92" s="48"/>
      <c r="Q92" s="48"/>
      <c r="R92" s="48"/>
      <c r="S92" s="48"/>
      <c r="T92" s="48"/>
      <c r="U92" s="48"/>
      <c r="V92" s="48"/>
      <c r="W92" s="48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1:36" ht="11.25" customHeight="1" x14ac:dyDescent="0.2">
      <c r="A93" s="44" t="s">
        <v>28</v>
      </c>
      <c r="B93" s="44" t="s">
        <v>35</v>
      </c>
      <c r="C93" s="44" t="s">
        <v>36</v>
      </c>
      <c r="D93" s="44" t="s">
        <v>34</v>
      </c>
      <c r="E93" s="44" t="s">
        <v>25</v>
      </c>
      <c r="F93" s="44" t="s">
        <v>25</v>
      </c>
      <c r="G93" s="44" t="s">
        <v>25</v>
      </c>
      <c r="H93" s="44" t="s">
        <v>38</v>
      </c>
      <c r="I93" s="64">
        <v>44774</v>
      </c>
      <c r="J93" s="65">
        <f>EFEITO!$J$93*EFEITO!$Y$93</f>
        <v>0</v>
      </c>
      <c r="K93" s="65">
        <f ca="1">EFEITO!$L$93*EFEITO!$Z$93</f>
        <v>1633.5091853146903</v>
      </c>
      <c r="L93" s="65">
        <f>EFEITO!$N$93*EFEITO!$AA$93</f>
        <v>2221.7904383020341</v>
      </c>
      <c r="M93" s="65">
        <f>$J$93-EFEITO!$K$93*EFEITO!$Y$93</f>
        <v>0</v>
      </c>
      <c r="N93" s="65">
        <f ca="1">$K$93-EFEITO!$M$93*EFEITO!$Z$93</f>
        <v>0</v>
      </c>
      <c r="O93" s="65">
        <f>$L$93-EFEITO!$O$93*EFEITO!$AA$93</f>
        <v>0</v>
      </c>
      <c r="P93" s="48"/>
      <c r="Q93" s="48"/>
      <c r="R93" s="48"/>
      <c r="S93" s="48"/>
      <c r="T93" s="48"/>
      <c r="U93" s="48"/>
      <c r="V93" s="48"/>
      <c r="W93" s="48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1:36" ht="11.25" customHeight="1" x14ac:dyDescent="0.2">
      <c r="A94" s="44" t="s">
        <v>21</v>
      </c>
      <c r="B94" s="44" t="s">
        <v>35</v>
      </c>
      <c r="C94" s="44" t="s">
        <v>36</v>
      </c>
      <c r="D94" s="44" t="s">
        <v>34</v>
      </c>
      <c r="E94" s="44" t="s">
        <v>25</v>
      </c>
      <c r="F94" s="44" t="s">
        <v>25</v>
      </c>
      <c r="G94" s="44" t="s">
        <v>25</v>
      </c>
      <c r="H94" s="44" t="s">
        <v>25</v>
      </c>
      <c r="I94" s="64">
        <v>44440</v>
      </c>
      <c r="J94" s="65">
        <f ca="1">EFEITO!$J$94*EFEITO!$Y$94</f>
        <v>247110.05904914794</v>
      </c>
      <c r="K94" s="65">
        <f>EFEITO!$L$94*EFEITO!$Z$94</f>
        <v>0</v>
      </c>
      <c r="L94" s="65">
        <f>EFEITO!$N$94*EFEITO!$AA$94</f>
        <v>0</v>
      </c>
      <c r="M94" s="65">
        <f ca="1">$J$94-EFEITO!$K$94*EFEITO!$Y$94</f>
        <v>0</v>
      </c>
      <c r="N94" s="65">
        <f>$K$94-EFEITO!$M$94*EFEITO!$Z$94</f>
        <v>0</v>
      </c>
      <c r="O94" s="65">
        <f>$L$94-EFEITO!$O$94*EFEITO!$AA$94</f>
        <v>0</v>
      </c>
      <c r="P94" s="48"/>
      <c r="Q94" s="48"/>
      <c r="R94" s="48"/>
      <c r="S94" s="48"/>
      <c r="T94" s="48"/>
      <c r="U94" s="48"/>
      <c r="V94" s="48"/>
      <c r="W94" s="48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1:36" ht="11.25" customHeight="1" x14ac:dyDescent="0.2">
      <c r="A95" s="44" t="s">
        <v>28</v>
      </c>
      <c r="B95" s="44" t="s">
        <v>35</v>
      </c>
      <c r="C95" s="44" t="s">
        <v>36</v>
      </c>
      <c r="D95" s="44" t="s">
        <v>34</v>
      </c>
      <c r="E95" s="44" t="s">
        <v>25</v>
      </c>
      <c r="F95" s="44" t="s">
        <v>25</v>
      </c>
      <c r="G95" s="44" t="s">
        <v>25</v>
      </c>
      <c r="H95" s="44" t="s">
        <v>25</v>
      </c>
      <c r="I95" s="64">
        <v>44440</v>
      </c>
      <c r="J95" s="65">
        <f ca="1">EFEITO!$J$95*EFEITO!$Y$95</f>
        <v>4786.0256084952198</v>
      </c>
      <c r="K95" s="65">
        <f>EFEITO!$L$95*EFEITO!$Z$95</f>
        <v>0</v>
      </c>
      <c r="L95" s="65">
        <f>EFEITO!$N$95*EFEITO!$AA$95</f>
        <v>0</v>
      </c>
      <c r="M95" s="65">
        <f ca="1">$J$95-EFEITO!$K$95*EFEITO!$Y$95</f>
        <v>0</v>
      </c>
      <c r="N95" s="65">
        <f>$K$95-EFEITO!$M$95*EFEITO!$Z$95</f>
        <v>0</v>
      </c>
      <c r="O95" s="65">
        <f>$L$95-EFEITO!$O$95*EFEITO!$AA$95</f>
        <v>0</v>
      </c>
      <c r="P95" s="48"/>
      <c r="Q95" s="48"/>
      <c r="R95" s="48"/>
      <c r="S95" s="48"/>
      <c r="T95" s="48"/>
      <c r="U95" s="48"/>
      <c r="V95" s="48"/>
      <c r="W95" s="48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1:36" ht="11.25" customHeight="1" x14ac:dyDescent="0.2">
      <c r="A96" s="44" t="s">
        <v>21</v>
      </c>
      <c r="B96" s="44" t="s">
        <v>35</v>
      </c>
      <c r="C96" s="44" t="s">
        <v>36</v>
      </c>
      <c r="D96" s="44" t="s">
        <v>34</v>
      </c>
      <c r="E96" s="44" t="s">
        <v>25</v>
      </c>
      <c r="F96" s="44" t="s">
        <v>25</v>
      </c>
      <c r="G96" s="44" t="s">
        <v>25</v>
      </c>
      <c r="H96" s="44" t="s">
        <v>25</v>
      </c>
      <c r="I96" s="64">
        <v>44470</v>
      </c>
      <c r="J96" s="65">
        <f ca="1">EFEITO!$J$96*EFEITO!$Y$96</f>
        <v>249704.58872112166</v>
      </c>
      <c r="K96" s="65">
        <f>EFEITO!$L$96*EFEITO!$Z$96</f>
        <v>0</v>
      </c>
      <c r="L96" s="65">
        <f>EFEITO!$N$96*EFEITO!$AA$96</f>
        <v>0</v>
      </c>
      <c r="M96" s="65">
        <f ca="1">$J$96-EFEITO!$K$96*EFEITO!$Y$96</f>
        <v>0</v>
      </c>
      <c r="N96" s="65">
        <f>$K$96-EFEITO!$M$96*EFEITO!$Z$96</f>
        <v>0</v>
      </c>
      <c r="O96" s="65">
        <f>$L$96-EFEITO!$O$96*EFEITO!$AA$96</f>
        <v>0</v>
      </c>
      <c r="P96" s="48"/>
      <c r="Q96" s="48"/>
      <c r="R96" s="48"/>
      <c r="S96" s="48"/>
      <c r="T96" s="48"/>
      <c r="U96" s="48"/>
      <c r="V96" s="48"/>
      <c r="W96" s="48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36" ht="11.25" customHeight="1" x14ac:dyDescent="0.2">
      <c r="A97" s="44" t="s">
        <v>28</v>
      </c>
      <c r="B97" s="44" t="s">
        <v>35</v>
      </c>
      <c r="C97" s="44" t="s">
        <v>36</v>
      </c>
      <c r="D97" s="44" t="s">
        <v>34</v>
      </c>
      <c r="E97" s="44" t="s">
        <v>25</v>
      </c>
      <c r="F97" s="44" t="s">
        <v>25</v>
      </c>
      <c r="G97" s="44" t="s">
        <v>25</v>
      </c>
      <c r="H97" s="44" t="s">
        <v>25</v>
      </c>
      <c r="I97" s="64">
        <v>44470</v>
      </c>
      <c r="J97" s="65">
        <f ca="1">EFEITO!$J$97*EFEITO!$Y$97</f>
        <v>4836.4048254267491</v>
      </c>
      <c r="K97" s="65">
        <f>EFEITO!$L$97*EFEITO!$Z$97</f>
        <v>0</v>
      </c>
      <c r="L97" s="65">
        <f>EFEITO!$N$97*EFEITO!$AA$97</f>
        <v>0</v>
      </c>
      <c r="M97" s="65">
        <f ca="1">$J$97-EFEITO!$K$97*EFEITO!$Y$97</f>
        <v>0</v>
      </c>
      <c r="N97" s="65">
        <f>$K$97-EFEITO!$M$97*EFEITO!$Z$97</f>
        <v>0</v>
      </c>
      <c r="O97" s="65">
        <f>$L$97-EFEITO!$O$97*EFEITO!$AA$97</f>
        <v>0</v>
      </c>
      <c r="P97" s="48"/>
      <c r="Q97" s="48"/>
      <c r="R97" s="48"/>
      <c r="S97" s="48"/>
      <c r="T97" s="48"/>
      <c r="U97" s="48"/>
      <c r="V97" s="48"/>
      <c r="W97" s="48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spans="1:36" ht="11.25" customHeight="1" x14ac:dyDescent="0.2">
      <c r="A98" s="44" t="s">
        <v>21</v>
      </c>
      <c r="B98" s="44" t="s">
        <v>35</v>
      </c>
      <c r="C98" s="44" t="s">
        <v>36</v>
      </c>
      <c r="D98" s="44" t="s">
        <v>34</v>
      </c>
      <c r="E98" s="44" t="s">
        <v>25</v>
      </c>
      <c r="F98" s="44" t="s">
        <v>25</v>
      </c>
      <c r="G98" s="44" t="s">
        <v>25</v>
      </c>
      <c r="H98" s="44" t="s">
        <v>25</v>
      </c>
      <c r="I98" s="64">
        <v>44501</v>
      </c>
      <c r="J98" s="65">
        <f ca="1">EFEITO!$J$98*EFEITO!$Y$98</f>
        <v>245598.68254120208</v>
      </c>
      <c r="K98" s="65">
        <f>EFEITO!$L$98*EFEITO!$Z$98</f>
        <v>0</v>
      </c>
      <c r="L98" s="65">
        <f>EFEITO!$N$98*EFEITO!$AA$98</f>
        <v>0</v>
      </c>
      <c r="M98" s="65">
        <f ca="1">$J$98-EFEITO!$K$98*EFEITO!$Y$98</f>
        <v>0</v>
      </c>
      <c r="N98" s="65">
        <f>$K$98-EFEITO!$M$98*EFEITO!$Z$98</f>
        <v>0</v>
      </c>
      <c r="O98" s="65">
        <f>$L$98-EFEITO!$O$98*EFEITO!$AA$98</f>
        <v>0</v>
      </c>
      <c r="P98" s="48"/>
      <c r="Q98" s="48"/>
      <c r="R98" s="48"/>
      <c r="S98" s="48"/>
      <c r="T98" s="48"/>
      <c r="U98" s="48"/>
      <c r="V98" s="48"/>
      <c r="W98" s="48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 ht="11.25" customHeight="1" x14ac:dyDescent="0.2">
      <c r="A99" s="44" t="s">
        <v>28</v>
      </c>
      <c r="B99" s="44" t="s">
        <v>35</v>
      </c>
      <c r="C99" s="44" t="s">
        <v>36</v>
      </c>
      <c r="D99" s="44" t="s">
        <v>34</v>
      </c>
      <c r="E99" s="44" t="s">
        <v>25</v>
      </c>
      <c r="F99" s="44" t="s">
        <v>25</v>
      </c>
      <c r="G99" s="44" t="s">
        <v>25</v>
      </c>
      <c r="H99" s="44" t="s">
        <v>25</v>
      </c>
      <c r="I99" s="64">
        <v>44501</v>
      </c>
      <c r="J99" s="65">
        <f ca="1">EFEITO!$J$99*EFEITO!$Y$99</f>
        <v>10000.274560908434</v>
      </c>
      <c r="K99" s="65">
        <f>EFEITO!$L$99*EFEITO!$Z$99</f>
        <v>0</v>
      </c>
      <c r="L99" s="65">
        <f>EFEITO!$N$99*EFEITO!$AA$99</f>
        <v>0</v>
      </c>
      <c r="M99" s="65">
        <f ca="1">$J$99-EFEITO!$K$99*EFEITO!$Y$99</f>
        <v>0</v>
      </c>
      <c r="N99" s="65">
        <f>$K$99-EFEITO!$M$99*EFEITO!$Z$99</f>
        <v>0</v>
      </c>
      <c r="O99" s="65">
        <f>$L$99-EFEITO!$O$99*EFEITO!$AA$99</f>
        <v>0</v>
      </c>
      <c r="P99" s="48"/>
      <c r="Q99" s="48"/>
      <c r="R99" s="48"/>
      <c r="S99" s="48"/>
      <c r="T99" s="48"/>
      <c r="U99" s="48"/>
      <c r="V99" s="48"/>
      <c r="W99" s="48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1:36" ht="11.25" customHeight="1" x14ac:dyDescent="0.2">
      <c r="A100" s="44" t="s">
        <v>21</v>
      </c>
      <c r="B100" s="44" t="s">
        <v>35</v>
      </c>
      <c r="C100" s="44" t="s">
        <v>36</v>
      </c>
      <c r="D100" s="44" t="s">
        <v>34</v>
      </c>
      <c r="E100" s="44" t="s">
        <v>25</v>
      </c>
      <c r="F100" s="44" t="s">
        <v>25</v>
      </c>
      <c r="G100" s="44" t="s">
        <v>25</v>
      </c>
      <c r="H100" s="44" t="s">
        <v>25</v>
      </c>
      <c r="I100" s="64">
        <v>44531</v>
      </c>
      <c r="J100" s="65">
        <f ca="1">EFEITO!$J$100*EFEITO!$Y$100</f>
        <v>244565.90859410574</v>
      </c>
      <c r="K100" s="65">
        <f>EFEITO!$L$100*EFEITO!$Z$100</f>
        <v>0</v>
      </c>
      <c r="L100" s="65">
        <f>EFEITO!$N$100*EFEITO!$AA$100</f>
        <v>0</v>
      </c>
      <c r="M100" s="65">
        <f ca="1">$J$100-EFEITO!$K$100*EFEITO!$Y$100</f>
        <v>0</v>
      </c>
      <c r="N100" s="65">
        <f>$K$100-EFEITO!$M$100*EFEITO!$Z$100</f>
        <v>0</v>
      </c>
      <c r="O100" s="65">
        <f>$L$100-EFEITO!$O$100*EFEITO!$AA$100</f>
        <v>0</v>
      </c>
      <c r="P100" s="48"/>
      <c r="Q100" s="48"/>
      <c r="R100" s="48"/>
      <c r="S100" s="48"/>
      <c r="T100" s="48"/>
      <c r="U100" s="48"/>
      <c r="V100" s="48"/>
      <c r="W100" s="48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1:36" ht="11.25" customHeight="1" x14ac:dyDescent="0.2">
      <c r="A101" s="44" t="s">
        <v>28</v>
      </c>
      <c r="B101" s="44" t="s">
        <v>35</v>
      </c>
      <c r="C101" s="44" t="s">
        <v>36</v>
      </c>
      <c r="D101" s="44" t="s">
        <v>34</v>
      </c>
      <c r="E101" s="44" t="s">
        <v>25</v>
      </c>
      <c r="F101" s="44" t="s">
        <v>25</v>
      </c>
      <c r="G101" s="44" t="s">
        <v>25</v>
      </c>
      <c r="H101" s="44" t="s">
        <v>25</v>
      </c>
      <c r="I101" s="64">
        <v>44531</v>
      </c>
      <c r="J101" s="65">
        <f ca="1">EFEITO!$J$101*EFEITO!$Y$101</f>
        <v>11083.427724936299</v>
      </c>
      <c r="K101" s="65">
        <f>EFEITO!$L$101*EFEITO!$Z$101</f>
        <v>0</v>
      </c>
      <c r="L101" s="65">
        <f>EFEITO!$N$101*EFEITO!$AA$101</f>
        <v>0</v>
      </c>
      <c r="M101" s="65">
        <f ca="1">$J$101-EFEITO!$K$101*EFEITO!$Y$101</f>
        <v>0</v>
      </c>
      <c r="N101" s="65">
        <f>$K$101-EFEITO!$M$101*EFEITO!$Z$101</f>
        <v>0</v>
      </c>
      <c r="O101" s="65">
        <f>$L$101-EFEITO!$O$101*EFEITO!$AA$101</f>
        <v>0</v>
      </c>
      <c r="P101" s="48"/>
      <c r="Q101" s="48"/>
      <c r="R101" s="48"/>
      <c r="S101" s="48"/>
      <c r="T101" s="48"/>
      <c r="U101" s="48"/>
      <c r="V101" s="48"/>
      <c r="W101" s="48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spans="1:36" ht="11.25" customHeight="1" x14ac:dyDescent="0.2">
      <c r="A102" s="44" t="s">
        <v>21</v>
      </c>
      <c r="B102" s="44" t="s">
        <v>35</v>
      </c>
      <c r="C102" s="44" t="s">
        <v>36</v>
      </c>
      <c r="D102" s="44" t="s">
        <v>34</v>
      </c>
      <c r="E102" s="44" t="s">
        <v>25</v>
      </c>
      <c r="F102" s="44" t="s">
        <v>25</v>
      </c>
      <c r="G102" s="44" t="s">
        <v>25</v>
      </c>
      <c r="H102" s="44" t="s">
        <v>25</v>
      </c>
      <c r="I102" s="64">
        <v>44562</v>
      </c>
      <c r="J102" s="65">
        <f ca="1">EFEITO!$J$102*EFEITO!$Y$102</f>
        <v>269906.65471066465</v>
      </c>
      <c r="K102" s="65">
        <f>EFEITO!$L$102*EFEITO!$Z$102</f>
        <v>0</v>
      </c>
      <c r="L102" s="65">
        <f>EFEITO!$N$102*EFEITO!$AA$102</f>
        <v>0</v>
      </c>
      <c r="M102" s="65">
        <f ca="1">$J$102-EFEITO!$K$102*EFEITO!$Y$102</f>
        <v>0</v>
      </c>
      <c r="N102" s="65">
        <f>$K$102-EFEITO!$M$102*EFEITO!$Z$102</f>
        <v>0</v>
      </c>
      <c r="O102" s="65">
        <f>$L$102-EFEITO!$O$102*EFEITO!$AA$102</f>
        <v>0</v>
      </c>
      <c r="P102" s="48"/>
      <c r="Q102" s="48"/>
      <c r="R102" s="48"/>
      <c r="S102" s="48"/>
      <c r="T102" s="48"/>
      <c r="U102" s="48"/>
      <c r="V102" s="48"/>
      <c r="W102" s="48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spans="1:36" ht="11.25" customHeight="1" x14ac:dyDescent="0.2">
      <c r="A103" s="44" t="s">
        <v>28</v>
      </c>
      <c r="B103" s="44" t="s">
        <v>35</v>
      </c>
      <c r="C103" s="44" t="s">
        <v>36</v>
      </c>
      <c r="D103" s="44" t="s">
        <v>34</v>
      </c>
      <c r="E103" s="44" t="s">
        <v>25</v>
      </c>
      <c r="F103" s="44" t="s">
        <v>25</v>
      </c>
      <c r="G103" s="44" t="s">
        <v>25</v>
      </c>
      <c r="H103" s="44" t="s">
        <v>25</v>
      </c>
      <c r="I103" s="64">
        <v>44562</v>
      </c>
      <c r="J103" s="65">
        <f ca="1">EFEITO!$J$103*EFEITO!$Y$103</f>
        <v>11083.427724936299</v>
      </c>
      <c r="K103" s="65">
        <f>EFEITO!$L$103*EFEITO!$Z$103</f>
        <v>0</v>
      </c>
      <c r="L103" s="65">
        <f>EFEITO!$N$103*EFEITO!$AA$103</f>
        <v>0</v>
      </c>
      <c r="M103" s="65">
        <f ca="1">$J$103-EFEITO!$K$103*EFEITO!$Y$103</f>
        <v>0</v>
      </c>
      <c r="N103" s="65">
        <f>$K$103-EFEITO!$M$103*EFEITO!$Z$103</f>
        <v>0</v>
      </c>
      <c r="O103" s="65">
        <f>$L$103-EFEITO!$O$103*EFEITO!$AA$103</f>
        <v>0</v>
      </c>
      <c r="P103" s="48"/>
      <c r="Q103" s="48"/>
      <c r="R103" s="48"/>
      <c r="S103" s="48"/>
      <c r="T103" s="48"/>
      <c r="U103" s="48"/>
      <c r="V103" s="48"/>
      <c r="W103" s="48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spans="1:36" ht="11.25" customHeight="1" x14ac:dyDescent="0.2">
      <c r="A104" s="44" t="s">
        <v>21</v>
      </c>
      <c r="B104" s="44" t="s">
        <v>35</v>
      </c>
      <c r="C104" s="44" t="s">
        <v>36</v>
      </c>
      <c r="D104" s="44" t="s">
        <v>34</v>
      </c>
      <c r="E104" s="44" t="s">
        <v>25</v>
      </c>
      <c r="F104" s="44" t="s">
        <v>25</v>
      </c>
      <c r="G104" s="44" t="s">
        <v>25</v>
      </c>
      <c r="H104" s="44" t="s">
        <v>25</v>
      </c>
      <c r="I104" s="64">
        <v>44593</v>
      </c>
      <c r="J104" s="65">
        <f ca="1">EFEITO!$J$104*EFEITO!$Y$104</f>
        <v>274264.45697524189</v>
      </c>
      <c r="K104" s="65">
        <f>EFEITO!$L$104*EFEITO!$Z$104</f>
        <v>0</v>
      </c>
      <c r="L104" s="65">
        <f>EFEITO!$N$104*EFEITO!$AA$104</f>
        <v>0</v>
      </c>
      <c r="M104" s="65">
        <f ca="1">$J$104-EFEITO!$K$104*EFEITO!$Y$104</f>
        <v>0</v>
      </c>
      <c r="N104" s="65">
        <f>$K$104-EFEITO!$M$104*EFEITO!$Z$104</f>
        <v>0</v>
      </c>
      <c r="O104" s="65">
        <f>$L$104-EFEITO!$O$104*EFEITO!$AA$104</f>
        <v>0</v>
      </c>
      <c r="P104" s="48"/>
      <c r="Q104" s="48"/>
      <c r="R104" s="48"/>
      <c r="S104" s="48"/>
      <c r="T104" s="48"/>
      <c r="U104" s="48"/>
      <c r="V104" s="48"/>
      <c r="W104" s="48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spans="1:36" ht="11.25" customHeight="1" x14ac:dyDescent="0.2">
      <c r="A105" s="44" t="s">
        <v>28</v>
      </c>
      <c r="B105" s="44" t="s">
        <v>35</v>
      </c>
      <c r="C105" s="44" t="s">
        <v>36</v>
      </c>
      <c r="D105" s="44" t="s">
        <v>34</v>
      </c>
      <c r="E105" s="44" t="s">
        <v>25</v>
      </c>
      <c r="F105" s="44" t="s">
        <v>25</v>
      </c>
      <c r="G105" s="44" t="s">
        <v>25</v>
      </c>
      <c r="H105" s="44" t="s">
        <v>25</v>
      </c>
      <c r="I105" s="64">
        <v>44593</v>
      </c>
      <c r="J105" s="65">
        <f ca="1">EFEITO!$J$105*EFEITO!$Y$105</f>
        <v>11436.082243457</v>
      </c>
      <c r="K105" s="65">
        <f>EFEITO!$L$105*EFEITO!$Z$105</f>
        <v>0</v>
      </c>
      <c r="L105" s="65">
        <f>EFEITO!$N$105*EFEITO!$AA$105</f>
        <v>0</v>
      </c>
      <c r="M105" s="65">
        <f ca="1">$J$105-EFEITO!$K$105*EFEITO!$Y$105</f>
        <v>0</v>
      </c>
      <c r="N105" s="65">
        <f>$K$105-EFEITO!$M$105*EFEITO!$Z$105</f>
        <v>0</v>
      </c>
      <c r="O105" s="65">
        <f>$L$105-EFEITO!$O$105*EFEITO!$AA$105</f>
        <v>0</v>
      </c>
      <c r="P105" s="48"/>
      <c r="Q105" s="48"/>
      <c r="R105" s="48"/>
      <c r="S105" s="48"/>
      <c r="T105" s="48"/>
      <c r="U105" s="48"/>
      <c r="V105" s="48"/>
      <c r="W105" s="48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spans="1:36" ht="11.25" customHeight="1" x14ac:dyDescent="0.2">
      <c r="A106" s="44" t="s">
        <v>21</v>
      </c>
      <c r="B106" s="44" t="s">
        <v>35</v>
      </c>
      <c r="C106" s="44" t="s">
        <v>36</v>
      </c>
      <c r="D106" s="44" t="s">
        <v>34</v>
      </c>
      <c r="E106" s="44" t="s">
        <v>25</v>
      </c>
      <c r="F106" s="44" t="s">
        <v>25</v>
      </c>
      <c r="G106" s="44" t="s">
        <v>25</v>
      </c>
      <c r="H106" s="44" t="s">
        <v>25</v>
      </c>
      <c r="I106" s="64">
        <v>44621</v>
      </c>
      <c r="J106" s="65">
        <f ca="1">EFEITO!$J$106*EFEITO!$Y$106</f>
        <v>270964.61826622672</v>
      </c>
      <c r="K106" s="65">
        <f>EFEITO!$L$106*EFEITO!$Z$106</f>
        <v>0</v>
      </c>
      <c r="L106" s="65">
        <f>EFEITO!$N$106*EFEITO!$AA$106</f>
        <v>0</v>
      </c>
      <c r="M106" s="65">
        <f ca="1">$J$106-EFEITO!$K$106*EFEITO!$Y$106</f>
        <v>0</v>
      </c>
      <c r="N106" s="65">
        <f>$K$106-EFEITO!$M$106*EFEITO!$Z$106</f>
        <v>0</v>
      </c>
      <c r="O106" s="65">
        <f>$L$106-EFEITO!$O$106*EFEITO!$AA$106</f>
        <v>0</v>
      </c>
      <c r="P106" s="48"/>
      <c r="Q106" s="48"/>
      <c r="R106" s="48"/>
      <c r="S106" s="48"/>
      <c r="T106" s="48"/>
      <c r="U106" s="48"/>
      <c r="V106" s="48"/>
      <c r="W106" s="48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spans="1:36" ht="11.25" customHeight="1" x14ac:dyDescent="0.2">
      <c r="A107" s="44" t="s">
        <v>28</v>
      </c>
      <c r="B107" s="44" t="s">
        <v>35</v>
      </c>
      <c r="C107" s="44" t="s">
        <v>36</v>
      </c>
      <c r="D107" s="44" t="s">
        <v>34</v>
      </c>
      <c r="E107" s="44" t="s">
        <v>25</v>
      </c>
      <c r="F107" s="44" t="s">
        <v>25</v>
      </c>
      <c r="G107" s="44" t="s">
        <v>25</v>
      </c>
      <c r="H107" s="44" t="s">
        <v>25</v>
      </c>
      <c r="I107" s="64">
        <v>44621</v>
      </c>
      <c r="J107" s="65">
        <f ca="1">EFEITO!$J$107*EFEITO!$Y$107</f>
        <v>11234.565375730885</v>
      </c>
      <c r="K107" s="65">
        <f>EFEITO!$L$107*EFEITO!$Z$107</f>
        <v>0</v>
      </c>
      <c r="L107" s="65">
        <f>EFEITO!$N$107*EFEITO!$AA$107</f>
        <v>0</v>
      </c>
      <c r="M107" s="65">
        <f ca="1">$J$107-EFEITO!$K$107*EFEITO!$Y$107</f>
        <v>0</v>
      </c>
      <c r="N107" s="65">
        <f>$K$107-EFEITO!$M$107*EFEITO!$Z$107</f>
        <v>0</v>
      </c>
      <c r="O107" s="65">
        <f>$L$107-EFEITO!$O$107*EFEITO!$AA$107</f>
        <v>0</v>
      </c>
      <c r="P107" s="48"/>
      <c r="Q107" s="48"/>
      <c r="R107" s="48"/>
      <c r="S107" s="48"/>
      <c r="T107" s="48"/>
      <c r="U107" s="48"/>
      <c r="V107" s="48"/>
      <c r="W107" s="48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spans="1:36" ht="11.25" customHeight="1" x14ac:dyDescent="0.2">
      <c r="A108" s="44" t="s">
        <v>21</v>
      </c>
      <c r="B108" s="44" t="s">
        <v>35</v>
      </c>
      <c r="C108" s="44" t="s">
        <v>36</v>
      </c>
      <c r="D108" s="44" t="s">
        <v>34</v>
      </c>
      <c r="E108" s="44" t="s">
        <v>25</v>
      </c>
      <c r="F108" s="44" t="s">
        <v>25</v>
      </c>
      <c r="G108" s="44" t="s">
        <v>25</v>
      </c>
      <c r="H108" s="44" t="s">
        <v>25</v>
      </c>
      <c r="I108" s="64">
        <v>44652</v>
      </c>
      <c r="J108" s="65">
        <f ca="1">EFEITO!$J$108*EFEITO!$Y$108</f>
        <v>273987.37128211849</v>
      </c>
      <c r="K108" s="65">
        <f>EFEITO!$L$108*EFEITO!$Z$108</f>
        <v>0</v>
      </c>
      <c r="L108" s="65">
        <f>EFEITO!$N$108*EFEITO!$AA$108</f>
        <v>0</v>
      </c>
      <c r="M108" s="65">
        <f ca="1">$J$108-EFEITO!$K$108*EFEITO!$Y$108</f>
        <v>0</v>
      </c>
      <c r="N108" s="65">
        <f>$K$108-EFEITO!$M$108*EFEITO!$Z$108</f>
        <v>0</v>
      </c>
      <c r="O108" s="65">
        <f>$L$108-EFEITO!$O$108*EFEITO!$AA$108</f>
        <v>0</v>
      </c>
      <c r="P108" s="48"/>
      <c r="Q108" s="48"/>
      <c r="R108" s="48"/>
      <c r="S108" s="48"/>
      <c r="T108" s="48"/>
      <c r="U108" s="48"/>
      <c r="V108" s="48"/>
      <c r="W108" s="48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spans="1:36" ht="11.25" customHeight="1" x14ac:dyDescent="0.2">
      <c r="A109" s="44" t="s">
        <v>28</v>
      </c>
      <c r="B109" s="44" t="s">
        <v>35</v>
      </c>
      <c r="C109" s="44" t="s">
        <v>36</v>
      </c>
      <c r="D109" s="44" t="s">
        <v>34</v>
      </c>
      <c r="E109" s="44" t="s">
        <v>25</v>
      </c>
      <c r="F109" s="44" t="s">
        <v>25</v>
      </c>
      <c r="G109" s="44" t="s">
        <v>25</v>
      </c>
      <c r="H109" s="44" t="s">
        <v>25</v>
      </c>
      <c r="I109" s="64">
        <v>44652</v>
      </c>
      <c r="J109" s="65">
        <f ca="1">EFEITO!$J$109*EFEITO!$Y$109</f>
        <v>12116.201672032636</v>
      </c>
      <c r="K109" s="65">
        <f>EFEITO!$L$109*EFEITO!$Z$109</f>
        <v>0</v>
      </c>
      <c r="L109" s="65">
        <f>EFEITO!$N$109*EFEITO!$AA$109</f>
        <v>0</v>
      </c>
      <c r="M109" s="65">
        <f ca="1">$J$109-EFEITO!$K$109*EFEITO!$Y$109</f>
        <v>0</v>
      </c>
      <c r="N109" s="65">
        <f>$K$109-EFEITO!$M$109*EFEITO!$Z$109</f>
        <v>0</v>
      </c>
      <c r="O109" s="65">
        <f>$L$109-EFEITO!$O$109*EFEITO!$AA$109</f>
        <v>0</v>
      </c>
      <c r="P109" s="48"/>
      <c r="Q109" s="48"/>
      <c r="R109" s="48"/>
      <c r="S109" s="48"/>
      <c r="T109" s="48"/>
      <c r="U109" s="48"/>
      <c r="V109" s="48"/>
      <c r="W109" s="48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spans="1:36" ht="11.25" customHeight="1" x14ac:dyDescent="0.2">
      <c r="A110" s="44" t="s">
        <v>21</v>
      </c>
      <c r="B110" s="44" t="s">
        <v>35</v>
      </c>
      <c r="C110" s="44" t="s">
        <v>36</v>
      </c>
      <c r="D110" s="44" t="s">
        <v>34</v>
      </c>
      <c r="E110" s="44" t="s">
        <v>25</v>
      </c>
      <c r="F110" s="44" t="s">
        <v>25</v>
      </c>
      <c r="G110" s="44" t="s">
        <v>25</v>
      </c>
      <c r="H110" s="44" t="s">
        <v>25</v>
      </c>
      <c r="I110" s="64">
        <v>44682</v>
      </c>
      <c r="J110" s="65">
        <f ca="1">EFEITO!$J$110*EFEITO!$Y$110</f>
        <v>274465.973842968</v>
      </c>
      <c r="K110" s="65">
        <f>EFEITO!$L$110*EFEITO!$Z$110</f>
        <v>0</v>
      </c>
      <c r="L110" s="65">
        <f>EFEITO!$N$110*EFEITO!$AA$110</f>
        <v>0</v>
      </c>
      <c r="M110" s="65">
        <f ca="1">$J$110-EFEITO!$K$110*EFEITO!$Y$110</f>
        <v>0</v>
      </c>
      <c r="N110" s="65">
        <f>$K$110-EFEITO!$M$110*EFEITO!$Z$110</f>
        <v>0</v>
      </c>
      <c r="O110" s="65">
        <f>$L$110-EFEITO!$O$110*EFEITO!$AA$110</f>
        <v>0</v>
      </c>
      <c r="P110" s="48"/>
      <c r="Q110" s="48"/>
      <c r="R110" s="48"/>
      <c r="S110" s="48"/>
      <c r="T110" s="48"/>
      <c r="U110" s="48"/>
      <c r="V110" s="48"/>
      <c r="W110" s="48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spans="1:36" ht="11.25" customHeight="1" x14ac:dyDescent="0.2">
      <c r="A111" s="44" t="s">
        <v>28</v>
      </c>
      <c r="B111" s="44" t="s">
        <v>35</v>
      </c>
      <c r="C111" s="44" t="s">
        <v>36</v>
      </c>
      <c r="D111" s="44" t="s">
        <v>34</v>
      </c>
      <c r="E111" s="44" t="s">
        <v>25</v>
      </c>
      <c r="F111" s="44" t="s">
        <v>25</v>
      </c>
      <c r="G111" s="44" t="s">
        <v>25</v>
      </c>
      <c r="H111" s="44" t="s">
        <v>25</v>
      </c>
      <c r="I111" s="64">
        <v>44682</v>
      </c>
      <c r="J111" s="65">
        <f ca="1">EFEITO!$J$111*EFEITO!$Y$111</f>
        <v>11839.115978909229</v>
      </c>
      <c r="K111" s="65">
        <f>EFEITO!$L$111*EFEITO!$Z$111</f>
        <v>0</v>
      </c>
      <c r="L111" s="65">
        <f>EFEITO!$N$111*EFEITO!$AA$111</f>
        <v>0</v>
      </c>
      <c r="M111" s="65">
        <f ca="1">$J$111-EFEITO!$K$111*EFEITO!$Y$111</f>
        <v>0</v>
      </c>
      <c r="N111" s="65">
        <f>$K$111-EFEITO!$M$111*EFEITO!$Z$111</f>
        <v>0</v>
      </c>
      <c r="O111" s="65">
        <f>$L$111-EFEITO!$O$111*EFEITO!$AA$111</f>
        <v>0</v>
      </c>
      <c r="P111" s="48"/>
      <c r="Q111" s="48"/>
      <c r="R111" s="48"/>
      <c r="S111" s="48"/>
      <c r="T111" s="48"/>
      <c r="U111" s="48"/>
      <c r="V111" s="48"/>
      <c r="W111" s="48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spans="1:36" ht="11.25" customHeight="1" x14ac:dyDescent="0.2">
      <c r="A112" s="44" t="s">
        <v>21</v>
      </c>
      <c r="B112" s="44" t="s">
        <v>35</v>
      </c>
      <c r="C112" s="44" t="s">
        <v>36</v>
      </c>
      <c r="D112" s="44" t="s">
        <v>34</v>
      </c>
      <c r="E112" s="44" t="s">
        <v>25</v>
      </c>
      <c r="F112" s="44" t="s">
        <v>25</v>
      </c>
      <c r="G112" s="44" t="s">
        <v>25</v>
      </c>
      <c r="H112" s="44" t="s">
        <v>25</v>
      </c>
      <c r="I112" s="64">
        <v>44713</v>
      </c>
      <c r="J112" s="65">
        <f ca="1">EFEITO!$J$112*EFEITO!$Y$112</f>
        <v>274012.56089058425</v>
      </c>
      <c r="K112" s="65">
        <f>EFEITO!$L$112*EFEITO!$Z$112</f>
        <v>0</v>
      </c>
      <c r="L112" s="65">
        <f>EFEITO!$N$112*EFEITO!$AA$112</f>
        <v>0</v>
      </c>
      <c r="M112" s="65">
        <f ca="1">$J$112-EFEITO!$K$112*EFEITO!$Y$112</f>
        <v>0</v>
      </c>
      <c r="N112" s="65">
        <f>$K$112-EFEITO!$M$112*EFEITO!$Z$112</f>
        <v>0</v>
      </c>
      <c r="O112" s="65">
        <f>$L$112-EFEITO!$O$112*EFEITO!$AA$112</f>
        <v>0</v>
      </c>
      <c r="P112" s="48"/>
      <c r="Q112" s="48"/>
      <c r="R112" s="48"/>
      <c r="S112" s="48"/>
      <c r="T112" s="48"/>
      <c r="U112" s="48"/>
      <c r="V112" s="48"/>
      <c r="W112" s="48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spans="1:36" ht="11.25" customHeight="1" x14ac:dyDescent="0.2">
      <c r="A113" s="44" t="s">
        <v>28</v>
      </c>
      <c r="B113" s="44" t="s">
        <v>35</v>
      </c>
      <c r="C113" s="44" t="s">
        <v>36</v>
      </c>
      <c r="D113" s="44" t="s">
        <v>34</v>
      </c>
      <c r="E113" s="44" t="s">
        <v>25</v>
      </c>
      <c r="F113" s="44" t="s">
        <v>25</v>
      </c>
      <c r="G113" s="44" t="s">
        <v>25</v>
      </c>
      <c r="H113" s="44" t="s">
        <v>25</v>
      </c>
      <c r="I113" s="64">
        <v>44713</v>
      </c>
      <c r="J113" s="65">
        <f ca="1">EFEITO!$J$113*EFEITO!$Y$113</f>
        <v>11083.427724936299</v>
      </c>
      <c r="K113" s="65">
        <f>EFEITO!$L$113*EFEITO!$Z$113</f>
        <v>0</v>
      </c>
      <c r="L113" s="65">
        <f>EFEITO!$N$113*EFEITO!$AA$113</f>
        <v>0</v>
      </c>
      <c r="M113" s="65">
        <f ca="1">$J$113-EFEITO!$K$113*EFEITO!$Y$113</f>
        <v>0</v>
      </c>
      <c r="N113" s="65">
        <f>$K$113-EFEITO!$M$113*EFEITO!$Z$113</f>
        <v>0</v>
      </c>
      <c r="O113" s="65">
        <f>$L$113-EFEITO!$O$113*EFEITO!$AA$113</f>
        <v>0</v>
      </c>
      <c r="P113" s="48"/>
      <c r="Q113" s="48"/>
      <c r="R113" s="48"/>
      <c r="S113" s="48"/>
      <c r="T113" s="48"/>
      <c r="U113" s="48"/>
      <c r="V113" s="48"/>
      <c r="W113" s="48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spans="1:36" ht="11.25" customHeight="1" x14ac:dyDescent="0.2">
      <c r="A114" s="44" t="s">
        <v>21</v>
      </c>
      <c r="B114" s="44" t="s">
        <v>35</v>
      </c>
      <c r="C114" s="44" t="s">
        <v>36</v>
      </c>
      <c r="D114" s="44" t="s">
        <v>34</v>
      </c>
      <c r="E114" s="44" t="s">
        <v>25</v>
      </c>
      <c r="F114" s="44" t="s">
        <v>25</v>
      </c>
      <c r="G114" s="44" t="s">
        <v>25</v>
      </c>
      <c r="H114" s="44" t="s">
        <v>25</v>
      </c>
      <c r="I114" s="64">
        <v>44743</v>
      </c>
      <c r="J114" s="65">
        <f ca="1">EFEITO!$J$114*EFEITO!$Y$114</f>
        <v>271695.11691173393</v>
      </c>
      <c r="K114" s="65">
        <f>EFEITO!$L$114*EFEITO!$Z$114</f>
        <v>0</v>
      </c>
      <c r="L114" s="65">
        <f>EFEITO!$N$114*EFEITO!$AA$114</f>
        <v>0</v>
      </c>
      <c r="M114" s="65">
        <f ca="1">$J$114-EFEITO!$K$114*EFEITO!$Y$114</f>
        <v>0</v>
      </c>
      <c r="N114" s="65">
        <f>$K$114-EFEITO!$M$114*EFEITO!$Z$114</f>
        <v>0</v>
      </c>
      <c r="O114" s="65">
        <f>$L$114-EFEITO!$O$114*EFEITO!$AA$114</f>
        <v>0</v>
      </c>
      <c r="P114" s="48"/>
      <c r="Q114" s="48"/>
      <c r="R114" s="48"/>
      <c r="S114" s="48"/>
      <c r="T114" s="48"/>
      <c r="U114" s="48"/>
      <c r="V114" s="48"/>
      <c r="W114" s="48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spans="1:36" ht="11.25" customHeight="1" x14ac:dyDescent="0.2">
      <c r="A115" s="44" t="s">
        <v>28</v>
      </c>
      <c r="B115" s="44" t="s">
        <v>35</v>
      </c>
      <c r="C115" s="44" t="s">
        <v>36</v>
      </c>
      <c r="D115" s="44" t="s">
        <v>34</v>
      </c>
      <c r="E115" s="44" t="s">
        <v>25</v>
      </c>
      <c r="F115" s="44" t="s">
        <v>25</v>
      </c>
      <c r="G115" s="44" t="s">
        <v>25</v>
      </c>
      <c r="H115" s="44" t="s">
        <v>25</v>
      </c>
      <c r="I115" s="64">
        <v>44743</v>
      </c>
      <c r="J115" s="65">
        <f ca="1">EFEITO!$J$115*EFEITO!$Y$115</f>
        <v>11335.323809593941</v>
      </c>
      <c r="K115" s="65">
        <f>EFEITO!$L$115*EFEITO!$Z$115</f>
        <v>0</v>
      </c>
      <c r="L115" s="65">
        <f>EFEITO!$N$115*EFEITO!$AA$115</f>
        <v>0</v>
      </c>
      <c r="M115" s="65">
        <f ca="1">$J$115-EFEITO!$K$115*EFEITO!$Y$115</f>
        <v>0</v>
      </c>
      <c r="N115" s="65">
        <f>$K$115-EFEITO!$M$115*EFEITO!$Z$115</f>
        <v>0</v>
      </c>
      <c r="O115" s="65">
        <f>$L$115-EFEITO!$O$115*EFEITO!$AA$115</f>
        <v>0</v>
      </c>
      <c r="P115" s="48"/>
      <c r="Q115" s="48"/>
      <c r="R115" s="48"/>
      <c r="S115" s="48"/>
      <c r="T115" s="48"/>
      <c r="U115" s="48"/>
      <c r="V115" s="48"/>
      <c r="W115" s="48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spans="1:36" ht="11.25" customHeight="1" x14ac:dyDescent="0.2">
      <c r="A116" s="44" t="s">
        <v>21</v>
      </c>
      <c r="B116" s="44" t="s">
        <v>35</v>
      </c>
      <c r="C116" s="44" t="s">
        <v>36</v>
      </c>
      <c r="D116" s="44" t="s">
        <v>34</v>
      </c>
      <c r="E116" s="44" t="s">
        <v>25</v>
      </c>
      <c r="F116" s="44" t="s">
        <v>25</v>
      </c>
      <c r="G116" s="44" t="s">
        <v>25</v>
      </c>
      <c r="H116" s="44" t="s">
        <v>25</v>
      </c>
      <c r="I116" s="64">
        <v>44774</v>
      </c>
      <c r="J116" s="65">
        <f ca="1">EFEITO!$J$116*EFEITO!$Y$116</f>
        <v>270939.42865776096</v>
      </c>
      <c r="K116" s="65">
        <f>EFEITO!$L$116*EFEITO!$Z$116</f>
        <v>0</v>
      </c>
      <c r="L116" s="65">
        <f>EFEITO!$N$116*EFEITO!$AA$116</f>
        <v>0</v>
      </c>
      <c r="M116" s="65">
        <f ca="1">$J$116-EFEITO!$K$116*EFEITO!$Y$116</f>
        <v>0</v>
      </c>
      <c r="N116" s="65">
        <f>$K$116-EFEITO!$M$116*EFEITO!$Z$116</f>
        <v>0</v>
      </c>
      <c r="O116" s="65">
        <f>$L$116-EFEITO!$O$116*EFEITO!$AA$116</f>
        <v>0</v>
      </c>
      <c r="P116" s="48"/>
      <c r="Q116" s="48"/>
      <c r="R116" s="48"/>
      <c r="S116" s="48"/>
      <c r="T116" s="48"/>
      <c r="U116" s="48"/>
      <c r="V116" s="48"/>
      <c r="W116" s="48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spans="1:36" ht="11.25" customHeight="1" x14ac:dyDescent="0.2">
      <c r="A117" s="44" t="s">
        <v>28</v>
      </c>
      <c r="B117" s="44" t="s">
        <v>35</v>
      </c>
      <c r="C117" s="44" t="s">
        <v>36</v>
      </c>
      <c r="D117" s="44" t="s">
        <v>34</v>
      </c>
      <c r="E117" s="44" t="s">
        <v>25</v>
      </c>
      <c r="F117" s="44" t="s">
        <v>25</v>
      </c>
      <c r="G117" s="44" t="s">
        <v>25</v>
      </c>
      <c r="H117" s="44" t="s">
        <v>25</v>
      </c>
      <c r="I117" s="64">
        <v>44774</v>
      </c>
      <c r="J117" s="65">
        <f ca="1">EFEITO!$J$117*EFEITO!$Y$117</f>
        <v>14559.593693211775</v>
      </c>
      <c r="K117" s="65">
        <f>EFEITO!$L$117*EFEITO!$Z$117</f>
        <v>0</v>
      </c>
      <c r="L117" s="65">
        <f>EFEITO!$N$117*EFEITO!$AA$117</f>
        <v>0</v>
      </c>
      <c r="M117" s="65">
        <f ca="1">$J$117-EFEITO!$K$117*EFEITO!$Y$117</f>
        <v>0</v>
      </c>
      <c r="N117" s="65">
        <f>$K$117-EFEITO!$M$117*EFEITO!$Z$117</f>
        <v>0</v>
      </c>
      <c r="O117" s="65">
        <f>$L$117-EFEITO!$O$117*EFEITO!$AA$117</f>
        <v>0</v>
      </c>
      <c r="P117" s="48"/>
      <c r="Q117" s="48"/>
      <c r="R117" s="48"/>
      <c r="S117" s="48"/>
      <c r="T117" s="48"/>
      <c r="U117" s="48"/>
      <c r="V117" s="48"/>
      <c r="W117" s="48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spans="1:36" ht="11.25" customHeight="1" x14ac:dyDescent="0.2">
      <c r="A118" s="44" t="s">
        <v>21</v>
      </c>
      <c r="B118" s="44" t="s">
        <v>35</v>
      </c>
      <c r="C118" s="44" t="s">
        <v>36</v>
      </c>
      <c r="D118" s="44" t="s">
        <v>34</v>
      </c>
      <c r="E118" s="44" t="s">
        <v>25</v>
      </c>
      <c r="F118" s="44" t="s">
        <v>25</v>
      </c>
      <c r="G118" s="44" t="s">
        <v>25</v>
      </c>
      <c r="H118" s="44" t="s">
        <v>37</v>
      </c>
      <c r="I118" s="64">
        <v>44440</v>
      </c>
      <c r="J118" s="65">
        <f>EFEITO!$J$118*EFEITO!$Y$118</f>
        <v>0</v>
      </c>
      <c r="K118" s="65">
        <f ca="1">EFEITO!$L$118*EFEITO!$Z$118</f>
        <v>102028.70914952691</v>
      </c>
      <c r="L118" s="65">
        <f>EFEITO!$N$118*EFEITO!$AA$118</f>
        <v>7173.0151204301246</v>
      </c>
      <c r="M118" s="65">
        <f>$J$118-EFEITO!$K$118*EFEITO!$Y$118</f>
        <v>0</v>
      </c>
      <c r="N118" s="65">
        <f ca="1">$K$118-EFEITO!$M$118*EFEITO!$Z$118</f>
        <v>0</v>
      </c>
      <c r="O118" s="65">
        <f>$L$118-EFEITO!$O$118*EFEITO!$AA$118</f>
        <v>0</v>
      </c>
      <c r="P118" s="48"/>
      <c r="Q118" s="48"/>
      <c r="R118" s="48"/>
      <c r="S118" s="48"/>
      <c r="T118" s="48"/>
      <c r="U118" s="48"/>
      <c r="V118" s="48"/>
      <c r="W118" s="48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spans="1:36" ht="11.25" customHeight="1" x14ac:dyDescent="0.2">
      <c r="A119" s="44" t="s">
        <v>28</v>
      </c>
      <c r="B119" s="44" t="s">
        <v>35</v>
      </c>
      <c r="C119" s="44" t="s">
        <v>36</v>
      </c>
      <c r="D119" s="44" t="s">
        <v>34</v>
      </c>
      <c r="E119" s="44" t="s">
        <v>25</v>
      </c>
      <c r="F119" s="44" t="s">
        <v>25</v>
      </c>
      <c r="G119" s="44" t="s">
        <v>25</v>
      </c>
      <c r="H119" s="44" t="s">
        <v>37</v>
      </c>
      <c r="I119" s="64">
        <v>44440</v>
      </c>
      <c r="J119" s="65">
        <f>EFEITO!$J$119*EFEITO!$Y$119</f>
        <v>0</v>
      </c>
      <c r="K119" s="65">
        <f ca="1">EFEITO!$L$119*EFEITO!$Z$119</f>
        <v>1728.8745255183194</v>
      </c>
      <c r="L119" s="65">
        <f>EFEITO!$N$119*EFEITO!$AA$119</f>
        <v>121.54660405136434</v>
      </c>
      <c r="M119" s="65">
        <f>$J$119-EFEITO!$K$119*EFEITO!$Y$119</f>
        <v>0</v>
      </c>
      <c r="N119" s="65">
        <f ca="1">$K$119-EFEITO!$M$119*EFEITO!$Z$119</f>
        <v>0</v>
      </c>
      <c r="O119" s="65">
        <f>$L$119-EFEITO!$O$119*EFEITO!$AA$119</f>
        <v>0</v>
      </c>
      <c r="P119" s="48"/>
      <c r="Q119" s="48"/>
      <c r="R119" s="48"/>
      <c r="S119" s="48"/>
      <c r="T119" s="48"/>
      <c r="U119" s="48"/>
      <c r="V119" s="48"/>
      <c r="W119" s="48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spans="1:36" ht="11.25" customHeight="1" x14ac:dyDescent="0.2">
      <c r="A120" s="44" t="s">
        <v>21</v>
      </c>
      <c r="B120" s="44" t="s">
        <v>35</v>
      </c>
      <c r="C120" s="44" t="s">
        <v>36</v>
      </c>
      <c r="D120" s="44" t="s">
        <v>34</v>
      </c>
      <c r="E120" s="44" t="s">
        <v>25</v>
      </c>
      <c r="F120" s="44" t="s">
        <v>25</v>
      </c>
      <c r="G120" s="44" t="s">
        <v>25</v>
      </c>
      <c r="H120" s="44" t="s">
        <v>37</v>
      </c>
      <c r="I120" s="64">
        <v>44470</v>
      </c>
      <c r="J120" s="65">
        <f>EFEITO!$J$120*EFEITO!$Y$120</f>
        <v>0</v>
      </c>
      <c r="K120" s="65">
        <f ca="1">EFEITO!$L$120*EFEITO!$Z$120</f>
        <v>112906.13088493882</v>
      </c>
      <c r="L120" s="65">
        <f>EFEITO!$N$120*EFEITO!$AA$120</f>
        <v>7937.7401789923952</v>
      </c>
      <c r="M120" s="65">
        <f>$J$120-EFEITO!$K$120*EFEITO!$Y$120</f>
        <v>0</v>
      </c>
      <c r="N120" s="65">
        <f ca="1">$K$120-EFEITO!$M$120*EFEITO!$Z$120</f>
        <v>0</v>
      </c>
      <c r="O120" s="65">
        <f>$L$120-EFEITO!$O$120*EFEITO!$AA$120</f>
        <v>0</v>
      </c>
      <c r="P120" s="48"/>
      <c r="Q120" s="48"/>
      <c r="R120" s="48"/>
      <c r="S120" s="48"/>
      <c r="T120" s="48"/>
      <c r="U120" s="48"/>
      <c r="V120" s="48"/>
      <c r="W120" s="48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 ht="11.25" customHeight="1" x14ac:dyDescent="0.2">
      <c r="A121" s="44" t="s">
        <v>21</v>
      </c>
      <c r="B121" s="44" t="s">
        <v>35</v>
      </c>
      <c r="C121" s="44" t="s">
        <v>36</v>
      </c>
      <c r="D121" s="44" t="s">
        <v>34</v>
      </c>
      <c r="E121" s="44" t="s">
        <v>25</v>
      </c>
      <c r="F121" s="44" t="s">
        <v>25</v>
      </c>
      <c r="G121" s="44" t="s">
        <v>25</v>
      </c>
      <c r="H121" s="44" t="s">
        <v>37</v>
      </c>
      <c r="I121" s="64">
        <v>44501</v>
      </c>
      <c r="J121" s="65">
        <f>EFEITO!$J$121*EFEITO!$Y$121</f>
        <v>0</v>
      </c>
      <c r="K121" s="65">
        <f ca="1">EFEITO!$L$121*EFEITO!$Z$121</f>
        <v>105702.8089791759</v>
      </c>
      <c r="L121" s="65">
        <f>EFEITO!$N$121*EFEITO!$AA$121</f>
        <v>7431.3186298219625</v>
      </c>
      <c r="M121" s="65">
        <f>$J$121-EFEITO!$K$121*EFEITO!$Y$121</f>
        <v>0</v>
      </c>
      <c r="N121" s="65">
        <f ca="1">$K$121-EFEITO!$M$121*EFEITO!$Z$121</f>
        <v>0</v>
      </c>
      <c r="O121" s="65">
        <f>$L$121-EFEITO!$O$121*EFEITO!$AA$121</f>
        <v>0</v>
      </c>
      <c r="P121" s="48"/>
      <c r="Q121" s="48"/>
      <c r="R121" s="48"/>
      <c r="S121" s="48"/>
      <c r="T121" s="48"/>
      <c r="U121" s="48"/>
      <c r="V121" s="48"/>
      <c r="W121" s="48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spans="1:36" ht="11.25" customHeight="1" x14ac:dyDescent="0.2">
      <c r="A122" s="44" t="s">
        <v>28</v>
      </c>
      <c r="B122" s="44" t="s">
        <v>35</v>
      </c>
      <c r="C122" s="44" t="s">
        <v>36</v>
      </c>
      <c r="D122" s="44" t="s">
        <v>34</v>
      </c>
      <c r="E122" s="44" t="s">
        <v>25</v>
      </c>
      <c r="F122" s="44" t="s">
        <v>25</v>
      </c>
      <c r="G122" s="44" t="s">
        <v>25</v>
      </c>
      <c r="H122" s="44" t="s">
        <v>37</v>
      </c>
      <c r="I122" s="64">
        <v>44501</v>
      </c>
      <c r="J122" s="65">
        <f>EFEITO!$J$122*EFEITO!$Y$122</f>
        <v>0</v>
      </c>
      <c r="K122" s="65">
        <f ca="1">EFEITO!$L$122*EFEITO!$Z$122</f>
        <v>411.45282003955532</v>
      </c>
      <c r="L122" s="65">
        <f>EFEITO!$N$122*EFEITO!$AA$122</f>
        <v>28.926733701609614</v>
      </c>
      <c r="M122" s="65">
        <f>$J$122-EFEITO!$K$122*EFEITO!$Y$122</f>
        <v>0</v>
      </c>
      <c r="N122" s="65">
        <f ca="1">$K$122-EFEITO!$M$122*EFEITO!$Z$122</f>
        <v>0</v>
      </c>
      <c r="O122" s="65">
        <f>$L$122-EFEITO!$O$122*EFEITO!$AA$122</f>
        <v>0</v>
      </c>
      <c r="P122" s="48"/>
      <c r="Q122" s="48"/>
      <c r="R122" s="48"/>
      <c r="S122" s="48"/>
      <c r="T122" s="48"/>
      <c r="U122" s="48"/>
      <c r="V122" s="48"/>
      <c r="W122" s="48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spans="1:36" ht="11.25" customHeight="1" x14ac:dyDescent="0.2">
      <c r="A123" s="44" t="s">
        <v>21</v>
      </c>
      <c r="B123" s="44" t="s">
        <v>35</v>
      </c>
      <c r="C123" s="44" t="s">
        <v>36</v>
      </c>
      <c r="D123" s="44" t="s">
        <v>34</v>
      </c>
      <c r="E123" s="44" t="s">
        <v>25</v>
      </c>
      <c r="F123" s="44" t="s">
        <v>25</v>
      </c>
      <c r="G123" s="44" t="s">
        <v>25</v>
      </c>
      <c r="H123" s="44" t="s">
        <v>37</v>
      </c>
      <c r="I123" s="64">
        <v>44531</v>
      </c>
      <c r="J123" s="65">
        <f>EFEITO!$J$123*EFEITO!$Y$123</f>
        <v>0</v>
      </c>
      <c r="K123" s="65">
        <f ca="1">EFEITO!$L$123*EFEITO!$Z$123</f>
        <v>124048.19598347475</v>
      </c>
      <c r="L123" s="65">
        <f>EFEITO!$N$123*EFEITO!$AA$123</f>
        <v>8721.0706953815243</v>
      </c>
      <c r="M123" s="65">
        <f>$J$123-EFEITO!$K$123*EFEITO!$Y$123</f>
        <v>0</v>
      </c>
      <c r="N123" s="65">
        <f ca="1">$K$123-EFEITO!$M$123*EFEITO!$Z$123</f>
        <v>0</v>
      </c>
      <c r="O123" s="65">
        <f>$L$123-EFEITO!$O$123*EFEITO!$AA$123</f>
        <v>0</v>
      </c>
      <c r="P123" s="48"/>
      <c r="Q123" s="48"/>
      <c r="R123" s="48"/>
      <c r="S123" s="48"/>
      <c r="T123" s="48"/>
      <c r="U123" s="48"/>
      <c r="V123" s="48"/>
      <c r="W123" s="48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spans="1:36" ht="11.25" customHeight="1" x14ac:dyDescent="0.2">
      <c r="A124" s="44" t="s">
        <v>28</v>
      </c>
      <c r="B124" s="44" t="s">
        <v>35</v>
      </c>
      <c r="C124" s="44" t="s">
        <v>36</v>
      </c>
      <c r="D124" s="44" t="s">
        <v>34</v>
      </c>
      <c r="E124" s="44" t="s">
        <v>25</v>
      </c>
      <c r="F124" s="44" t="s">
        <v>25</v>
      </c>
      <c r="G124" s="44" t="s">
        <v>25</v>
      </c>
      <c r="H124" s="44" t="s">
        <v>37</v>
      </c>
      <c r="I124" s="64">
        <v>44531</v>
      </c>
      <c r="J124" s="65">
        <f>EFEITO!$J$124*EFEITO!$Y$124</f>
        <v>0</v>
      </c>
      <c r="K124" s="65">
        <f ca="1">EFEITO!$L$124*EFEITO!$Z$124</f>
        <v>332.25298144039203</v>
      </c>
      <c r="L124" s="65">
        <f>EFEITO!$N$124*EFEITO!$AA$124</f>
        <v>23.358676979703535</v>
      </c>
      <c r="M124" s="65">
        <f>$J$124-EFEITO!$K$124*EFEITO!$Y$124</f>
        <v>0</v>
      </c>
      <c r="N124" s="65">
        <f ca="1">$K$124-EFEITO!$M$124*EFEITO!$Z$124</f>
        <v>0</v>
      </c>
      <c r="O124" s="65">
        <f>$L$124-EFEITO!$O$124*EFEITO!$AA$124</f>
        <v>0</v>
      </c>
      <c r="P124" s="48"/>
      <c r="Q124" s="48"/>
      <c r="R124" s="48"/>
      <c r="S124" s="48"/>
      <c r="T124" s="48"/>
      <c r="U124" s="48"/>
      <c r="V124" s="48"/>
      <c r="W124" s="48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spans="1:36" ht="11.25" customHeight="1" x14ac:dyDescent="0.2">
      <c r="A125" s="44" t="s">
        <v>21</v>
      </c>
      <c r="B125" s="44" t="s">
        <v>35</v>
      </c>
      <c r="C125" s="44" t="s">
        <v>36</v>
      </c>
      <c r="D125" s="44" t="s">
        <v>34</v>
      </c>
      <c r="E125" s="44" t="s">
        <v>25</v>
      </c>
      <c r="F125" s="44" t="s">
        <v>25</v>
      </c>
      <c r="G125" s="44" t="s">
        <v>25</v>
      </c>
      <c r="H125" s="44" t="s">
        <v>37</v>
      </c>
      <c r="I125" s="64">
        <v>44562</v>
      </c>
      <c r="J125" s="65">
        <f>EFEITO!$J$125*EFEITO!$Y$125</f>
        <v>0</v>
      </c>
      <c r="K125" s="65">
        <f ca="1">EFEITO!$L$125*EFEITO!$Z$125</f>
        <v>132748.58800909991</v>
      </c>
      <c r="L125" s="65">
        <f>EFEITO!$N$125*EFEITO!$AA$125</f>
        <v>9332.7420972221335</v>
      </c>
      <c r="M125" s="65">
        <f>$J$125-EFEITO!$K$125*EFEITO!$Y$125</f>
        <v>0</v>
      </c>
      <c r="N125" s="65">
        <f ca="1">$K$125-EFEITO!$M$125*EFEITO!$Z$125</f>
        <v>0</v>
      </c>
      <c r="O125" s="65">
        <f>$L$125-EFEITO!$O$125*EFEITO!$AA$125</f>
        <v>0</v>
      </c>
      <c r="P125" s="48"/>
      <c r="Q125" s="48"/>
      <c r="R125" s="48"/>
      <c r="S125" s="48"/>
      <c r="T125" s="48"/>
      <c r="U125" s="48"/>
      <c r="V125" s="48"/>
      <c r="W125" s="48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 ht="11.25" customHeight="1" x14ac:dyDescent="0.2">
      <c r="A126" s="44" t="s">
        <v>28</v>
      </c>
      <c r="B126" s="44" t="s">
        <v>35</v>
      </c>
      <c r="C126" s="44" t="s">
        <v>36</v>
      </c>
      <c r="D126" s="44" t="s">
        <v>34</v>
      </c>
      <c r="E126" s="44" t="s">
        <v>25</v>
      </c>
      <c r="F126" s="44" t="s">
        <v>25</v>
      </c>
      <c r="G126" s="44" t="s">
        <v>25</v>
      </c>
      <c r="H126" s="44" t="s">
        <v>37</v>
      </c>
      <c r="I126" s="64">
        <v>44562</v>
      </c>
      <c r="J126" s="65">
        <f>EFEITO!$J$126*EFEITO!$Y$126</f>
        <v>0</v>
      </c>
      <c r="K126" s="65">
        <f ca="1">EFEITO!$L$126*EFEITO!$Z$126</f>
        <v>353.50171862553344</v>
      </c>
      <c r="L126" s="65">
        <f>EFEITO!$N$126*EFEITO!$AA$126</f>
        <v>24.852545856312485</v>
      </c>
      <c r="M126" s="65">
        <f>$J$126-EFEITO!$K$126*EFEITO!$Y$126</f>
        <v>0</v>
      </c>
      <c r="N126" s="65">
        <f ca="1">$K$126-EFEITO!$M$126*EFEITO!$Z$126</f>
        <v>0</v>
      </c>
      <c r="O126" s="65">
        <f>$L$126-EFEITO!$O$126*EFEITO!$AA$126</f>
        <v>0</v>
      </c>
      <c r="P126" s="48"/>
      <c r="Q126" s="48"/>
      <c r="R126" s="48"/>
      <c r="S126" s="48"/>
      <c r="T126" s="48"/>
      <c r="U126" s="48"/>
      <c r="V126" s="48"/>
      <c r="W126" s="48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spans="1:36" ht="11.25" customHeight="1" x14ac:dyDescent="0.2">
      <c r="A127" s="44" t="s">
        <v>21</v>
      </c>
      <c r="B127" s="44" t="s">
        <v>35</v>
      </c>
      <c r="C127" s="44" t="s">
        <v>36</v>
      </c>
      <c r="D127" s="44" t="s">
        <v>34</v>
      </c>
      <c r="E127" s="44" t="s">
        <v>25</v>
      </c>
      <c r="F127" s="44" t="s">
        <v>25</v>
      </c>
      <c r="G127" s="44" t="s">
        <v>25</v>
      </c>
      <c r="H127" s="44" t="s">
        <v>37</v>
      </c>
      <c r="I127" s="64">
        <v>44593</v>
      </c>
      <c r="J127" s="65">
        <f>EFEITO!$J$127*EFEITO!$Y$127</f>
        <v>0</v>
      </c>
      <c r="K127" s="65">
        <f ca="1">EFEITO!$L$127*EFEITO!$Z$127</f>
        <v>100197.45434484382</v>
      </c>
      <c r="L127" s="65">
        <f>EFEITO!$N$127*EFEITO!$AA$127</f>
        <v>7044.2707845187351</v>
      </c>
      <c r="M127" s="65">
        <f>$J$127-EFEITO!$K$127*EFEITO!$Y$127</f>
        <v>0</v>
      </c>
      <c r="N127" s="65">
        <f ca="1">$K$127-EFEITO!$M$127*EFEITO!$Z$127</f>
        <v>0</v>
      </c>
      <c r="O127" s="65">
        <f>$L$127-EFEITO!$O$127*EFEITO!$AA$127</f>
        <v>0</v>
      </c>
      <c r="P127" s="48"/>
      <c r="Q127" s="48"/>
      <c r="R127" s="48"/>
      <c r="S127" s="48"/>
      <c r="T127" s="48"/>
      <c r="U127" s="48"/>
      <c r="V127" s="48"/>
      <c r="W127" s="48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6" ht="11.25" customHeight="1" x14ac:dyDescent="0.2">
      <c r="A128" s="44" t="s">
        <v>21</v>
      </c>
      <c r="B128" s="44" t="s">
        <v>35</v>
      </c>
      <c r="C128" s="44" t="s">
        <v>36</v>
      </c>
      <c r="D128" s="44" t="s">
        <v>34</v>
      </c>
      <c r="E128" s="44" t="s">
        <v>25</v>
      </c>
      <c r="F128" s="44" t="s">
        <v>25</v>
      </c>
      <c r="G128" s="44" t="s">
        <v>25</v>
      </c>
      <c r="H128" s="44" t="s">
        <v>37</v>
      </c>
      <c r="I128" s="64">
        <v>44621</v>
      </c>
      <c r="J128" s="65">
        <f>EFEITO!$J$128*EFEITO!$Y$128</f>
        <v>0</v>
      </c>
      <c r="K128" s="65">
        <f ca="1">EFEITO!$L$128*EFEITO!$Z$128</f>
        <v>116902.82517912587</v>
      </c>
      <c r="L128" s="65">
        <f>EFEITO!$N$128*EFEITO!$AA$128</f>
        <v>8218.7233340563871</v>
      </c>
      <c r="M128" s="65">
        <f>$J$128-EFEITO!$K$128*EFEITO!$Y$128</f>
        <v>0</v>
      </c>
      <c r="N128" s="65">
        <f ca="1">$K$128-EFEITO!$M$128*EFEITO!$Z$128</f>
        <v>0</v>
      </c>
      <c r="O128" s="65">
        <f>$L$128-EFEITO!$O$128*EFEITO!$AA$128</f>
        <v>0</v>
      </c>
      <c r="P128" s="48"/>
      <c r="Q128" s="48"/>
      <c r="R128" s="48"/>
      <c r="S128" s="48"/>
      <c r="T128" s="48"/>
      <c r="U128" s="48"/>
      <c r="V128" s="48"/>
      <c r="W128" s="48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 ht="11.25" customHeight="1" x14ac:dyDescent="0.2">
      <c r="A129" s="44" t="s">
        <v>21</v>
      </c>
      <c r="B129" s="44" t="s">
        <v>35</v>
      </c>
      <c r="C129" s="44" t="s">
        <v>36</v>
      </c>
      <c r="D129" s="44" t="s">
        <v>34</v>
      </c>
      <c r="E129" s="44" t="s">
        <v>25</v>
      </c>
      <c r="F129" s="44" t="s">
        <v>25</v>
      </c>
      <c r="G129" s="44" t="s">
        <v>25</v>
      </c>
      <c r="H129" s="44" t="s">
        <v>37</v>
      </c>
      <c r="I129" s="64">
        <v>44652</v>
      </c>
      <c r="J129" s="65">
        <f>EFEITO!$J$129*EFEITO!$Y$129</f>
        <v>0</v>
      </c>
      <c r="K129" s="65">
        <f ca="1">EFEITO!$L$129*EFEITO!$Z$129</f>
        <v>106425.26604347071</v>
      </c>
      <c r="L129" s="65">
        <f>EFEITO!$N$129*EFEITO!$AA$129</f>
        <v>7482.1101716266667</v>
      </c>
      <c r="M129" s="65">
        <f>$J$129-EFEITO!$K$129*EFEITO!$Y$129</f>
        <v>0</v>
      </c>
      <c r="N129" s="65">
        <f ca="1">$K$129-EFEITO!$M$129*EFEITO!$Z$129</f>
        <v>0</v>
      </c>
      <c r="O129" s="65">
        <f>$L$129-EFEITO!$O$129*EFEITO!$AA$129</f>
        <v>0</v>
      </c>
      <c r="P129" s="48"/>
      <c r="Q129" s="48"/>
      <c r="R129" s="48"/>
      <c r="S129" s="48"/>
      <c r="T129" s="48"/>
      <c r="U129" s="48"/>
      <c r="V129" s="48"/>
      <c r="W129" s="48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spans="1:36" ht="11.25" customHeight="1" x14ac:dyDescent="0.2">
      <c r="A130" s="44" t="s">
        <v>28</v>
      </c>
      <c r="B130" s="44" t="s">
        <v>35</v>
      </c>
      <c r="C130" s="44" t="s">
        <v>36</v>
      </c>
      <c r="D130" s="44" t="s">
        <v>34</v>
      </c>
      <c r="E130" s="44" t="s">
        <v>25</v>
      </c>
      <c r="F130" s="44" t="s">
        <v>25</v>
      </c>
      <c r="G130" s="44" t="s">
        <v>25</v>
      </c>
      <c r="H130" s="44" t="s">
        <v>37</v>
      </c>
      <c r="I130" s="64">
        <v>44652</v>
      </c>
      <c r="J130" s="65">
        <f>EFEITO!$J$130*EFEITO!$Y$130</f>
        <v>0</v>
      </c>
      <c r="K130" s="65">
        <f ca="1">EFEITO!$L$130*EFEITO!$Z$130</f>
        <v>981.3053172774371</v>
      </c>
      <c r="L130" s="65">
        <f>EFEITO!$N$130*EFEITO!$AA$130</f>
        <v>68.989580847031377</v>
      </c>
      <c r="M130" s="65">
        <f>$J$130-EFEITO!$K$130*EFEITO!$Y$130</f>
        <v>0</v>
      </c>
      <c r="N130" s="65">
        <f ca="1">$K$130-EFEITO!$M$130*EFEITO!$Z$130</f>
        <v>0</v>
      </c>
      <c r="O130" s="65">
        <f>$L$130-EFEITO!$O$130*EFEITO!$AA$130</f>
        <v>0</v>
      </c>
      <c r="P130" s="48"/>
      <c r="Q130" s="48"/>
      <c r="R130" s="48"/>
      <c r="S130" s="48"/>
      <c r="T130" s="48"/>
      <c r="U130" s="48"/>
      <c r="V130" s="48"/>
      <c r="W130" s="48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spans="1:36" ht="11.25" customHeight="1" x14ac:dyDescent="0.2">
      <c r="A131" s="44" t="s">
        <v>21</v>
      </c>
      <c r="B131" s="44" t="s">
        <v>35</v>
      </c>
      <c r="C131" s="44" t="s">
        <v>36</v>
      </c>
      <c r="D131" s="44" t="s">
        <v>34</v>
      </c>
      <c r="E131" s="44" t="s">
        <v>25</v>
      </c>
      <c r="F131" s="44" t="s">
        <v>25</v>
      </c>
      <c r="G131" s="44" t="s">
        <v>25</v>
      </c>
      <c r="H131" s="44" t="s">
        <v>37</v>
      </c>
      <c r="I131" s="64">
        <v>44682</v>
      </c>
      <c r="J131" s="65">
        <f>EFEITO!$J$131*EFEITO!$Y$131</f>
        <v>0</v>
      </c>
      <c r="K131" s="65">
        <f ca="1">EFEITO!$L$131*EFEITO!$Z$131</f>
        <v>175184.24787120766</v>
      </c>
      <c r="L131" s="65">
        <f>EFEITO!$N$131*EFEITO!$AA$131</f>
        <v>12316.134050071709</v>
      </c>
      <c r="M131" s="65">
        <f>$J$131-EFEITO!$K$131*EFEITO!$Y$131</f>
        <v>0</v>
      </c>
      <c r="N131" s="65">
        <f ca="1">$K$131-EFEITO!$M$131*EFEITO!$Z$131</f>
        <v>0</v>
      </c>
      <c r="O131" s="65">
        <f>$L$131-EFEITO!$O$131*EFEITO!$AA$131</f>
        <v>0</v>
      </c>
      <c r="P131" s="48"/>
      <c r="Q131" s="48"/>
      <c r="R131" s="48"/>
      <c r="S131" s="48"/>
      <c r="T131" s="48"/>
      <c r="U131" s="48"/>
      <c r="V131" s="48"/>
      <c r="W131" s="48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 ht="11.25" customHeight="1" x14ac:dyDescent="0.2">
      <c r="A132" s="44" t="s">
        <v>28</v>
      </c>
      <c r="B132" s="44" t="s">
        <v>35</v>
      </c>
      <c r="C132" s="44" t="s">
        <v>36</v>
      </c>
      <c r="D132" s="44" t="s">
        <v>34</v>
      </c>
      <c r="E132" s="44" t="s">
        <v>25</v>
      </c>
      <c r="F132" s="44" t="s">
        <v>25</v>
      </c>
      <c r="G132" s="44" t="s">
        <v>25</v>
      </c>
      <c r="H132" s="44" t="s">
        <v>37</v>
      </c>
      <c r="I132" s="64">
        <v>44682</v>
      </c>
      <c r="J132" s="65">
        <f>EFEITO!$J$132*EFEITO!$Y$132</f>
        <v>0</v>
      </c>
      <c r="K132" s="65">
        <f ca="1">EFEITO!$L$132*EFEITO!$Z$132</f>
        <v>749.50091162134959</v>
      </c>
      <c r="L132" s="65">
        <f>EFEITO!$N$132*EFEITO!$AA$132</f>
        <v>52.692829465842863</v>
      </c>
      <c r="M132" s="65">
        <f>$J$132-EFEITO!$K$132*EFEITO!$Y$132</f>
        <v>0</v>
      </c>
      <c r="N132" s="65">
        <f ca="1">$K$132-EFEITO!$M$132*EFEITO!$Z$132</f>
        <v>0</v>
      </c>
      <c r="O132" s="65">
        <f>$L$132-EFEITO!$O$132*EFEITO!$AA$132</f>
        <v>0</v>
      </c>
      <c r="P132" s="48"/>
      <c r="Q132" s="48"/>
      <c r="R132" s="48"/>
      <c r="S132" s="48"/>
      <c r="T132" s="48"/>
      <c r="U132" s="48"/>
      <c r="V132" s="48"/>
      <c r="W132" s="48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spans="1:36" ht="11.25" customHeight="1" x14ac:dyDescent="0.2">
      <c r="A133" s="44" t="s">
        <v>21</v>
      </c>
      <c r="B133" s="44" t="s">
        <v>35</v>
      </c>
      <c r="C133" s="44" t="s">
        <v>36</v>
      </c>
      <c r="D133" s="44" t="s">
        <v>34</v>
      </c>
      <c r="E133" s="44" t="s">
        <v>25</v>
      </c>
      <c r="F133" s="44" t="s">
        <v>25</v>
      </c>
      <c r="G133" s="44" t="s">
        <v>25</v>
      </c>
      <c r="H133" s="44" t="s">
        <v>37</v>
      </c>
      <c r="I133" s="64">
        <v>44713</v>
      </c>
      <c r="J133" s="65">
        <f>EFEITO!$J$133*EFEITO!$Y$133</f>
        <v>0</v>
      </c>
      <c r="K133" s="65">
        <f ca="1">EFEITO!$L$133*EFEITO!$Z$133</f>
        <v>190462.08990732429</v>
      </c>
      <c r="L133" s="65">
        <f>EFEITO!$N$133*EFEITO!$AA$133</f>
        <v>13390.225772353542</v>
      </c>
      <c r="M133" s="65">
        <f>$J$133-EFEITO!$K$133*EFEITO!$Y$133</f>
        <v>0</v>
      </c>
      <c r="N133" s="65">
        <f ca="1">$K$133-EFEITO!$M$133*EFEITO!$Z$133</f>
        <v>0</v>
      </c>
      <c r="O133" s="65">
        <f>$L$133-EFEITO!$O$133*EFEITO!$AA$133</f>
        <v>0</v>
      </c>
      <c r="P133" s="48"/>
      <c r="Q133" s="48"/>
      <c r="R133" s="48"/>
      <c r="S133" s="48"/>
      <c r="T133" s="48"/>
      <c r="U133" s="48"/>
      <c r="V133" s="48"/>
      <c r="W133" s="48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spans="1:36" ht="11.25" customHeight="1" x14ac:dyDescent="0.2">
      <c r="A134" s="44" t="s">
        <v>28</v>
      </c>
      <c r="B134" s="44" t="s">
        <v>35</v>
      </c>
      <c r="C134" s="44" t="s">
        <v>36</v>
      </c>
      <c r="D134" s="44" t="s">
        <v>34</v>
      </c>
      <c r="E134" s="44" t="s">
        <v>25</v>
      </c>
      <c r="F134" s="44" t="s">
        <v>25</v>
      </c>
      <c r="G134" s="44" t="s">
        <v>25</v>
      </c>
      <c r="H134" s="44" t="s">
        <v>37</v>
      </c>
      <c r="I134" s="64">
        <v>44713</v>
      </c>
      <c r="J134" s="65">
        <f>EFEITO!$J$134*EFEITO!$Y$134</f>
        <v>0</v>
      </c>
      <c r="K134" s="65">
        <f ca="1">EFEITO!$L$134*EFEITO!$Z$134</f>
        <v>662.57425950031677</v>
      </c>
      <c r="L134" s="65">
        <f>EFEITO!$N$134*EFEITO!$AA$134</f>
        <v>46.581547697897172</v>
      </c>
      <c r="M134" s="65">
        <f>$J$134-EFEITO!$K$134*EFEITO!$Y$134</f>
        <v>0</v>
      </c>
      <c r="N134" s="65">
        <f ca="1">$K$134-EFEITO!$M$134*EFEITO!$Z$134</f>
        <v>0</v>
      </c>
      <c r="O134" s="65">
        <f>$L$134-EFEITO!$O$134*EFEITO!$AA$134</f>
        <v>0</v>
      </c>
      <c r="P134" s="48"/>
      <c r="Q134" s="48"/>
      <c r="R134" s="48"/>
      <c r="S134" s="48"/>
      <c r="T134" s="48"/>
      <c r="U134" s="48"/>
      <c r="V134" s="48"/>
      <c r="W134" s="48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spans="1:36" ht="11.25" customHeight="1" x14ac:dyDescent="0.2">
      <c r="A135" s="44" t="s">
        <v>21</v>
      </c>
      <c r="B135" s="44" t="s">
        <v>35</v>
      </c>
      <c r="C135" s="44" t="s">
        <v>36</v>
      </c>
      <c r="D135" s="44" t="s">
        <v>34</v>
      </c>
      <c r="E135" s="44" t="s">
        <v>25</v>
      </c>
      <c r="F135" s="44" t="s">
        <v>25</v>
      </c>
      <c r="G135" s="44" t="s">
        <v>25</v>
      </c>
      <c r="H135" s="44" t="s">
        <v>37</v>
      </c>
      <c r="I135" s="64">
        <v>44743</v>
      </c>
      <c r="J135" s="65">
        <f>EFEITO!$J$135*EFEITO!$Y$135</f>
        <v>0</v>
      </c>
      <c r="K135" s="65">
        <f ca="1">EFEITO!$L$135*EFEITO!$Z$135</f>
        <v>235184.88657190543</v>
      </c>
      <c r="L135" s="65">
        <f>EFEITO!$N$135*EFEITO!$AA$135</f>
        <v>16534.412338830847</v>
      </c>
      <c r="M135" s="65">
        <f>$J$135-EFEITO!$K$135*EFEITO!$Y$135</f>
        <v>0</v>
      </c>
      <c r="N135" s="65">
        <f ca="1">$K$135-EFEITO!$M$135*EFEITO!$Z$135</f>
        <v>0</v>
      </c>
      <c r="O135" s="65">
        <f>$L$135-EFEITO!$O$135*EFEITO!$AA$135</f>
        <v>0</v>
      </c>
      <c r="P135" s="48"/>
      <c r="Q135" s="48"/>
      <c r="R135" s="48"/>
      <c r="S135" s="48"/>
      <c r="T135" s="48"/>
      <c r="U135" s="48"/>
      <c r="V135" s="48"/>
      <c r="W135" s="48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spans="1:36" ht="11.25" customHeight="1" x14ac:dyDescent="0.2">
      <c r="A136" s="44" t="s">
        <v>21</v>
      </c>
      <c r="B136" s="44" t="s">
        <v>35</v>
      </c>
      <c r="C136" s="44" t="s">
        <v>36</v>
      </c>
      <c r="D136" s="44" t="s">
        <v>34</v>
      </c>
      <c r="E136" s="44" t="s">
        <v>25</v>
      </c>
      <c r="F136" s="44" t="s">
        <v>25</v>
      </c>
      <c r="G136" s="44" t="s">
        <v>25</v>
      </c>
      <c r="H136" s="44" t="s">
        <v>37</v>
      </c>
      <c r="I136" s="64">
        <v>44774</v>
      </c>
      <c r="J136" s="65">
        <f>EFEITO!$J$136*EFEITO!$Y$136</f>
        <v>0</v>
      </c>
      <c r="K136" s="65">
        <f ca="1">EFEITO!$L$136*EFEITO!$Z$136</f>
        <v>250412.50432012996</v>
      </c>
      <c r="L136" s="65">
        <f>EFEITO!$N$136*EFEITO!$AA$136</f>
        <v>17604.973098313425</v>
      </c>
      <c r="M136" s="65">
        <f>$J$136-EFEITO!$K$136*EFEITO!$Y$136</f>
        <v>0</v>
      </c>
      <c r="N136" s="65">
        <f ca="1">$K$136-EFEITO!$M$136*EFEITO!$Z$136</f>
        <v>0</v>
      </c>
      <c r="O136" s="65">
        <f>$L$136-EFEITO!$O$136*EFEITO!$AA$136</f>
        <v>0</v>
      </c>
      <c r="P136" s="48"/>
      <c r="Q136" s="48"/>
      <c r="R136" s="48"/>
      <c r="S136" s="48"/>
      <c r="T136" s="48"/>
      <c r="U136" s="48"/>
      <c r="V136" s="48"/>
      <c r="W136" s="48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spans="1:36" ht="11.25" customHeight="1" x14ac:dyDescent="0.2">
      <c r="A137" s="44" t="s">
        <v>28</v>
      </c>
      <c r="B137" s="44" t="s">
        <v>35</v>
      </c>
      <c r="C137" s="44" t="s">
        <v>36</v>
      </c>
      <c r="D137" s="44" t="s">
        <v>34</v>
      </c>
      <c r="E137" s="44" t="s">
        <v>25</v>
      </c>
      <c r="F137" s="44" t="s">
        <v>25</v>
      </c>
      <c r="G137" s="44" t="s">
        <v>25</v>
      </c>
      <c r="H137" s="44" t="s">
        <v>37</v>
      </c>
      <c r="I137" s="64">
        <v>44774</v>
      </c>
      <c r="J137" s="65">
        <f>EFEITO!$J$137*EFEITO!$Y$137</f>
        <v>0</v>
      </c>
      <c r="K137" s="65">
        <f ca="1">EFEITO!$L$137*EFEITO!$Z$137</f>
        <v>1927.839973706461</v>
      </c>
      <c r="L137" s="65">
        <f>EFEITO!$N$137*EFEITO!$AA$137</f>
        <v>135.53464898688449</v>
      </c>
      <c r="M137" s="65">
        <f>$J$137-EFEITO!$K$137*EFEITO!$Y$137</f>
        <v>0</v>
      </c>
      <c r="N137" s="65">
        <f ca="1">$K$137-EFEITO!$M$137*EFEITO!$Z$137</f>
        <v>0</v>
      </c>
      <c r="O137" s="65">
        <f>$L$137-EFEITO!$O$137*EFEITO!$AA$137</f>
        <v>0</v>
      </c>
      <c r="P137" s="48"/>
      <c r="Q137" s="48"/>
      <c r="R137" s="48"/>
      <c r="S137" s="48"/>
      <c r="T137" s="48"/>
      <c r="U137" s="48"/>
      <c r="V137" s="48"/>
      <c r="W137" s="48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spans="1:36" ht="11.25" customHeight="1" x14ac:dyDescent="0.2">
      <c r="A138" s="44" t="s">
        <v>21</v>
      </c>
      <c r="B138" s="44" t="s">
        <v>35</v>
      </c>
      <c r="C138" s="44" t="s">
        <v>36</v>
      </c>
      <c r="D138" s="44" t="s">
        <v>41</v>
      </c>
      <c r="E138" s="44" t="s">
        <v>25</v>
      </c>
      <c r="F138" s="44" t="s">
        <v>25</v>
      </c>
      <c r="G138" s="44" t="s">
        <v>25</v>
      </c>
      <c r="H138" s="44" t="s">
        <v>38</v>
      </c>
      <c r="I138" s="64">
        <v>44440</v>
      </c>
      <c r="J138" s="65">
        <f>EFEITO!$J$138*EFEITO!$Y$93</f>
        <v>0</v>
      </c>
      <c r="K138" s="65">
        <f ca="1">EFEITO!$L$138*EFEITO!$Z$93</f>
        <v>2477.8217568929922</v>
      </c>
      <c r="L138" s="65">
        <f>EFEITO!$N$138*EFEITO!$AA$93</f>
        <v>3370.1681856297846</v>
      </c>
      <c r="M138" s="65">
        <f>$J$138-EFEITO!$K$138*EFEITO!$Y$138</f>
        <v>0</v>
      </c>
      <c r="N138" s="65">
        <f ca="1">$K$138-EFEITO!$M$138*EFEITO!$Z$138</f>
        <v>49.556435137859808</v>
      </c>
      <c r="O138" s="65">
        <f>$L$138-EFEITO!$O$138*EFEITO!$AA$138</f>
        <v>67.403363712595819</v>
      </c>
      <c r="P138" s="48"/>
      <c r="Q138" s="48"/>
      <c r="R138" s="48"/>
      <c r="S138" s="48"/>
      <c r="T138" s="48"/>
      <c r="U138" s="48"/>
      <c r="V138" s="48"/>
      <c r="W138" s="48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spans="1:36" ht="11.25" customHeight="1" x14ac:dyDescent="0.2">
      <c r="A139" s="44" t="s">
        <v>28</v>
      </c>
      <c r="B139" s="44" t="s">
        <v>35</v>
      </c>
      <c r="C139" s="44" t="s">
        <v>36</v>
      </c>
      <c r="D139" s="44" t="s">
        <v>41</v>
      </c>
      <c r="E139" s="44" t="s">
        <v>25</v>
      </c>
      <c r="F139" s="44" t="s">
        <v>25</v>
      </c>
      <c r="G139" s="44" t="s">
        <v>25</v>
      </c>
      <c r="H139" s="44" t="s">
        <v>38</v>
      </c>
      <c r="I139" s="64">
        <v>44440</v>
      </c>
      <c r="J139" s="65">
        <f>EFEITO!$J$139*EFEITO!$Y$93</f>
        <v>0</v>
      </c>
      <c r="K139" s="65">
        <f ca="1">EFEITO!$L$139*EFEITO!$Z$93</f>
        <v>3625.0724011023926</v>
      </c>
      <c r="L139" s="65">
        <f>EFEITO!$N$139*EFEITO!$AA$93</f>
        <v>4930.5821303785851</v>
      </c>
      <c r="M139" s="65">
        <f>$J$139-EFEITO!$K$139*EFEITO!$Y$139</f>
        <v>0</v>
      </c>
      <c r="N139" s="65">
        <f ca="1">$K$139-EFEITO!$M$139*EFEITO!$Z$139</f>
        <v>72.501448022048407</v>
      </c>
      <c r="O139" s="65">
        <f>$L$139-EFEITO!$O$139*EFEITO!$AA$139</f>
        <v>98.611642607572321</v>
      </c>
      <c r="P139" s="48"/>
      <c r="Q139" s="48"/>
      <c r="R139" s="48"/>
      <c r="S139" s="48"/>
      <c r="T139" s="48"/>
      <c r="U139" s="48"/>
      <c r="V139" s="48"/>
      <c r="W139" s="48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spans="1:36" ht="11.25" customHeight="1" x14ac:dyDescent="0.2">
      <c r="A140" s="44" t="s">
        <v>21</v>
      </c>
      <c r="B140" s="44" t="s">
        <v>35</v>
      </c>
      <c r="C140" s="44" t="s">
        <v>36</v>
      </c>
      <c r="D140" s="44" t="s">
        <v>41</v>
      </c>
      <c r="E140" s="44" t="s">
        <v>25</v>
      </c>
      <c r="F140" s="44" t="s">
        <v>25</v>
      </c>
      <c r="G140" s="44" t="s">
        <v>25</v>
      </c>
      <c r="H140" s="44" t="s">
        <v>38</v>
      </c>
      <c r="I140" s="64">
        <v>44470</v>
      </c>
      <c r="J140" s="65">
        <f>EFEITO!$J$140*EFEITO!$Y$93</f>
        <v>0</v>
      </c>
      <c r="K140" s="65">
        <f ca="1">EFEITO!$L$140*EFEITO!$Z$93</f>
        <v>1105.21474157997</v>
      </c>
      <c r="L140" s="65">
        <f>EFEITO!$N$140*EFEITO!$AA$93</f>
        <v>1503.2395086531308</v>
      </c>
      <c r="M140" s="65">
        <f>$J$140-EFEITO!$K$140*EFEITO!$Y$140</f>
        <v>0</v>
      </c>
      <c r="N140" s="65">
        <f ca="1">$K$140-EFEITO!$M$140*EFEITO!$Z$140</f>
        <v>22.104294831599418</v>
      </c>
      <c r="O140" s="65">
        <f>$L$140-EFEITO!$O$140*EFEITO!$AA$140</f>
        <v>30.064790173062647</v>
      </c>
      <c r="P140" s="48"/>
      <c r="Q140" s="48"/>
      <c r="R140" s="48"/>
      <c r="S140" s="48"/>
      <c r="T140" s="48"/>
      <c r="U140" s="48"/>
      <c r="V140" s="48"/>
      <c r="W140" s="48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spans="1:36" ht="11.25" customHeight="1" x14ac:dyDescent="0.2">
      <c r="A141" s="44" t="s">
        <v>28</v>
      </c>
      <c r="B141" s="44" t="s">
        <v>35</v>
      </c>
      <c r="C141" s="44" t="s">
        <v>36</v>
      </c>
      <c r="D141" s="44" t="s">
        <v>41</v>
      </c>
      <c r="E141" s="44" t="s">
        <v>25</v>
      </c>
      <c r="F141" s="44" t="s">
        <v>25</v>
      </c>
      <c r="G141" s="44" t="s">
        <v>25</v>
      </c>
      <c r="H141" s="44" t="s">
        <v>38</v>
      </c>
      <c r="I141" s="64">
        <v>44470</v>
      </c>
      <c r="J141" s="65">
        <f>EFEITO!$J$141*EFEITO!$Y$93</f>
        <v>0</v>
      </c>
      <c r="K141" s="65">
        <f ca="1">EFEITO!$L$141*EFEITO!$Z$93</f>
        <v>3387.8341477828508</v>
      </c>
      <c r="L141" s="65">
        <f>EFEITO!$N$141*EFEITO!$AA$93</f>
        <v>4607.9064530310525</v>
      </c>
      <c r="M141" s="65">
        <f>$J$141-EFEITO!$K$141*EFEITO!$Y$141</f>
        <v>0</v>
      </c>
      <c r="N141" s="65">
        <f ca="1">$K$141-EFEITO!$M$141*EFEITO!$Z$141</f>
        <v>67.756682955657197</v>
      </c>
      <c r="O141" s="65">
        <f>$L$141-EFEITO!$O$141*EFEITO!$AA$141</f>
        <v>92.158129060620922</v>
      </c>
      <c r="P141" s="48"/>
      <c r="Q141" s="48"/>
      <c r="R141" s="48"/>
      <c r="S141" s="48"/>
      <c r="T141" s="48"/>
      <c r="U141" s="48"/>
      <c r="V141" s="48"/>
      <c r="W141" s="48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spans="1:36" ht="11.25" customHeight="1" x14ac:dyDescent="0.2">
      <c r="A142" s="44" t="s">
        <v>21</v>
      </c>
      <c r="B142" s="44" t="s">
        <v>35</v>
      </c>
      <c r="C142" s="44" t="s">
        <v>36</v>
      </c>
      <c r="D142" s="44" t="s">
        <v>41</v>
      </c>
      <c r="E142" s="44" t="s">
        <v>25</v>
      </c>
      <c r="F142" s="44" t="s">
        <v>25</v>
      </c>
      <c r="G142" s="44" t="s">
        <v>25</v>
      </c>
      <c r="H142" s="44" t="s">
        <v>38</v>
      </c>
      <c r="I142" s="64">
        <v>44501</v>
      </c>
      <c r="J142" s="65">
        <f>EFEITO!$J$142*EFEITO!$Y$93</f>
        <v>0</v>
      </c>
      <c r="K142" s="65">
        <f ca="1">EFEITO!$L$142*EFEITO!$Z$93</f>
        <v>2429.0960550327495</v>
      </c>
      <c r="L142" s="65">
        <f>EFEITO!$N$142*EFEITO!$AA$93</f>
        <v>3303.8947300129516</v>
      </c>
      <c r="M142" s="65">
        <f>$J$142-EFEITO!$K$142*EFEITO!$Y$142</f>
        <v>0</v>
      </c>
      <c r="N142" s="65">
        <f ca="1">$K$142-EFEITO!$M$142*EFEITO!$Z$142</f>
        <v>48.581921100655109</v>
      </c>
      <c r="O142" s="65">
        <f>$L$142-EFEITO!$O$142*EFEITO!$AA$142</f>
        <v>66.077894600259242</v>
      </c>
      <c r="P142" s="48"/>
      <c r="Q142" s="48"/>
      <c r="R142" s="48"/>
      <c r="S142" s="48"/>
      <c r="T142" s="48"/>
      <c r="U142" s="48"/>
      <c r="V142" s="48"/>
      <c r="W142" s="48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spans="1:36" ht="11.25" customHeight="1" x14ac:dyDescent="0.2">
      <c r="A143" s="44" t="s">
        <v>28</v>
      </c>
      <c r="B143" s="44" t="s">
        <v>35</v>
      </c>
      <c r="C143" s="44" t="s">
        <v>36</v>
      </c>
      <c r="D143" s="44" t="s">
        <v>41</v>
      </c>
      <c r="E143" s="44" t="s">
        <v>25</v>
      </c>
      <c r="F143" s="44" t="s">
        <v>25</v>
      </c>
      <c r="G143" s="44" t="s">
        <v>25</v>
      </c>
      <c r="H143" s="44" t="s">
        <v>38</v>
      </c>
      <c r="I143" s="64">
        <v>44501</v>
      </c>
      <c r="J143" s="65">
        <f>EFEITO!$J$143*EFEITO!$Y$93</f>
        <v>0</v>
      </c>
      <c r="K143" s="65">
        <f ca="1">EFEITO!$L$143*EFEITO!$Z$93</f>
        <v>3239.8597827072781</v>
      </c>
      <c r="L143" s="65">
        <f>EFEITO!$N$143*EFEITO!$AA$93</f>
        <v>4406.6415734733746</v>
      </c>
      <c r="M143" s="65">
        <f>$J$143-EFEITO!$K$143*EFEITO!$Y$143</f>
        <v>0</v>
      </c>
      <c r="N143" s="65">
        <f ca="1">$K$143-EFEITO!$M$143*EFEITO!$Z$143</f>
        <v>64.797195654145526</v>
      </c>
      <c r="O143" s="65">
        <f>$L$143-EFEITO!$O$143*EFEITO!$AA$143</f>
        <v>88.132831469467419</v>
      </c>
      <c r="P143" s="48"/>
      <c r="Q143" s="48"/>
      <c r="R143" s="48"/>
      <c r="S143" s="48"/>
      <c r="T143" s="48"/>
      <c r="U143" s="48"/>
      <c r="V143" s="48"/>
      <c r="W143" s="48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spans="1:36" ht="11.25" customHeight="1" x14ac:dyDescent="0.2">
      <c r="A144" s="44" t="s">
        <v>21</v>
      </c>
      <c r="B144" s="44" t="s">
        <v>35</v>
      </c>
      <c r="C144" s="44" t="s">
        <v>36</v>
      </c>
      <c r="D144" s="44" t="s">
        <v>41</v>
      </c>
      <c r="E144" s="44" t="s">
        <v>25</v>
      </c>
      <c r="F144" s="44" t="s">
        <v>25</v>
      </c>
      <c r="G144" s="44" t="s">
        <v>25</v>
      </c>
      <c r="H144" s="44" t="s">
        <v>38</v>
      </c>
      <c r="I144" s="64">
        <v>44531</v>
      </c>
      <c r="J144" s="65">
        <f>EFEITO!$J$144*EFEITO!$Y$93</f>
        <v>0</v>
      </c>
      <c r="K144" s="65">
        <f ca="1">EFEITO!$L$144*EFEITO!$Z$93</f>
        <v>195.00265519068401</v>
      </c>
      <c r="L144" s="65">
        <f>EFEITO!$N$144*EFEITO!$AA$93</f>
        <v>265.22962872884307</v>
      </c>
      <c r="M144" s="65">
        <f>$J$144-EFEITO!$K$144*EFEITO!$Y$144</f>
        <v>0</v>
      </c>
      <c r="N144" s="65">
        <f ca="1">$K$144-EFEITO!$M$144*EFEITO!$Z$144</f>
        <v>3.9000531038136899</v>
      </c>
      <c r="O144" s="65">
        <f>$L$144-EFEITO!$O$144*EFEITO!$AA$144</f>
        <v>5.3045925745768727</v>
      </c>
      <c r="P144" s="48"/>
      <c r="Q144" s="48"/>
      <c r="R144" s="48"/>
      <c r="S144" s="48"/>
      <c r="T144" s="48"/>
      <c r="U144" s="48"/>
      <c r="V144" s="48"/>
      <c r="W144" s="48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spans="1:36" ht="11.25" customHeight="1" x14ac:dyDescent="0.2">
      <c r="A145" s="44" t="s">
        <v>28</v>
      </c>
      <c r="B145" s="44" t="s">
        <v>35</v>
      </c>
      <c r="C145" s="44" t="s">
        <v>36</v>
      </c>
      <c r="D145" s="44" t="s">
        <v>41</v>
      </c>
      <c r="E145" s="44" t="s">
        <v>25</v>
      </c>
      <c r="F145" s="44" t="s">
        <v>25</v>
      </c>
      <c r="G145" s="44" t="s">
        <v>25</v>
      </c>
      <c r="H145" s="44" t="s">
        <v>38</v>
      </c>
      <c r="I145" s="64">
        <v>44531</v>
      </c>
      <c r="J145" s="65">
        <f>EFEITO!$J$145*EFEITO!$Y$93</f>
        <v>0</v>
      </c>
      <c r="K145" s="65">
        <f ca="1">EFEITO!$L$145*EFEITO!$Z$93</f>
        <v>4097.7516482466317</v>
      </c>
      <c r="L145" s="65">
        <f>EFEITO!$N$145*EFEITO!$AA$93</f>
        <v>5573.4889723664719</v>
      </c>
      <c r="M145" s="65">
        <f>$J$145-EFEITO!$K$145*EFEITO!$Y$145</f>
        <v>0</v>
      </c>
      <c r="N145" s="65">
        <f ca="1">$K$145-EFEITO!$M$145*EFEITO!$Z$145</f>
        <v>81.955032964933253</v>
      </c>
      <c r="O145" s="65">
        <f>$L$145-EFEITO!$O$145*EFEITO!$AA$145</f>
        <v>111.46977944732953</v>
      </c>
      <c r="P145" s="48"/>
      <c r="Q145" s="48"/>
      <c r="R145" s="48"/>
      <c r="S145" s="48"/>
      <c r="T145" s="48"/>
      <c r="U145" s="48"/>
      <c r="V145" s="48"/>
      <c r="W145" s="48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spans="1:36" ht="11.25" customHeight="1" x14ac:dyDescent="0.2">
      <c r="A146" s="44" t="s">
        <v>21</v>
      </c>
      <c r="B146" s="44" t="s">
        <v>35</v>
      </c>
      <c r="C146" s="44" t="s">
        <v>36</v>
      </c>
      <c r="D146" s="44" t="s">
        <v>41</v>
      </c>
      <c r="E146" s="44" t="s">
        <v>25</v>
      </c>
      <c r="F146" s="44" t="s">
        <v>25</v>
      </c>
      <c r="G146" s="44" t="s">
        <v>25</v>
      </c>
      <c r="H146" s="44" t="s">
        <v>38</v>
      </c>
      <c r="I146" s="64">
        <v>44562</v>
      </c>
      <c r="J146" s="65">
        <f>EFEITO!$J$146*EFEITO!$Y$93</f>
        <v>0</v>
      </c>
      <c r="K146" s="65">
        <f ca="1">EFEITO!$L$146*EFEITO!$Z$93</f>
        <v>2307.4814958815705</v>
      </c>
      <c r="L146" s="65">
        <f>EFEITO!$N$146*EFEITO!$AA$93</f>
        <v>3138.482703493888</v>
      </c>
      <c r="M146" s="65">
        <f>$J$146-EFEITO!$K$146*EFEITO!$Y$146</f>
        <v>0</v>
      </c>
      <c r="N146" s="65">
        <f ca="1">$K$146-EFEITO!$M$146*EFEITO!$Z$146</f>
        <v>46.149629917631501</v>
      </c>
      <c r="O146" s="65">
        <f>$L$146-EFEITO!$O$146*EFEITO!$AA$146</f>
        <v>62.769654069878015</v>
      </c>
      <c r="P146" s="48"/>
      <c r="Q146" s="48"/>
      <c r="R146" s="48"/>
      <c r="S146" s="48"/>
      <c r="T146" s="48"/>
      <c r="U146" s="48"/>
      <c r="V146" s="48"/>
      <c r="W146" s="48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spans="1:36" ht="11.25" customHeight="1" x14ac:dyDescent="0.2">
      <c r="A147" s="44" t="s">
        <v>28</v>
      </c>
      <c r="B147" s="44" t="s">
        <v>35</v>
      </c>
      <c r="C147" s="44" t="s">
        <v>36</v>
      </c>
      <c r="D147" s="44" t="s">
        <v>41</v>
      </c>
      <c r="E147" s="44" t="s">
        <v>25</v>
      </c>
      <c r="F147" s="44" t="s">
        <v>25</v>
      </c>
      <c r="G147" s="44" t="s">
        <v>25</v>
      </c>
      <c r="H147" s="44" t="s">
        <v>38</v>
      </c>
      <c r="I147" s="64">
        <v>44562</v>
      </c>
      <c r="J147" s="65">
        <f>EFEITO!$J$147*EFEITO!$Y$93</f>
        <v>0</v>
      </c>
      <c r="K147" s="65">
        <f ca="1">EFEITO!$L$147*EFEITO!$Z$93</f>
        <v>3867.602585156756</v>
      </c>
      <c r="L147" s="65">
        <f>EFEITO!$N$147*EFEITO!$AA$93</f>
        <v>5260.4555395861425</v>
      </c>
      <c r="M147" s="65">
        <f>$J$147-EFEITO!$K$147*EFEITO!$Y$147</f>
        <v>0</v>
      </c>
      <c r="N147" s="65">
        <f ca="1">$K$147-EFEITO!$M$147*EFEITO!$Z$147</f>
        <v>77.352051703135658</v>
      </c>
      <c r="O147" s="65">
        <f>$L$147-EFEITO!$O$147*EFEITO!$AA$147</f>
        <v>105.20911079172311</v>
      </c>
      <c r="P147" s="48"/>
      <c r="Q147" s="48"/>
      <c r="R147" s="48"/>
      <c r="S147" s="48"/>
      <c r="T147" s="48"/>
      <c r="U147" s="48"/>
      <c r="V147" s="48"/>
      <c r="W147" s="48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spans="1:36" ht="11.25" customHeight="1" x14ac:dyDescent="0.2">
      <c r="A148" s="44" t="s">
        <v>21</v>
      </c>
      <c r="B148" s="44" t="s">
        <v>35</v>
      </c>
      <c r="C148" s="44" t="s">
        <v>36</v>
      </c>
      <c r="D148" s="44" t="s">
        <v>41</v>
      </c>
      <c r="E148" s="44" t="s">
        <v>25</v>
      </c>
      <c r="F148" s="44" t="s">
        <v>25</v>
      </c>
      <c r="G148" s="44" t="s">
        <v>25</v>
      </c>
      <c r="H148" s="44" t="s">
        <v>38</v>
      </c>
      <c r="I148" s="64">
        <v>44593</v>
      </c>
      <c r="J148" s="65">
        <f>EFEITO!$J$148*EFEITO!$Y$93</f>
        <v>0</v>
      </c>
      <c r="K148" s="65">
        <f ca="1">EFEITO!$L$148*EFEITO!$Z$93</f>
        <v>2066.1494848237708</v>
      </c>
      <c r="L148" s="65">
        <f>EFEITO!$N$148*EFEITO!$AA$93</f>
        <v>2810.2389694244498</v>
      </c>
      <c r="M148" s="65">
        <f>$J$148-EFEITO!$K$148*EFEITO!$Y$148</f>
        <v>0</v>
      </c>
      <c r="N148" s="65">
        <f ca="1">$K$148-EFEITO!$M$148*EFEITO!$Z$148</f>
        <v>41.322989696475588</v>
      </c>
      <c r="O148" s="65">
        <f>$L$148-EFEITO!$O$148*EFEITO!$AA$148</f>
        <v>56.204779388488987</v>
      </c>
      <c r="P148" s="48"/>
      <c r="Q148" s="48"/>
      <c r="R148" s="48"/>
      <c r="S148" s="48"/>
      <c r="T148" s="48"/>
      <c r="U148" s="48"/>
      <c r="V148" s="48"/>
      <c r="W148" s="48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spans="1:36" ht="11.25" customHeight="1" x14ac:dyDescent="0.2">
      <c r="A149" s="44" t="s">
        <v>28</v>
      </c>
      <c r="B149" s="44" t="s">
        <v>35</v>
      </c>
      <c r="C149" s="44" t="s">
        <v>36</v>
      </c>
      <c r="D149" s="44" t="s">
        <v>41</v>
      </c>
      <c r="E149" s="44" t="s">
        <v>25</v>
      </c>
      <c r="F149" s="44" t="s">
        <v>25</v>
      </c>
      <c r="G149" s="44" t="s">
        <v>25</v>
      </c>
      <c r="H149" s="44" t="s">
        <v>38</v>
      </c>
      <c r="I149" s="64">
        <v>44593</v>
      </c>
      <c r="J149" s="65">
        <f>EFEITO!$J$149*EFEITO!$Y$93</f>
        <v>0</v>
      </c>
      <c r="K149" s="65">
        <f ca="1">EFEITO!$L$149*EFEITO!$Z$93</f>
        <v>3267.8171526270894</v>
      </c>
      <c r="L149" s="65">
        <f>EFEITO!$N$149*EFEITO!$AA$93</f>
        <v>4444.6673266961479</v>
      </c>
      <c r="M149" s="65">
        <f>$J$149-EFEITO!$K$149*EFEITO!$Y$149</f>
        <v>0</v>
      </c>
      <c r="N149" s="65">
        <f ca="1">$K$149-EFEITO!$M$149*EFEITO!$Z$149</f>
        <v>65.356343052541888</v>
      </c>
      <c r="O149" s="65">
        <f>$L$149-EFEITO!$O$149*EFEITO!$AA$149</f>
        <v>88.89334653392325</v>
      </c>
      <c r="P149" s="48"/>
      <c r="Q149" s="48"/>
      <c r="R149" s="48"/>
      <c r="S149" s="48"/>
      <c r="T149" s="48"/>
      <c r="U149" s="48"/>
      <c r="V149" s="48"/>
      <c r="W149" s="48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spans="1:36" ht="11.25" customHeight="1" x14ac:dyDescent="0.2">
      <c r="A150" s="44" t="s">
        <v>21</v>
      </c>
      <c r="B150" s="44" t="s">
        <v>35</v>
      </c>
      <c r="C150" s="44" t="s">
        <v>36</v>
      </c>
      <c r="D150" s="44" t="s">
        <v>41</v>
      </c>
      <c r="E150" s="44" t="s">
        <v>25</v>
      </c>
      <c r="F150" s="44" t="s">
        <v>25</v>
      </c>
      <c r="G150" s="44" t="s">
        <v>25</v>
      </c>
      <c r="H150" s="44" t="s">
        <v>38</v>
      </c>
      <c r="I150" s="64">
        <v>44621</v>
      </c>
      <c r="J150" s="65">
        <f>EFEITO!$J$150*EFEITO!$Y$93</f>
        <v>0</v>
      </c>
      <c r="K150" s="65">
        <f ca="1">EFEITO!$L$150*EFEITO!$Z$93</f>
        <v>1850.977584190937</v>
      </c>
      <c r="L150" s="65">
        <f>EFEITO!$N$150*EFEITO!$AA$93</f>
        <v>2517.5764758706059</v>
      </c>
      <c r="M150" s="65">
        <f>$J$150-EFEITO!$K$150*EFEITO!$Y$150</f>
        <v>0</v>
      </c>
      <c r="N150" s="65">
        <f ca="1">$K$150-EFEITO!$M$150*EFEITO!$Z$150</f>
        <v>37.019551683818918</v>
      </c>
      <c r="O150" s="65">
        <f>$L$150-EFEITO!$O$150*EFEITO!$AA$150</f>
        <v>50.351529517412473</v>
      </c>
      <c r="P150" s="48"/>
      <c r="Q150" s="48"/>
      <c r="R150" s="48"/>
      <c r="S150" s="48"/>
      <c r="T150" s="48"/>
      <c r="U150" s="48"/>
      <c r="V150" s="48"/>
      <c r="W150" s="48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spans="1:36" ht="11.25" customHeight="1" x14ac:dyDescent="0.2">
      <c r="A151" s="44" t="s">
        <v>28</v>
      </c>
      <c r="B151" s="44" t="s">
        <v>35</v>
      </c>
      <c r="C151" s="44" t="s">
        <v>36</v>
      </c>
      <c r="D151" s="44" t="s">
        <v>41</v>
      </c>
      <c r="E151" s="44" t="s">
        <v>25</v>
      </c>
      <c r="F151" s="44" t="s">
        <v>25</v>
      </c>
      <c r="G151" s="44" t="s">
        <v>25</v>
      </c>
      <c r="H151" s="44" t="s">
        <v>38</v>
      </c>
      <c r="I151" s="64">
        <v>44621</v>
      </c>
      <c r="J151" s="65">
        <f>EFEITO!$J$151*EFEITO!$Y$93</f>
        <v>0</v>
      </c>
      <c r="K151" s="65">
        <f ca="1">EFEITO!$L$151*EFEITO!$Z$93</f>
        <v>4779.6119310408867</v>
      </c>
      <c r="L151" s="65">
        <f>EFEITO!$N$151*EFEITO!$AA$93</f>
        <v>6500.909932217608</v>
      </c>
      <c r="M151" s="65">
        <f>$J$151-EFEITO!$K$151*EFEITO!$Y$151</f>
        <v>0</v>
      </c>
      <c r="N151" s="65">
        <f ca="1">$K$151-EFEITO!$M$151*EFEITO!$Z$151</f>
        <v>95.592238620817625</v>
      </c>
      <c r="O151" s="65">
        <f>$L$151-EFEITO!$O$151*EFEITO!$AA$151</f>
        <v>130.0181986443522</v>
      </c>
      <c r="P151" s="48"/>
      <c r="Q151" s="48"/>
      <c r="R151" s="48"/>
      <c r="S151" s="48"/>
      <c r="T151" s="48"/>
      <c r="U151" s="48"/>
      <c r="V151" s="48"/>
      <c r="W151" s="48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spans="1:36" ht="11.25" customHeight="1" x14ac:dyDescent="0.2">
      <c r="A152" s="44" t="s">
        <v>21</v>
      </c>
      <c r="B152" s="44" t="s">
        <v>35</v>
      </c>
      <c r="C152" s="44" t="s">
        <v>36</v>
      </c>
      <c r="D152" s="44" t="s">
        <v>41</v>
      </c>
      <c r="E152" s="44" t="s">
        <v>25</v>
      </c>
      <c r="F152" s="44" t="s">
        <v>25</v>
      </c>
      <c r="G152" s="44" t="s">
        <v>25</v>
      </c>
      <c r="H152" s="44" t="s">
        <v>38</v>
      </c>
      <c r="I152" s="64">
        <v>44652</v>
      </c>
      <c r="J152" s="65">
        <f>EFEITO!$J$152*EFEITO!$Y$93</f>
        <v>0</v>
      </c>
      <c r="K152" s="65">
        <f ca="1">EFEITO!$L$152*EFEITO!$Z$93</f>
        <v>1372.1077765644545</v>
      </c>
      <c r="L152" s="65">
        <f>EFEITO!$N$152*EFEITO!$AA$93</f>
        <v>1866.2496456691049</v>
      </c>
      <c r="M152" s="65">
        <f>$J$152-EFEITO!$K$152*EFEITO!$Y$152</f>
        <v>0</v>
      </c>
      <c r="N152" s="65">
        <f ca="1">$K$152-EFEITO!$M$152*EFEITO!$Z$152</f>
        <v>27.442155531289245</v>
      </c>
      <c r="O152" s="65">
        <f>$L$152-EFEITO!$O$152*EFEITO!$AA$152</f>
        <v>37.324992913382175</v>
      </c>
      <c r="P152" s="48"/>
      <c r="Q152" s="48"/>
      <c r="R152" s="48"/>
      <c r="S152" s="48"/>
      <c r="T152" s="48"/>
      <c r="U152" s="48"/>
      <c r="V152" s="48"/>
      <c r="W152" s="48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spans="1:36" ht="11.25" customHeight="1" x14ac:dyDescent="0.2">
      <c r="A153" s="44" t="s">
        <v>28</v>
      </c>
      <c r="B153" s="44" t="s">
        <v>35</v>
      </c>
      <c r="C153" s="44" t="s">
        <v>36</v>
      </c>
      <c r="D153" s="44" t="s">
        <v>41</v>
      </c>
      <c r="E153" s="44" t="s">
        <v>25</v>
      </c>
      <c r="F153" s="44" t="s">
        <v>25</v>
      </c>
      <c r="G153" s="44" t="s">
        <v>25</v>
      </c>
      <c r="H153" s="44" t="s">
        <v>38</v>
      </c>
      <c r="I153" s="64">
        <v>44652</v>
      </c>
      <c r="J153" s="65">
        <f>EFEITO!$J$153*EFEITO!$Y$93</f>
        <v>0</v>
      </c>
      <c r="K153" s="65">
        <f ca="1">EFEITO!$L$153*EFEITO!$Z$93</f>
        <v>4314.9205038737373</v>
      </c>
      <c r="L153" s="65">
        <f>EFEITO!$N$153*EFEITO!$AA$93</f>
        <v>5868.8675911505143</v>
      </c>
      <c r="M153" s="65">
        <f>$J$153-EFEITO!$K$153*EFEITO!$Y$153</f>
        <v>0</v>
      </c>
      <c r="N153" s="65">
        <f ca="1">$K$153-EFEITO!$M$153*EFEITO!$Z$153</f>
        <v>86.298410077474728</v>
      </c>
      <c r="O153" s="65">
        <f>$L$153-EFEITO!$O$153*EFEITO!$AA$153</f>
        <v>117.37735182301003</v>
      </c>
      <c r="P153" s="48"/>
      <c r="Q153" s="48"/>
      <c r="R153" s="48"/>
      <c r="S153" s="48"/>
      <c r="T153" s="48"/>
      <c r="U153" s="48"/>
      <c r="V153" s="48"/>
      <c r="W153" s="48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spans="1:36" ht="11.25" customHeight="1" x14ac:dyDescent="0.2">
      <c r="A154" s="44" t="s">
        <v>21</v>
      </c>
      <c r="B154" s="44" t="s">
        <v>35</v>
      </c>
      <c r="C154" s="44" t="s">
        <v>36</v>
      </c>
      <c r="D154" s="44" t="s">
        <v>41</v>
      </c>
      <c r="E154" s="44" t="s">
        <v>25</v>
      </c>
      <c r="F154" s="44" t="s">
        <v>25</v>
      </c>
      <c r="G154" s="44" t="s">
        <v>25</v>
      </c>
      <c r="H154" s="44" t="s">
        <v>38</v>
      </c>
      <c r="I154" s="64">
        <v>44682</v>
      </c>
      <c r="J154" s="65">
        <f>EFEITO!$J$154*EFEITO!$Y$93</f>
        <v>0</v>
      </c>
      <c r="K154" s="65">
        <f ca="1">EFEITO!$L$154*EFEITO!$Z$93</f>
        <v>2154.4148955706037</v>
      </c>
      <c r="L154" s="65">
        <f>EFEITO!$N$154*EFEITO!$AA$93</f>
        <v>2930.2917045992049</v>
      </c>
      <c r="M154" s="65">
        <f>$J$154-EFEITO!$K$154*EFEITO!$Y$154</f>
        <v>0</v>
      </c>
      <c r="N154" s="65">
        <f ca="1">$K$154-EFEITO!$M$154*EFEITO!$Z$154</f>
        <v>43.088297911412155</v>
      </c>
      <c r="O154" s="65">
        <f>$L$154-EFEITO!$O$154*EFEITO!$AA$154</f>
        <v>58.605834091983979</v>
      </c>
      <c r="P154" s="48"/>
      <c r="Q154" s="48"/>
      <c r="R154" s="48"/>
      <c r="S154" s="48"/>
      <c r="T154" s="48"/>
      <c r="U154" s="48"/>
      <c r="V154" s="48"/>
      <c r="W154" s="48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spans="1:36" ht="11.25" customHeight="1" x14ac:dyDescent="0.2">
      <c r="A155" s="44" t="s">
        <v>28</v>
      </c>
      <c r="B155" s="44" t="s">
        <v>35</v>
      </c>
      <c r="C155" s="44" t="s">
        <v>36</v>
      </c>
      <c r="D155" s="44" t="s">
        <v>41</v>
      </c>
      <c r="E155" s="44" t="s">
        <v>25</v>
      </c>
      <c r="F155" s="44" t="s">
        <v>25</v>
      </c>
      <c r="G155" s="44" t="s">
        <v>25</v>
      </c>
      <c r="H155" s="44" t="s">
        <v>38</v>
      </c>
      <c r="I155" s="64">
        <v>44682</v>
      </c>
      <c r="J155" s="65">
        <f>EFEITO!$J$155*EFEITO!$Y$93</f>
        <v>0</v>
      </c>
      <c r="K155" s="65">
        <f ca="1">EFEITO!$L$155*EFEITO!$Z$93</f>
        <v>2372.5822286948455</v>
      </c>
      <c r="L155" s="65">
        <f>EFEITO!$N$155*EFEITO!$AA$93</f>
        <v>3227.0283859983456</v>
      </c>
      <c r="M155" s="65">
        <f>$J$155-EFEITO!$K$155*EFEITO!$Y$155</f>
        <v>0</v>
      </c>
      <c r="N155" s="65">
        <f ca="1">$K$155-EFEITO!$M$155*EFEITO!$Z$155</f>
        <v>47.451644573897283</v>
      </c>
      <c r="O155" s="65">
        <f>$L$155-EFEITO!$O$155*EFEITO!$AA$155</f>
        <v>64.54056771996693</v>
      </c>
      <c r="P155" s="48"/>
      <c r="Q155" s="48"/>
      <c r="R155" s="48"/>
      <c r="S155" s="48"/>
      <c r="T155" s="48"/>
      <c r="U155" s="48"/>
      <c r="V155" s="48"/>
      <c r="W155" s="48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spans="1:36" ht="11.25" customHeight="1" x14ac:dyDescent="0.2">
      <c r="A156" s="44" t="s">
        <v>21</v>
      </c>
      <c r="B156" s="44" t="s">
        <v>35</v>
      </c>
      <c r="C156" s="44" t="s">
        <v>36</v>
      </c>
      <c r="D156" s="44" t="s">
        <v>41</v>
      </c>
      <c r="E156" s="44" t="s">
        <v>25</v>
      </c>
      <c r="F156" s="44" t="s">
        <v>25</v>
      </c>
      <c r="G156" s="44" t="s">
        <v>25</v>
      </c>
      <c r="H156" s="44" t="s">
        <v>38</v>
      </c>
      <c r="I156" s="64">
        <v>44713</v>
      </c>
      <c r="J156" s="65">
        <f>EFEITO!$J$156*EFEITO!$Y$93</f>
        <v>0</v>
      </c>
      <c r="K156" s="65">
        <f ca="1">EFEITO!$L$156*EFEITO!$Z$93</f>
        <v>213.57433663741577</v>
      </c>
      <c r="L156" s="65">
        <f>EFEITO!$N$156*EFEITO!$AA$93</f>
        <v>290.48959336968522</v>
      </c>
      <c r="M156" s="65">
        <f>$J$156-EFEITO!$K$156*EFEITO!$Y$156</f>
        <v>0</v>
      </c>
      <c r="N156" s="65">
        <f ca="1">$K$156-EFEITO!$M$156*EFEITO!$Z$156</f>
        <v>4.2714867327483148</v>
      </c>
      <c r="O156" s="65">
        <f>$L$156-EFEITO!$O$156*EFEITO!$AA$156</f>
        <v>5.8097918673936988</v>
      </c>
      <c r="P156" s="48"/>
      <c r="Q156" s="48"/>
      <c r="R156" s="48"/>
      <c r="S156" s="48"/>
      <c r="T156" s="48"/>
      <c r="U156" s="48"/>
      <c r="V156" s="48"/>
      <c r="W156" s="48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spans="1:36" ht="11.25" customHeight="1" x14ac:dyDescent="0.2">
      <c r="A157" s="44" t="s">
        <v>28</v>
      </c>
      <c r="B157" s="44" t="s">
        <v>35</v>
      </c>
      <c r="C157" s="44" t="s">
        <v>36</v>
      </c>
      <c r="D157" s="44" t="s">
        <v>41</v>
      </c>
      <c r="E157" s="44" t="s">
        <v>25</v>
      </c>
      <c r="F157" s="44" t="s">
        <v>25</v>
      </c>
      <c r="G157" s="44" t="s">
        <v>25</v>
      </c>
      <c r="H157" s="44" t="s">
        <v>38</v>
      </c>
      <c r="I157" s="64">
        <v>44713</v>
      </c>
      <c r="J157" s="65">
        <f>EFEITO!$J$157*EFEITO!$Y$93</f>
        <v>0</v>
      </c>
      <c r="K157" s="65">
        <f ca="1">EFEITO!$L$157*EFEITO!$Z$93</f>
        <v>3505.1552536963445</v>
      </c>
      <c r="L157" s="65">
        <f>EFEITO!$N$157*EFEITO!$AA$93</f>
        <v>4767.4788103051897</v>
      </c>
      <c r="M157" s="65">
        <f>$J$157-EFEITO!$K$157*EFEITO!$Y$157</f>
        <v>0</v>
      </c>
      <c r="N157" s="65">
        <f ca="1">$K$157-EFEITO!$M$157*EFEITO!$Z$157</f>
        <v>70.103105073927054</v>
      </c>
      <c r="O157" s="65">
        <f>$L$157-EFEITO!$O$157*EFEITO!$AA$157</f>
        <v>95.349576206103848</v>
      </c>
      <c r="P157" s="48"/>
      <c r="Q157" s="48"/>
      <c r="R157" s="48"/>
      <c r="S157" s="48"/>
      <c r="T157" s="48"/>
      <c r="U157" s="48"/>
      <c r="V157" s="48"/>
      <c r="W157" s="48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spans="1:36" ht="11.25" customHeight="1" x14ac:dyDescent="0.2">
      <c r="A158" s="44" t="s">
        <v>21</v>
      </c>
      <c r="B158" s="44" t="s">
        <v>35</v>
      </c>
      <c r="C158" s="44" t="s">
        <v>36</v>
      </c>
      <c r="D158" s="44" t="s">
        <v>41</v>
      </c>
      <c r="E158" s="44" t="s">
        <v>25</v>
      </c>
      <c r="F158" s="44" t="s">
        <v>25</v>
      </c>
      <c r="G158" s="44" t="s">
        <v>25</v>
      </c>
      <c r="H158" s="44" t="s">
        <v>38</v>
      </c>
      <c r="I158" s="64">
        <v>44743</v>
      </c>
      <c r="J158" s="65">
        <f>EFEITO!$J$158*EFEITO!$Y$93</f>
        <v>0</v>
      </c>
      <c r="K158" s="65">
        <f ca="1">EFEITO!$L$158*EFEITO!$Z$93</f>
        <v>87.067237750269555</v>
      </c>
      <c r="L158" s="65">
        <f>EFEITO!$N$158*EFEITO!$AA$93</f>
        <v>118.42306003663654</v>
      </c>
      <c r="M158" s="65">
        <f>$J$158-EFEITO!$K$158*EFEITO!$Y$158</f>
        <v>0</v>
      </c>
      <c r="N158" s="65">
        <f ca="1">$K$158-EFEITO!$M$158*EFEITO!$Z$158</f>
        <v>1.7413447550054002</v>
      </c>
      <c r="O158" s="65">
        <f>$L$158-EFEITO!$O$158*EFEITO!$AA$158</f>
        <v>2.3684612007327388</v>
      </c>
      <c r="P158" s="48"/>
      <c r="Q158" s="48"/>
      <c r="R158" s="48"/>
      <c r="S158" s="48"/>
      <c r="T158" s="48"/>
      <c r="U158" s="48"/>
      <c r="V158" s="48"/>
      <c r="W158" s="48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spans="1:36" ht="11.25" customHeight="1" x14ac:dyDescent="0.2">
      <c r="A159" s="44" t="s">
        <v>21</v>
      </c>
      <c r="B159" s="44" t="s">
        <v>35</v>
      </c>
      <c r="C159" s="44" t="s">
        <v>36</v>
      </c>
      <c r="D159" s="44" t="s">
        <v>41</v>
      </c>
      <c r="E159" s="44" t="s">
        <v>25</v>
      </c>
      <c r="F159" s="44" t="s">
        <v>25</v>
      </c>
      <c r="G159" s="44" t="s">
        <v>25</v>
      </c>
      <c r="H159" s="44" t="s">
        <v>38</v>
      </c>
      <c r="I159" s="64">
        <v>44774</v>
      </c>
      <c r="J159" s="65">
        <f>EFEITO!$J$159*EFEITO!$Y$93</f>
        <v>0</v>
      </c>
      <c r="K159" s="65">
        <f ca="1">EFEITO!$L$159*EFEITO!$Z$93</f>
        <v>1506.2033044298353</v>
      </c>
      <c r="L159" s="65">
        <f>EFEITO!$N$159*EFEITO!$AA$93</f>
        <v>2048.6374548769063</v>
      </c>
      <c r="M159" s="65">
        <f>$J$159-EFEITO!$K$159*EFEITO!$Y$159</f>
        <v>0</v>
      </c>
      <c r="N159" s="65">
        <f ca="1">$K$159-EFEITO!$M$159*EFEITO!$Z$159</f>
        <v>30.124066088596919</v>
      </c>
      <c r="O159" s="65">
        <f>$L$159-EFEITO!$O$159*EFEITO!$AA$159</f>
        <v>40.972749097538099</v>
      </c>
      <c r="P159" s="48"/>
      <c r="Q159" s="48"/>
      <c r="R159" s="48"/>
      <c r="S159" s="48"/>
      <c r="T159" s="48"/>
      <c r="U159" s="48"/>
      <c r="V159" s="48"/>
      <c r="W159" s="48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spans="1:36" ht="11.25" customHeight="1" x14ac:dyDescent="0.2">
      <c r="A160" s="44" t="s">
        <v>28</v>
      </c>
      <c r="B160" s="44" t="s">
        <v>35</v>
      </c>
      <c r="C160" s="44" t="s">
        <v>36</v>
      </c>
      <c r="D160" s="44" t="s">
        <v>41</v>
      </c>
      <c r="E160" s="44" t="s">
        <v>25</v>
      </c>
      <c r="F160" s="44" t="s">
        <v>25</v>
      </c>
      <c r="G160" s="44" t="s">
        <v>25</v>
      </c>
      <c r="H160" s="44" t="s">
        <v>38</v>
      </c>
      <c r="I160" s="64">
        <v>44774</v>
      </c>
      <c r="J160" s="65">
        <f>EFEITO!$J$160*EFEITO!$Y$93</f>
        <v>0</v>
      </c>
      <c r="K160" s="65">
        <f ca="1">EFEITO!$L$160*EFEITO!$Z$93</f>
        <v>5615.5372916432452</v>
      </c>
      <c r="L160" s="65">
        <f>EFEITO!$N$160*EFEITO!$AA$93</f>
        <v>7637.8799535785274</v>
      </c>
      <c r="M160" s="65">
        <f>$J$160-EFEITO!$K$160*EFEITO!$Y$160</f>
        <v>0</v>
      </c>
      <c r="N160" s="65">
        <f ca="1">$K$160-EFEITO!$M$160*EFEITO!$Z$160</f>
        <v>112.310745832865</v>
      </c>
      <c r="O160" s="65">
        <f>$L$160-EFEITO!$O$160*EFEITO!$AA$160</f>
        <v>152.75759907157135</v>
      </c>
      <c r="P160" s="48"/>
      <c r="Q160" s="48"/>
      <c r="R160" s="48"/>
      <c r="S160" s="48"/>
      <c r="T160" s="48"/>
      <c r="U160" s="48"/>
      <c r="V160" s="48"/>
      <c r="W160" s="48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spans="1:36" ht="11.25" customHeight="1" x14ac:dyDescent="0.2">
      <c r="A161" s="44" t="s">
        <v>21</v>
      </c>
      <c r="B161" s="44" t="s">
        <v>35</v>
      </c>
      <c r="C161" s="44" t="s">
        <v>36</v>
      </c>
      <c r="D161" s="44" t="s">
        <v>41</v>
      </c>
      <c r="E161" s="44" t="s">
        <v>25</v>
      </c>
      <c r="F161" s="44" t="s">
        <v>25</v>
      </c>
      <c r="G161" s="44" t="s">
        <v>25</v>
      </c>
      <c r="H161" s="44" t="s">
        <v>25</v>
      </c>
      <c r="I161" s="64">
        <v>44440</v>
      </c>
      <c r="J161" s="65">
        <f ca="1">EFEITO!$J$161*EFEITO!$Y$117</f>
        <v>2267.0647619187885</v>
      </c>
      <c r="K161" s="65">
        <f>EFEITO!$L$161*EFEITO!$Z$117</f>
        <v>0</v>
      </c>
      <c r="L161" s="65">
        <f>EFEITO!$N$161*EFEITO!$AA$117</f>
        <v>0</v>
      </c>
      <c r="M161" s="65">
        <f ca="1">$J$161-EFEITO!$K$161*EFEITO!$Y$161</f>
        <v>45.341295238376006</v>
      </c>
      <c r="N161" s="65">
        <f>$K$161-EFEITO!$M$161*EFEITO!$Z$161</f>
        <v>0</v>
      </c>
      <c r="O161" s="65">
        <f>$L$161-EFEITO!$O$161*EFEITO!$AA$161</f>
        <v>0</v>
      </c>
      <c r="P161" s="48"/>
      <c r="Q161" s="48"/>
      <c r="R161" s="48"/>
      <c r="S161" s="48"/>
      <c r="T161" s="48"/>
      <c r="U161" s="48"/>
      <c r="V161" s="48"/>
      <c r="W161" s="48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spans="1:36" ht="11.25" customHeight="1" x14ac:dyDescent="0.2">
      <c r="A162" s="44" t="s">
        <v>28</v>
      </c>
      <c r="B162" s="44" t="s">
        <v>35</v>
      </c>
      <c r="C162" s="44" t="s">
        <v>36</v>
      </c>
      <c r="D162" s="44" t="s">
        <v>41</v>
      </c>
      <c r="E162" s="44" t="s">
        <v>25</v>
      </c>
      <c r="F162" s="44" t="s">
        <v>25</v>
      </c>
      <c r="G162" s="44" t="s">
        <v>25</v>
      </c>
      <c r="H162" s="44" t="s">
        <v>25</v>
      </c>
      <c r="I162" s="64">
        <v>44440</v>
      </c>
      <c r="J162" s="65">
        <f ca="1">EFEITO!$J$162*EFEITO!$Y$117</f>
        <v>6650.0566349617793</v>
      </c>
      <c r="K162" s="65">
        <f>EFEITO!$L$162*EFEITO!$Z$117</f>
        <v>0</v>
      </c>
      <c r="L162" s="65">
        <f>EFEITO!$N$162*EFEITO!$AA$117</f>
        <v>0</v>
      </c>
      <c r="M162" s="65">
        <f ca="1">$J$162-EFEITO!$K$162*EFEITO!$Y$162</f>
        <v>133.00113269923531</v>
      </c>
      <c r="N162" s="65">
        <f>$K$162-EFEITO!$M$162*EFEITO!$Z$162</f>
        <v>0</v>
      </c>
      <c r="O162" s="65">
        <f>$L$162-EFEITO!$O$162*EFEITO!$AA$162</f>
        <v>0</v>
      </c>
      <c r="P162" s="48"/>
      <c r="Q162" s="48"/>
      <c r="R162" s="48"/>
      <c r="S162" s="48"/>
      <c r="T162" s="48"/>
      <c r="U162" s="48"/>
      <c r="V162" s="48"/>
      <c r="W162" s="48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spans="1:36" ht="11.25" customHeight="1" x14ac:dyDescent="0.2">
      <c r="A163" s="44" t="s">
        <v>21</v>
      </c>
      <c r="B163" s="44" t="s">
        <v>35</v>
      </c>
      <c r="C163" s="44" t="s">
        <v>36</v>
      </c>
      <c r="D163" s="44" t="s">
        <v>41</v>
      </c>
      <c r="E163" s="44" t="s">
        <v>25</v>
      </c>
      <c r="F163" s="44" t="s">
        <v>25</v>
      </c>
      <c r="G163" s="44" t="s">
        <v>25</v>
      </c>
      <c r="H163" s="44" t="s">
        <v>25</v>
      </c>
      <c r="I163" s="64">
        <v>44470</v>
      </c>
      <c r="J163" s="65">
        <f ca="1">EFEITO!$J$163*EFEITO!$Y$117</f>
        <v>2267.0647619187885</v>
      </c>
      <c r="K163" s="65">
        <f>EFEITO!$L$163*EFEITO!$Z$117</f>
        <v>0</v>
      </c>
      <c r="L163" s="65">
        <f>EFEITO!$N$163*EFEITO!$AA$117</f>
        <v>0</v>
      </c>
      <c r="M163" s="65">
        <f ca="1">$J$163-EFEITO!$K$163*EFEITO!$Y$163</f>
        <v>45.341295238376006</v>
      </c>
      <c r="N163" s="65">
        <f>$K$163-EFEITO!$M$163*EFEITO!$Z$163</f>
        <v>0</v>
      </c>
      <c r="O163" s="65">
        <f>$L$163-EFEITO!$O$163*EFEITO!$AA$163</f>
        <v>0</v>
      </c>
      <c r="P163" s="48"/>
      <c r="Q163" s="48"/>
      <c r="R163" s="48"/>
      <c r="S163" s="48"/>
      <c r="T163" s="48"/>
      <c r="U163" s="48"/>
      <c r="V163" s="48"/>
      <c r="W163" s="48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spans="1:36" ht="11.25" customHeight="1" x14ac:dyDescent="0.2">
      <c r="A164" s="44" t="s">
        <v>28</v>
      </c>
      <c r="B164" s="44" t="s">
        <v>35</v>
      </c>
      <c r="C164" s="44" t="s">
        <v>36</v>
      </c>
      <c r="D164" s="44" t="s">
        <v>41</v>
      </c>
      <c r="E164" s="44" t="s">
        <v>25</v>
      </c>
      <c r="F164" s="44" t="s">
        <v>25</v>
      </c>
      <c r="G164" s="44" t="s">
        <v>25</v>
      </c>
      <c r="H164" s="44" t="s">
        <v>25</v>
      </c>
      <c r="I164" s="64">
        <v>44470</v>
      </c>
      <c r="J164" s="65">
        <f ca="1">EFEITO!$J$164*EFEITO!$Y$117</f>
        <v>6398.1605503041364</v>
      </c>
      <c r="K164" s="65">
        <f>EFEITO!$L$164*EFEITO!$Z$117</f>
        <v>0</v>
      </c>
      <c r="L164" s="65">
        <f>EFEITO!$N$164*EFEITO!$AA$117</f>
        <v>0</v>
      </c>
      <c r="M164" s="65">
        <f ca="1">$J$164-EFEITO!$K$164*EFEITO!$Y$164</f>
        <v>127.96321100608293</v>
      </c>
      <c r="N164" s="65">
        <f>$K$164-EFEITO!$M$164*EFEITO!$Z$164</f>
        <v>0</v>
      </c>
      <c r="O164" s="65">
        <f>$L$164-EFEITO!$O$164*EFEITO!$AA$164</f>
        <v>0</v>
      </c>
      <c r="P164" s="48"/>
      <c r="Q164" s="48"/>
      <c r="R164" s="48"/>
      <c r="S164" s="48"/>
      <c r="T164" s="48"/>
      <c r="U164" s="48"/>
      <c r="V164" s="48"/>
      <c r="W164" s="48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spans="1:36" ht="11.25" customHeight="1" x14ac:dyDescent="0.2">
      <c r="A165" s="44" t="s">
        <v>21</v>
      </c>
      <c r="B165" s="44" t="s">
        <v>35</v>
      </c>
      <c r="C165" s="44" t="s">
        <v>36</v>
      </c>
      <c r="D165" s="44" t="s">
        <v>41</v>
      </c>
      <c r="E165" s="44" t="s">
        <v>25</v>
      </c>
      <c r="F165" s="44" t="s">
        <v>25</v>
      </c>
      <c r="G165" s="44" t="s">
        <v>25</v>
      </c>
      <c r="H165" s="44" t="s">
        <v>25</v>
      </c>
      <c r="I165" s="64">
        <v>44501</v>
      </c>
      <c r="J165" s="65">
        <f ca="1">EFEITO!$J$165*EFEITO!$Y$117</f>
        <v>2267.0647619187885</v>
      </c>
      <c r="K165" s="65">
        <f>EFEITO!$L$165*EFEITO!$Z$117</f>
        <v>0</v>
      </c>
      <c r="L165" s="65">
        <f>EFEITO!$N$165*EFEITO!$AA$117</f>
        <v>0</v>
      </c>
      <c r="M165" s="65">
        <f ca="1">$J$165-EFEITO!$K$165*EFEITO!$Y$165</f>
        <v>45.341295238376006</v>
      </c>
      <c r="N165" s="65">
        <f>$K$165-EFEITO!$M$165*EFEITO!$Z$165</f>
        <v>0</v>
      </c>
      <c r="O165" s="65">
        <f>$L$165-EFEITO!$O$165*EFEITO!$AA$165</f>
        <v>0</v>
      </c>
      <c r="P165" s="48"/>
      <c r="Q165" s="48"/>
      <c r="R165" s="48"/>
      <c r="S165" s="48"/>
      <c r="T165" s="48"/>
      <c r="U165" s="48"/>
      <c r="V165" s="48"/>
      <c r="W165" s="48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spans="1:36" ht="11.25" customHeight="1" x14ac:dyDescent="0.2">
      <c r="A166" s="44" t="s">
        <v>28</v>
      </c>
      <c r="B166" s="44" t="s">
        <v>35</v>
      </c>
      <c r="C166" s="44" t="s">
        <v>36</v>
      </c>
      <c r="D166" s="44" t="s">
        <v>41</v>
      </c>
      <c r="E166" s="44" t="s">
        <v>25</v>
      </c>
      <c r="F166" s="44" t="s">
        <v>25</v>
      </c>
      <c r="G166" s="44" t="s">
        <v>25</v>
      </c>
      <c r="H166" s="44" t="s">
        <v>25</v>
      </c>
      <c r="I166" s="64">
        <v>44501</v>
      </c>
      <c r="J166" s="65">
        <f ca="1">EFEITO!$J$166*EFEITO!$Y$117</f>
        <v>6524.1085926329579</v>
      </c>
      <c r="K166" s="65">
        <f>EFEITO!$L$166*EFEITO!$Z$117</f>
        <v>0</v>
      </c>
      <c r="L166" s="65">
        <f>EFEITO!$N$166*EFEITO!$AA$117</f>
        <v>0</v>
      </c>
      <c r="M166" s="65">
        <f ca="1">$J$166-EFEITO!$K$166*EFEITO!$Y$166</f>
        <v>130.48217185265912</v>
      </c>
      <c r="N166" s="65">
        <f>$K$166-EFEITO!$M$166*EFEITO!$Z$166</f>
        <v>0</v>
      </c>
      <c r="O166" s="65">
        <f>$L$166-EFEITO!$O$166*EFEITO!$AA$166</f>
        <v>0</v>
      </c>
      <c r="P166" s="48"/>
      <c r="Q166" s="48"/>
      <c r="R166" s="48"/>
      <c r="S166" s="48"/>
      <c r="T166" s="48"/>
      <c r="U166" s="48"/>
      <c r="V166" s="48"/>
      <c r="W166" s="48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spans="1:36" ht="11.25" customHeight="1" x14ac:dyDescent="0.2">
      <c r="A167" s="44" t="s">
        <v>21</v>
      </c>
      <c r="B167" s="44" t="s">
        <v>35</v>
      </c>
      <c r="C167" s="44" t="s">
        <v>36</v>
      </c>
      <c r="D167" s="44" t="s">
        <v>41</v>
      </c>
      <c r="E167" s="44" t="s">
        <v>25</v>
      </c>
      <c r="F167" s="44" t="s">
        <v>25</v>
      </c>
      <c r="G167" s="44" t="s">
        <v>25</v>
      </c>
      <c r="H167" s="44" t="s">
        <v>25</v>
      </c>
      <c r="I167" s="64">
        <v>44531</v>
      </c>
      <c r="J167" s="65">
        <f ca="1">EFEITO!$J$167*EFEITO!$Y$117</f>
        <v>2267.0647619187885</v>
      </c>
      <c r="K167" s="65">
        <f>EFEITO!$L$167*EFEITO!$Z$117</f>
        <v>0</v>
      </c>
      <c r="L167" s="65">
        <f>EFEITO!$N$167*EFEITO!$AA$117</f>
        <v>0</v>
      </c>
      <c r="M167" s="65">
        <f ca="1">$J$167-EFEITO!$K$167*EFEITO!$Y$167</f>
        <v>45.341295238376006</v>
      </c>
      <c r="N167" s="65">
        <f>$K$167-EFEITO!$M$167*EFEITO!$Z$167</f>
        <v>0</v>
      </c>
      <c r="O167" s="65">
        <f>$L$167-EFEITO!$O$167*EFEITO!$AA$167</f>
        <v>0</v>
      </c>
      <c r="P167" s="48"/>
      <c r="Q167" s="48"/>
      <c r="R167" s="48"/>
      <c r="S167" s="48"/>
      <c r="T167" s="48"/>
      <c r="U167" s="48"/>
      <c r="V167" s="48"/>
      <c r="W167" s="48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spans="1:36" ht="11.25" customHeight="1" x14ac:dyDescent="0.2">
      <c r="A168" s="44" t="s">
        <v>28</v>
      </c>
      <c r="B168" s="44" t="s">
        <v>35</v>
      </c>
      <c r="C168" s="44" t="s">
        <v>36</v>
      </c>
      <c r="D168" s="44" t="s">
        <v>41</v>
      </c>
      <c r="E168" s="44" t="s">
        <v>25</v>
      </c>
      <c r="F168" s="44" t="s">
        <v>25</v>
      </c>
      <c r="G168" s="44" t="s">
        <v>25</v>
      </c>
      <c r="H168" s="44" t="s">
        <v>25</v>
      </c>
      <c r="I168" s="64">
        <v>44531</v>
      </c>
      <c r="J168" s="65">
        <f ca="1">EFEITO!$J$168*EFEITO!$Y$117</f>
        <v>7027.9007619482445</v>
      </c>
      <c r="K168" s="65">
        <f>EFEITO!$L$168*EFEITO!$Z$117</f>
        <v>0</v>
      </c>
      <c r="L168" s="65">
        <f>EFEITO!$N$168*EFEITO!$AA$117</f>
        <v>0</v>
      </c>
      <c r="M168" s="65">
        <f ca="1">$J$168-EFEITO!$K$168*EFEITO!$Y$168</f>
        <v>140.5580152389648</v>
      </c>
      <c r="N168" s="65">
        <f>$K$168-EFEITO!$M$168*EFEITO!$Z$168</f>
        <v>0</v>
      </c>
      <c r="O168" s="65">
        <f>$L$168-EFEITO!$O$168*EFEITO!$AA$168</f>
        <v>0</v>
      </c>
      <c r="P168" s="48"/>
      <c r="Q168" s="48"/>
      <c r="R168" s="48"/>
      <c r="S168" s="48"/>
      <c r="T168" s="48"/>
      <c r="U168" s="48"/>
      <c r="V168" s="48"/>
      <c r="W168" s="48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spans="1:36" ht="11.25" customHeight="1" x14ac:dyDescent="0.2">
      <c r="A169" s="44" t="s">
        <v>21</v>
      </c>
      <c r="B169" s="44" t="s">
        <v>35</v>
      </c>
      <c r="C169" s="44" t="s">
        <v>36</v>
      </c>
      <c r="D169" s="44" t="s">
        <v>41</v>
      </c>
      <c r="E169" s="44" t="s">
        <v>25</v>
      </c>
      <c r="F169" s="44" t="s">
        <v>25</v>
      </c>
      <c r="G169" s="44" t="s">
        <v>25</v>
      </c>
      <c r="H169" s="44" t="s">
        <v>25</v>
      </c>
      <c r="I169" s="64">
        <v>44562</v>
      </c>
      <c r="J169" s="65">
        <f ca="1">EFEITO!$J$169*EFEITO!$Y$117</f>
        <v>2267.0647619187885</v>
      </c>
      <c r="K169" s="65">
        <f>EFEITO!$L$169*EFEITO!$Z$117</f>
        <v>0</v>
      </c>
      <c r="L169" s="65">
        <f>EFEITO!$N$169*EFEITO!$AA$117</f>
        <v>0</v>
      </c>
      <c r="M169" s="65">
        <f ca="1">$J$169-EFEITO!$K$169*EFEITO!$Y$169</f>
        <v>45.341295238376006</v>
      </c>
      <c r="N169" s="65">
        <f>$K$169-EFEITO!$M$169*EFEITO!$Z$169</f>
        <v>0</v>
      </c>
      <c r="O169" s="65">
        <f>$L$169-EFEITO!$O$169*EFEITO!$AA$169</f>
        <v>0</v>
      </c>
      <c r="P169" s="48"/>
      <c r="Q169" s="48"/>
      <c r="R169" s="48"/>
      <c r="S169" s="48"/>
      <c r="T169" s="48"/>
      <c r="U169" s="48"/>
      <c r="V169" s="48"/>
      <c r="W169" s="48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spans="1:36" ht="11.25" customHeight="1" x14ac:dyDescent="0.2">
      <c r="A170" s="44" t="s">
        <v>28</v>
      </c>
      <c r="B170" s="44" t="s">
        <v>35</v>
      </c>
      <c r="C170" s="44" t="s">
        <v>36</v>
      </c>
      <c r="D170" s="44" t="s">
        <v>41</v>
      </c>
      <c r="E170" s="44" t="s">
        <v>25</v>
      </c>
      <c r="F170" s="44" t="s">
        <v>25</v>
      </c>
      <c r="G170" s="44" t="s">
        <v>25</v>
      </c>
      <c r="H170" s="44" t="s">
        <v>25</v>
      </c>
      <c r="I170" s="64">
        <v>44562</v>
      </c>
      <c r="J170" s="65">
        <f ca="1">EFEITO!$J$170*EFEITO!$Y$117</f>
        <v>6423.3501587699002</v>
      </c>
      <c r="K170" s="65">
        <f>EFEITO!$L$170*EFEITO!$Z$117</f>
        <v>0</v>
      </c>
      <c r="L170" s="65">
        <f>EFEITO!$N$170*EFEITO!$AA$117</f>
        <v>0</v>
      </c>
      <c r="M170" s="65">
        <f ca="1">$J$170-EFEITO!$K$170*EFEITO!$Y$170</f>
        <v>128.46700317539762</v>
      </c>
      <c r="N170" s="65">
        <f>$K$170-EFEITO!$M$170*EFEITO!$Z$170</f>
        <v>0</v>
      </c>
      <c r="O170" s="65">
        <f>$L$170-EFEITO!$O$170*EFEITO!$AA$170</f>
        <v>0</v>
      </c>
      <c r="P170" s="48"/>
      <c r="Q170" s="48"/>
      <c r="R170" s="48"/>
      <c r="S170" s="48"/>
      <c r="T170" s="48"/>
      <c r="U170" s="48"/>
      <c r="V170" s="48"/>
      <c r="W170" s="48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spans="1:36" ht="11.25" customHeight="1" x14ac:dyDescent="0.2">
      <c r="A171" s="44" t="s">
        <v>21</v>
      </c>
      <c r="B171" s="44" t="s">
        <v>35</v>
      </c>
      <c r="C171" s="44" t="s">
        <v>36</v>
      </c>
      <c r="D171" s="44" t="s">
        <v>41</v>
      </c>
      <c r="E171" s="44" t="s">
        <v>25</v>
      </c>
      <c r="F171" s="44" t="s">
        <v>25</v>
      </c>
      <c r="G171" s="44" t="s">
        <v>25</v>
      </c>
      <c r="H171" s="44" t="s">
        <v>25</v>
      </c>
      <c r="I171" s="64">
        <v>44593</v>
      </c>
      <c r="J171" s="65">
        <f ca="1">EFEITO!$J$171*EFEITO!$Y$117</f>
        <v>2267.0647619187885</v>
      </c>
      <c r="K171" s="65">
        <f>EFEITO!$L$171*EFEITO!$Z$117</f>
        <v>0</v>
      </c>
      <c r="L171" s="65">
        <f>EFEITO!$N$171*EFEITO!$AA$117</f>
        <v>0</v>
      </c>
      <c r="M171" s="65">
        <f ca="1">$J$171-EFEITO!$K$171*EFEITO!$Y$171</f>
        <v>45.341295238376006</v>
      </c>
      <c r="N171" s="65">
        <f>$K$171-EFEITO!$M$171*EFEITO!$Z$171</f>
        <v>0</v>
      </c>
      <c r="O171" s="65">
        <f>$L$171-EFEITO!$O$171*EFEITO!$AA$171</f>
        <v>0</v>
      </c>
      <c r="P171" s="48"/>
      <c r="Q171" s="48"/>
      <c r="R171" s="48"/>
      <c r="S171" s="48"/>
      <c r="T171" s="48"/>
      <c r="U171" s="48"/>
      <c r="V171" s="48"/>
      <c r="W171" s="48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spans="1:36" ht="11.25" customHeight="1" x14ac:dyDescent="0.2">
      <c r="A172" s="44" t="s">
        <v>28</v>
      </c>
      <c r="B172" s="44" t="s">
        <v>35</v>
      </c>
      <c r="C172" s="44" t="s">
        <v>36</v>
      </c>
      <c r="D172" s="44" t="s">
        <v>41</v>
      </c>
      <c r="E172" s="44" t="s">
        <v>25</v>
      </c>
      <c r="F172" s="44" t="s">
        <v>25</v>
      </c>
      <c r="G172" s="44" t="s">
        <v>25</v>
      </c>
      <c r="H172" s="44" t="s">
        <v>25</v>
      </c>
      <c r="I172" s="64">
        <v>44593</v>
      </c>
      <c r="J172" s="65">
        <f ca="1">EFEITO!$J$172*EFEITO!$Y$117</f>
        <v>6776.0046772906007</v>
      </c>
      <c r="K172" s="65">
        <f>EFEITO!$L$172*EFEITO!$Z$117</f>
        <v>0</v>
      </c>
      <c r="L172" s="65">
        <f>EFEITO!$N$172*EFEITO!$AA$117</f>
        <v>0</v>
      </c>
      <c r="M172" s="65">
        <f ca="1">$J$172-EFEITO!$K$172*EFEITO!$Y$172</f>
        <v>135.52009354581151</v>
      </c>
      <c r="N172" s="65">
        <f>$K$172-EFEITO!$M$172*EFEITO!$Z$172</f>
        <v>0</v>
      </c>
      <c r="O172" s="65">
        <f>$L$172-EFEITO!$O$172*EFEITO!$AA$172</f>
        <v>0</v>
      </c>
      <c r="P172" s="48"/>
      <c r="Q172" s="48"/>
      <c r="R172" s="48"/>
      <c r="S172" s="48"/>
      <c r="T172" s="48"/>
      <c r="U172" s="48"/>
      <c r="V172" s="48"/>
      <c r="W172" s="48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spans="1:36" ht="11.25" customHeight="1" x14ac:dyDescent="0.2">
      <c r="A173" s="44" t="s">
        <v>21</v>
      </c>
      <c r="B173" s="44" t="s">
        <v>35</v>
      </c>
      <c r="C173" s="44" t="s">
        <v>36</v>
      </c>
      <c r="D173" s="44" t="s">
        <v>41</v>
      </c>
      <c r="E173" s="44" t="s">
        <v>25</v>
      </c>
      <c r="F173" s="44" t="s">
        <v>25</v>
      </c>
      <c r="G173" s="44" t="s">
        <v>25</v>
      </c>
      <c r="H173" s="44" t="s">
        <v>25</v>
      </c>
      <c r="I173" s="64">
        <v>44621</v>
      </c>
      <c r="J173" s="65">
        <f ca="1">EFEITO!$J$173*EFEITO!$Y$117</f>
        <v>2267.0647619187885</v>
      </c>
      <c r="K173" s="65">
        <f>EFEITO!$L$173*EFEITO!$Z$117</f>
        <v>0</v>
      </c>
      <c r="L173" s="65">
        <f>EFEITO!$N$173*EFEITO!$AA$117</f>
        <v>0</v>
      </c>
      <c r="M173" s="65">
        <f ca="1">$J$173-EFEITO!$K$173*EFEITO!$Y$173</f>
        <v>45.341295238376006</v>
      </c>
      <c r="N173" s="65">
        <f>$K$173-EFEITO!$M$173*EFEITO!$Z$173</f>
        <v>0</v>
      </c>
      <c r="O173" s="65">
        <f>$L$173-EFEITO!$O$173*EFEITO!$AA$173</f>
        <v>0</v>
      </c>
      <c r="P173" s="48"/>
      <c r="Q173" s="48"/>
      <c r="R173" s="48"/>
      <c r="S173" s="48"/>
      <c r="T173" s="48"/>
      <c r="U173" s="48"/>
      <c r="V173" s="48"/>
      <c r="W173" s="48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spans="1:36" ht="11.25" customHeight="1" x14ac:dyDescent="0.2">
      <c r="A174" s="44" t="s">
        <v>28</v>
      </c>
      <c r="B174" s="44" t="s">
        <v>35</v>
      </c>
      <c r="C174" s="44" t="s">
        <v>36</v>
      </c>
      <c r="D174" s="44" t="s">
        <v>41</v>
      </c>
      <c r="E174" s="44" t="s">
        <v>25</v>
      </c>
      <c r="F174" s="44" t="s">
        <v>25</v>
      </c>
      <c r="G174" s="44" t="s">
        <v>25</v>
      </c>
      <c r="H174" s="44" t="s">
        <v>25</v>
      </c>
      <c r="I174" s="64">
        <v>44621</v>
      </c>
      <c r="J174" s="65">
        <f ca="1">EFEITO!$J$174*EFEITO!$Y$117</f>
        <v>7430.9344974004734</v>
      </c>
      <c r="K174" s="65">
        <f>EFEITO!$L$174*EFEITO!$Z$117</f>
        <v>0</v>
      </c>
      <c r="L174" s="65">
        <f>EFEITO!$N$174*EFEITO!$AA$117</f>
        <v>0</v>
      </c>
      <c r="M174" s="65">
        <f ca="1">$J$174-EFEITO!$K$174*EFEITO!$Y$174</f>
        <v>148.61868994800989</v>
      </c>
      <c r="N174" s="65">
        <f>$K$174-EFEITO!$M$174*EFEITO!$Z$174</f>
        <v>0</v>
      </c>
      <c r="O174" s="65">
        <f>$L$174-EFEITO!$O$174*EFEITO!$AA$174</f>
        <v>0</v>
      </c>
      <c r="P174" s="48"/>
      <c r="Q174" s="48"/>
      <c r="R174" s="48"/>
      <c r="S174" s="48"/>
      <c r="T174" s="48"/>
      <c r="U174" s="48"/>
      <c r="V174" s="48"/>
      <c r="W174" s="48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spans="1:36" ht="11.25" customHeight="1" x14ac:dyDescent="0.2">
      <c r="A175" s="44" t="s">
        <v>21</v>
      </c>
      <c r="B175" s="44" t="s">
        <v>35</v>
      </c>
      <c r="C175" s="44" t="s">
        <v>36</v>
      </c>
      <c r="D175" s="44" t="s">
        <v>41</v>
      </c>
      <c r="E175" s="44" t="s">
        <v>25</v>
      </c>
      <c r="F175" s="44" t="s">
        <v>25</v>
      </c>
      <c r="G175" s="44" t="s">
        <v>25</v>
      </c>
      <c r="H175" s="44" t="s">
        <v>25</v>
      </c>
      <c r="I175" s="64">
        <v>44652</v>
      </c>
      <c r="J175" s="65">
        <f ca="1">EFEITO!$J$175*EFEITO!$Y$117</f>
        <v>2267.0647619187885</v>
      </c>
      <c r="K175" s="65">
        <f>EFEITO!$L$175*EFEITO!$Z$117</f>
        <v>0</v>
      </c>
      <c r="L175" s="65">
        <f>EFEITO!$N$175*EFEITO!$AA$117</f>
        <v>0</v>
      </c>
      <c r="M175" s="65">
        <f ca="1">$J$175-EFEITO!$K$175*EFEITO!$Y$175</f>
        <v>45.341295238376006</v>
      </c>
      <c r="N175" s="65">
        <f>$K$175-EFEITO!$M$175*EFEITO!$Z$175</f>
        <v>0</v>
      </c>
      <c r="O175" s="65">
        <f>$L$175-EFEITO!$O$175*EFEITO!$AA$175</f>
        <v>0</v>
      </c>
      <c r="P175" s="48"/>
      <c r="Q175" s="48"/>
      <c r="R175" s="48"/>
      <c r="S175" s="48"/>
      <c r="T175" s="48"/>
      <c r="U175" s="48"/>
      <c r="V175" s="48"/>
      <c r="W175" s="48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spans="1:36" ht="11.25" customHeight="1" x14ac:dyDescent="0.2">
      <c r="A176" s="44" t="s">
        <v>28</v>
      </c>
      <c r="B176" s="44" t="s">
        <v>35</v>
      </c>
      <c r="C176" s="44" t="s">
        <v>36</v>
      </c>
      <c r="D176" s="44" t="s">
        <v>41</v>
      </c>
      <c r="E176" s="44" t="s">
        <v>25</v>
      </c>
      <c r="F176" s="44" t="s">
        <v>25</v>
      </c>
      <c r="G176" s="44" t="s">
        <v>25</v>
      </c>
      <c r="H176" s="44" t="s">
        <v>25</v>
      </c>
      <c r="I176" s="64">
        <v>44652</v>
      </c>
      <c r="J176" s="65">
        <f ca="1">EFEITO!$J$176*EFEITO!$Y$117</f>
        <v>6801.1942857563654</v>
      </c>
      <c r="K176" s="65">
        <f>EFEITO!$L$176*EFEITO!$Z$117</f>
        <v>0</v>
      </c>
      <c r="L176" s="65">
        <f>EFEITO!$N$176*EFEITO!$AA$117</f>
        <v>0</v>
      </c>
      <c r="M176" s="65">
        <f ca="1">$J$176-EFEITO!$K$176*EFEITO!$Y$176</f>
        <v>136.02388571512711</v>
      </c>
      <c r="N176" s="65">
        <f>$K$176-EFEITO!$M$176*EFEITO!$Z$176</f>
        <v>0</v>
      </c>
      <c r="O176" s="65">
        <f>$L$176-EFEITO!$O$176*EFEITO!$AA$176</f>
        <v>0</v>
      </c>
      <c r="P176" s="48"/>
      <c r="Q176" s="48"/>
      <c r="R176" s="48"/>
      <c r="S176" s="48"/>
      <c r="T176" s="48"/>
      <c r="U176" s="48"/>
      <c r="V176" s="48"/>
      <c r="W176" s="48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spans="1:36" ht="11.25" customHeight="1" x14ac:dyDescent="0.2">
      <c r="A177" s="44" t="s">
        <v>21</v>
      </c>
      <c r="B177" s="44" t="s">
        <v>35</v>
      </c>
      <c r="C177" s="44" t="s">
        <v>36</v>
      </c>
      <c r="D177" s="44" t="s">
        <v>41</v>
      </c>
      <c r="E177" s="44" t="s">
        <v>25</v>
      </c>
      <c r="F177" s="44" t="s">
        <v>25</v>
      </c>
      <c r="G177" s="44" t="s">
        <v>25</v>
      </c>
      <c r="H177" s="44" t="s">
        <v>25</v>
      </c>
      <c r="I177" s="64">
        <v>44682</v>
      </c>
      <c r="J177" s="65">
        <f ca="1">EFEITO!$J$177*EFEITO!$Y$117</f>
        <v>2267.0647619187885</v>
      </c>
      <c r="K177" s="65">
        <f>EFEITO!$L$177*EFEITO!$Z$117</f>
        <v>0</v>
      </c>
      <c r="L177" s="65">
        <f>EFEITO!$N$177*EFEITO!$AA$117</f>
        <v>0</v>
      </c>
      <c r="M177" s="65">
        <f ca="1">$J$177-EFEITO!$K$177*EFEITO!$Y$177</f>
        <v>45.341295238376006</v>
      </c>
      <c r="N177" s="65">
        <f>$K$177-EFEITO!$M$177*EFEITO!$Z$177</f>
        <v>0</v>
      </c>
      <c r="O177" s="65">
        <f>$L$177-EFEITO!$O$177*EFEITO!$AA$177</f>
        <v>0</v>
      </c>
      <c r="P177" s="48"/>
      <c r="Q177" s="48"/>
      <c r="R177" s="48"/>
      <c r="S177" s="48"/>
      <c r="T177" s="48"/>
      <c r="U177" s="48"/>
      <c r="V177" s="48"/>
      <c r="W177" s="48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spans="1:36" ht="11.25" customHeight="1" x14ac:dyDescent="0.2">
      <c r="A178" s="44" t="s">
        <v>28</v>
      </c>
      <c r="B178" s="44" t="s">
        <v>35</v>
      </c>
      <c r="C178" s="44" t="s">
        <v>36</v>
      </c>
      <c r="D178" s="44" t="s">
        <v>41</v>
      </c>
      <c r="E178" s="44" t="s">
        <v>25</v>
      </c>
      <c r="F178" s="44" t="s">
        <v>25</v>
      </c>
      <c r="G178" s="44" t="s">
        <v>25</v>
      </c>
      <c r="H178" s="44" t="s">
        <v>25</v>
      </c>
      <c r="I178" s="64">
        <v>44682</v>
      </c>
      <c r="J178" s="65">
        <f ca="1">EFEITO!$J$178*EFEITO!$Y$117</f>
        <v>6297.4021164410788</v>
      </c>
      <c r="K178" s="65">
        <f>EFEITO!$L$178*EFEITO!$Z$117</f>
        <v>0</v>
      </c>
      <c r="L178" s="65">
        <f>EFEITO!$N$178*EFEITO!$AA$117</f>
        <v>0</v>
      </c>
      <c r="M178" s="65">
        <f ca="1">$J$178-EFEITO!$K$178*EFEITO!$Y$178</f>
        <v>125.94804232882143</v>
      </c>
      <c r="N178" s="65">
        <f>$K$178-EFEITO!$M$178*EFEITO!$Z$178</f>
        <v>0</v>
      </c>
      <c r="O178" s="65">
        <f>$L$178-EFEITO!$O$178*EFEITO!$AA$178</f>
        <v>0</v>
      </c>
      <c r="P178" s="48"/>
      <c r="Q178" s="48"/>
      <c r="R178" s="48"/>
      <c r="S178" s="48"/>
      <c r="T178" s="48"/>
      <c r="U178" s="48"/>
      <c r="V178" s="48"/>
      <c r="W178" s="48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spans="1:36" ht="11.25" customHeight="1" x14ac:dyDescent="0.2">
      <c r="A179" s="44" t="s">
        <v>21</v>
      </c>
      <c r="B179" s="44" t="s">
        <v>35</v>
      </c>
      <c r="C179" s="44" t="s">
        <v>36</v>
      </c>
      <c r="D179" s="44" t="s">
        <v>41</v>
      </c>
      <c r="E179" s="44" t="s">
        <v>25</v>
      </c>
      <c r="F179" s="44" t="s">
        <v>25</v>
      </c>
      <c r="G179" s="44" t="s">
        <v>25</v>
      </c>
      <c r="H179" s="44" t="s">
        <v>25</v>
      </c>
      <c r="I179" s="64">
        <v>44713</v>
      </c>
      <c r="J179" s="65">
        <f ca="1">EFEITO!$J$179*EFEITO!$Y$117</f>
        <v>2267.0647619187885</v>
      </c>
      <c r="K179" s="65">
        <f>EFEITO!$L$179*EFEITO!$Z$117</f>
        <v>0</v>
      </c>
      <c r="L179" s="65">
        <f>EFEITO!$N$179*EFEITO!$AA$117</f>
        <v>0</v>
      </c>
      <c r="M179" s="65">
        <f ca="1">$J$179-EFEITO!$K$179*EFEITO!$Y$179</f>
        <v>45.341295238376006</v>
      </c>
      <c r="N179" s="65">
        <f>$K$179-EFEITO!$M$179*EFEITO!$Z$179</f>
        <v>0</v>
      </c>
      <c r="O179" s="65">
        <f>$L$179-EFEITO!$O$179*EFEITO!$AA$179</f>
        <v>0</v>
      </c>
      <c r="P179" s="48"/>
      <c r="Q179" s="48"/>
      <c r="R179" s="48"/>
      <c r="S179" s="48"/>
      <c r="T179" s="48"/>
      <c r="U179" s="48"/>
      <c r="V179" s="48"/>
      <c r="W179" s="48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spans="1:36" ht="11.25" customHeight="1" x14ac:dyDescent="0.2">
      <c r="A180" s="44" t="s">
        <v>28</v>
      </c>
      <c r="B180" s="44" t="s">
        <v>35</v>
      </c>
      <c r="C180" s="44" t="s">
        <v>36</v>
      </c>
      <c r="D180" s="44" t="s">
        <v>41</v>
      </c>
      <c r="E180" s="44" t="s">
        <v>25</v>
      </c>
      <c r="F180" s="44" t="s">
        <v>25</v>
      </c>
      <c r="G180" s="44" t="s">
        <v>25</v>
      </c>
      <c r="H180" s="44" t="s">
        <v>25</v>
      </c>
      <c r="I180" s="64">
        <v>44713</v>
      </c>
      <c r="J180" s="65">
        <f ca="1">EFEITO!$J$180*EFEITO!$Y$117</f>
        <v>6524.1085926329579</v>
      </c>
      <c r="K180" s="65">
        <f>EFEITO!$L$180*EFEITO!$Z$117</f>
        <v>0</v>
      </c>
      <c r="L180" s="65">
        <f>EFEITO!$N$180*EFEITO!$AA$117</f>
        <v>0</v>
      </c>
      <c r="M180" s="65">
        <f ca="1">$J$180-EFEITO!$K$180*EFEITO!$Y$180</f>
        <v>130.48217185265912</v>
      </c>
      <c r="N180" s="65">
        <f>$K$180-EFEITO!$M$180*EFEITO!$Z$180</f>
        <v>0</v>
      </c>
      <c r="O180" s="65">
        <f>$L$180-EFEITO!$O$180*EFEITO!$AA$180</f>
        <v>0</v>
      </c>
      <c r="P180" s="48"/>
      <c r="Q180" s="48"/>
      <c r="R180" s="48"/>
      <c r="S180" s="48"/>
      <c r="T180" s="48"/>
      <c r="U180" s="48"/>
      <c r="V180" s="48"/>
      <c r="W180" s="48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spans="1:36" ht="11.25" customHeight="1" x14ac:dyDescent="0.2">
      <c r="A181" s="44" t="s">
        <v>21</v>
      </c>
      <c r="B181" s="44" t="s">
        <v>35</v>
      </c>
      <c r="C181" s="44" t="s">
        <v>36</v>
      </c>
      <c r="D181" s="44" t="s">
        <v>41</v>
      </c>
      <c r="E181" s="44" t="s">
        <v>25</v>
      </c>
      <c r="F181" s="44" t="s">
        <v>25</v>
      </c>
      <c r="G181" s="44" t="s">
        <v>25</v>
      </c>
      <c r="H181" s="44" t="s">
        <v>25</v>
      </c>
      <c r="I181" s="64">
        <v>44743</v>
      </c>
      <c r="J181" s="65">
        <f ca="1">EFEITO!$J$181*EFEITO!$Y$117</f>
        <v>2267.0647619187885</v>
      </c>
      <c r="K181" s="65">
        <f>EFEITO!$L$181*EFEITO!$Z$117</f>
        <v>0</v>
      </c>
      <c r="L181" s="65">
        <f>EFEITO!$N$181*EFEITO!$AA$117</f>
        <v>0</v>
      </c>
      <c r="M181" s="65">
        <f ca="1">$J$181-EFEITO!$K$181*EFEITO!$Y$181</f>
        <v>45.341295238376006</v>
      </c>
      <c r="N181" s="65">
        <f>$K$181-EFEITO!$M$181*EFEITO!$Z$181</f>
        <v>0</v>
      </c>
      <c r="O181" s="65">
        <f>$L$181-EFEITO!$O$181*EFEITO!$AA$181</f>
        <v>0</v>
      </c>
      <c r="P181" s="48"/>
      <c r="Q181" s="48"/>
      <c r="R181" s="48"/>
      <c r="S181" s="48"/>
      <c r="T181" s="48"/>
      <c r="U181" s="48"/>
      <c r="V181" s="48"/>
      <c r="W181" s="48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spans="1:36" ht="11.25" customHeight="1" x14ac:dyDescent="0.2">
      <c r="A182" s="44" t="s">
        <v>28</v>
      </c>
      <c r="B182" s="44" t="s">
        <v>35</v>
      </c>
      <c r="C182" s="44" t="s">
        <v>36</v>
      </c>
      <c r="D182" s="44" t="s">
        <v>41</v>
      </c>
      <c r="E182" s="44" t="s">
        <v>25</v>
      </c>
      <c r="F182" s="44" t="s">
        <v>25</v>
      </c>
      <c r="G182" s="44" t="s">
        <v>25</v>
      </c>
      <c r="H182" s="44" t="s">
        <v>25</v>
      </c>
      <c r="I182" s="64">
        <v>44743</v>
      </c>
      <c r="J182" s="65">
        <f ca="1">EFEITO!$J$182*EFEITO!$Y$117</f>
        <v>2518.9608465764318</v>
      </c>
      <c r="K182" s="65">
        <f>EFEITO!$L$182*EFEITO!$Z$117</f>
        <v>0</v>
      </c>
      <c r="L182" s="65">
        <f>EFEITO!$N$182*EFEITO!$AA$117</f>
        <v>0</v>
      </c>
      <c r="M182" s="65">
        <f ca="1">$J$182-EFEITO!$K$182*EFEITO!$Y$182</f>
        <v>50.379216931528845</v>
      </c>
      <c r="N182" s="65">
        <f>$K$182-EFEITO!$M$182*EFEITO!$Z$182</f>
        <v>0</v>
      </c>
      <c r="O182" s="65">
        <f>$L$182-EFEITO!$O$182*EFEITO!$AA$182</f>
        <v>0</v>
      </c>
      <c r="P182" s="48"/>
      <c r="Q182" s="48"/>
      <c r="R182" s="48"/>
      <c r="S182" s="48"/>
      <c r="T182" s="48"/>
      <c r="U182" s="48"/>
      <c r="V182" s="48"/>
      <c r="W182" s="48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spans="1:36" ht="11.25" customHeight="1" x14ac:dyDescent="0.2">
      <c r="A183" s="44" t="s">
        <v>21</v>
      </c>
      <c r="B183" s="44" t="s">
        <v>35</v>
      </c>
      <c r="C183" s="44" t="s">
        <v>36</v>
      </c>
      <c r="D183" s="44" t="s">
        <v>41</v>
      </c>
      <c r="E183" s="44" t="s">
        <v>25</v>
      </c>
      <c r="F183" s="44" t="s">
        <v>25</v>
      </c>
      <c r="G183" s="44" t="s">
        <v>25</v>
      </c>
      <c r="H183" s="44" t="s">
        <v>25</v>
      </c>
      <c r="I183" s="64">
        <v>44774</v>
      </c>
      <c r="J183" s="65">
        <f ca="1">EFEITO!$J$183*EFEITO!$Y$117</f>
        <v>2267.0647619187885</v>
      </c>
      <c r="K183" s="65">
        <f>EFEITO!$L$183*EFEITO!$Z$117</f>
        <v>0</v>
      </c>
      <c r="L183" s="65">
        <f>EFEITO!$N$183*EFEITO!$AA$117</f>
        <v>0</v>
      </c>
      <c r="M183" s="65">
        <f ca="1">$J$183-EFEITO!$K$183*EFEITO!$Y$183</f>
        <v>45.341295238376006</v>
      </c>
      <c r="N183" s="65">
        <f>$K$183-EFEITO!$M$183*EFEITO!$Z$183</f>
        <v>0</v>
      </c>
      <c r="O183" s="65">
        <f>$L$183-EFEITO!$O$183*EFEITO!$AA$183</f>
        <v>0</v>
      </c>
      <c r="P183" s="48"/>
      <c r="Q183" s="48"/>
      <c r="R183" s="48"/>
      <c r="S183" s="48"/>
      <c r="T183" s="48"/>
      <c r="U183" s="48"/>
      <c r="V183" s="48"/>
      <c r="W183" s="48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spans="1:36" ht="11.25" customHeight="1" x14ac:dyDescent="0.2">
      <c r="A184" s="44" t="s">
        <v>28</v>
      </c>
      <c r="B184" s="44" t="s">
        <v>35</v>
      </c>
      <c r="C184" s="44" t="s">
        <v>36</v>
      </c>
      <c r="D184" s="44" t="s">
        <v>41</v>
      </c>
      <c r="E184" s="44" t="s">
        <v>25</v>
      </c>
      <c r="F184" s="44" t="s">
        <v>25</v>
      </c>
      <c r="G184" s="44" t="s">
        <v>25</v>
      </c>
      <c r="H184" s="44" t="s">
        <v>25</v>
      </c>
      <c r="I184" s="64">
        <v>44774</v>
      </c>
      <c r="J184" s="65">
        <f ca="1">EFEITO!$J$184*EFEITO!$Y$117</f>
        <v>6297.4021164410788</v>
      </c>
      <c r="K184" s="65">
        <f>EFEITO!$L$184*EFEITO!$Z$117</f>
        <v>0</v>
      </c>
      <c r="L184" s="65">
        <f>EFEITO!$N$184*EFEITO!$AA$117</f>
        <v>0</v>
      </c>
      <c r="M184" s="65">
        <f ca="1">$J$184-EFEITO!$K$184*EFEITO!$Y$184</f>
        <v>125.94804232882143</v>
      </c>
      <c r="N184" s="65">
        <f>$K$184-EFEITO!$M$184*EFEITO!$Z$184</f>
        <v>0</v>
      </c>
      <c r="O184" s="65">
        <f>$L$184-EFEITO!$O$184*EFEITO!$AA$184</f>
        <v>0</v>
      </c>
      <c r="P184" s="48"/>
      <c r="Q184" s="48"/>
      <c r="R184" s="48"/>
      <c r="S184" s="48"/>
      <c r="T184" s="48"/>
      <c r="U184" s="48"/>
      <c r="V184" s="48"/>
      <c r="W184" s="48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spans="1:36" ht="11.25" customHeight="1" x14ac:dyDescent="0.2">
      <c r="A185" s="44" t="s">
        <v>21</v>
      </c>
      <c r="B185" s="44" t="s">
        <v>35</v>
      </c>
      <c r="C185" s="44" t="s">
        <v>36</v>
      </c>
      <c r="D185" s="44" t="s">
        <v>41</v>
      </c>
      <c r="E185" s="44" t="s">
        <v>25</v>
      </c>
      <c r="F185" s="44" t="s">
        <v>25</v>
      </c>
      <c r="G185" s="44" t="s">
        <v>25</v>
      </c>
      <c r="H185" s="44" t="s">
        <v>37</v>
      </c>
      <c r="I185" s="64">
        <v>44440</v>
      </c>
      <c r="J185" s="65">
        <f>EFEITO!$J$185*EFEITO!$Y$137</f>
        <v>0</v>
      </c>
      <c r="K185" s="65">
        <f ca="1">EFEITO!$L$185*EFEITO!$Z$137</f>
        <v>4421.6690378898693</v>
      </c>
      <c r="L185" s="65">
        <f>EFEITO!$N$185*EFEITO!$AA$137</f>
        <v>310.86053259617091</v>
      </c>
      <c r="M185" s="65">
        <f>$J$185-EFEITO!$K$185*EFEITO!$Y$185</f>
        <v>0</v>
      </c>
      <c r="N185" s="65">
        <f ca="1">$K$185-EFEITO!$M$185*EFEITO!$Z$185</f>
        <v>88.43338075779775</v>
      </c>
      <c r="O185" s="65">
        <f>$L$185-EFEITO!$O$185*EFEITO!$AA$185</f>
        <v>6.2172106519233807</v>
      </c>
      <c r="P185" s="48"/>
      <c r="Q185" s="48"/>
      <c r="R185" s="48"/>
      <c r="S185" s="48"/>
      <c r="T185" s="48"/>
      <c r="U185" s="48"/>
      <c r="V185" s="48"/>
      <c r="W185" s="48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spans="1:36" ht="11.25" customHeight="1" x14ac:dyDescent="0.2">
      <c r="A186" s="44" t="s">
        <v>28</v>
      </c>
      <c r="B186" s="44" t="s">
        <v>35</v>
      </c>
      <c r="C186" s="44" t="s">
        <v>36</v>
      </c>
      <c r="D186" s="44" t="s">
        <v>41</v>
      </c>
      <c r="E186" s="44" t="s">
        <v>25</v>
      </c>
      <c r="F186" s="44" t="s">
        <v>25</v>
      </c>
      <c r="G186" s="44" t="s">
        <v>25</v>
      </c>
      <c r="H186" s="44" t="s">
        <v>37</v>
      </c>
      <c r="I186" s="64">
        <v>44440</v>
      </c>
      <c r="J186" s="65">
        <f>EFEITO!$J$186*EFEITO!$Y$137</f>
        <v>0</v>
      </c>
      <c r="K186" s="65">
        <f ca="1">EFEITO!$L$186*EFEITO!$Z$137</f>
        <v>4417.8056311289338</v>
      </c>
      <c r="L186" s="65">
        <f>EFEITO!$N$186*EFEITO!$AA$137</f>
        <v>310.58892007315109</v>
      </c>
      <c r="M186" s="65">
        <f>$J$186-EFEITO!$K$186*EFEITO!$Y$186</f>
        <v>0</v>
      </c>
      <c r="N186" s="65">
        <f ca="1">$K$186-EFEITO!$M$186*EFEITO!$Z$186</f>
        <v>88.356112622578621</v>
      </c>
      <c r="O186" s="65">
        <f>$L$186-EFEITO!$O$186*EFEITO!$AA$186</f>
        <v>6.2117784014629933</v>
      </c>
      <c r="P186" s="48"/>
      <c r="Q186" s="48"/>
      <c r="R186" s="48"/>
      <c r="S186" s="48"/>
      <c r="T186" s="48"/>
      <c r="U186" s="48"/>
      <c r="V186" s="48"/>
      <c r="W186" s="48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spans="1:36" ht="11.25" customHeight="1" x14ac:dyDescent="0.2">
      <c r="A187" s="44" t="s">
        <v>21</v>
      </c>
      <c r="B187" s="44" t="s">
        <v>35</v>
      </c>
      <c r="C187" s="44" t="s">
        <v>36</v>
      </c>
      <c r="D187" s="44" t="s">
        <v>41</v>
      </c>
      <c r="E187" s="44" t="s">
        <v>25</v>
      </c>
      <c r="F187" s="44" t="s">
        <v>25</v>
      </c>
      <c r="G187" s="44" t="s">
        <v>25</v>
      </c>
      <c r="H187" s="44" t="s">
        <v>37</v>
      </c>
      <c r="I187" s="64">
        <v>44470</v>
      </c>
      <c r="J187" s="65">
        <f>EFEITO!$J$187*EFEITO!$Y$137</f>
        <v>0</v>
      </c>
      <c r="K187" s="65">
        <f ca="1">EFEITO!$L$187*EFEITO!$Z$137</f>
        <v>1883.4107959557109</v>
      </c>
      <c r="L187" s="65">
        <f>EFEITO!$N$187*EFEITO!$AA$137</f>
        <v>132.41110497215666</v>
      </c>
      <c r="M187" s="65">
        <f>$J$187-EFEITO!$K$187*EFEITO!$Y$187</f>
        <v>0</v>
      </c>
      <c r="N187" s="65">
        <f ca="1">$K$187-EFEITO!$M$187*EFEITO!$Z$187</f>
        <v>37.668215919114346</v>
      </c>
      <c r="O187" s="65">
        <f>$L$187-EFEITO!$O$187*EFEITO!$AA$187</f>
        <v>2.6482220994431316</v>
      </c>
      <c r="P187" s="48"/>
      <c r="Q187" s="48"/>
      <c r="R187" s="48"/>
      <c r="S187" s="48"/>
      <c r="T187" s="48"/>
      <c r="U187" s="48"/>
      <c r="V187" s="48"/>
      <c r="W187" s="48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spans="1:36" ht="11.25" customHeight="1" x14ac:dyDescent="0.2">
      <c r="A188" s="44" t="s">
        <v>28</v>
      </c>
      <c r="B188" s="44" t="s">
        <v>35</v>
      </c>
      <c r="C188" s="44" t="s">
        <v>36</v>
      </c>
      <c r="D188" s="44" t="s">
        <v>41</v>
      </c>
      <c r="E188" s="44" t="s">
        <v>25</v>
      </c>
      <c r="F188" s="44" t="s">
        <v>25</v>
      </c>
      <c r="G188" s="44" t="s">
        <v>25</v>
      </c>
      <c r="H188" s="44" t="s">
        <v>37</v>
      </c>
      <c r="I188" s="64">
        <v>44470</v>
      </c>
      <c r="J188" s="65">
        <f>EFEITO!$J$188*EFEITO!$Y$137</f>
        <v>0</v>
      </c>
      <c r="K188" s="65">
        <f ca="1">EFEITO!$L$188*EFEITO!$Z$137</f>
        <v>3983.17237052377</v>
      </c>
      <c r="L188" s="65">
        <f>EFEITO!$N$188*EFEITO!$AA$137</f>
        <v>280.03251123342261</v>
      </c>
      <c r="M188" s="65">
        <f>$J$188-EFEITO!$K$188*EFEITO!$Y$188</f>
        <v>0</v>
      </c>
      <c r="N188" s="65">
        <f ca="1">$K$188-EFEITO!$M$188*EFEITO!$Z$188</f>
        <v>79.663447410475783</v>
      </c>
      <c r="O188" s="65">
        <f>$L$188-EFEITO!$O$188*EFEITO!$AA$188</f>
        <v>5.6006502246684704</v>
      </c>
      <c r="P188" s="48"/>
      <c r="Q188" s="48"/>
      <c r="R188" s="48"/>
      <c r="S188" s="48"/>
      <c r="T188" s="48"/>
      <c r="U188" s="48"/>
      <c r="V188" s="48"/>
      <c r="W188" s="48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spans="1:36" ht="11.25" customHeight="1" x14ac:dyDescent="0.2">
      <c r="A189" s="44" t="s">
        <v>21</v>
      </c>
      <c r="B189" s="44" t="s">
        <v>35</v>
      </c>
      <c r="C189" s="44" t="s">
        <v>36</v>
      </c>
      <c r="D189" s="44" t="s">
        <v>41</v>
      </c>
      <c r="E189" s="44" t="s">
        <v>25</v>
      </c>
      <c r="F189" s="44" t="s">
        <v>25</v>
      </c>
      <c r="G189" s="44" t="s">
        <v>25</v>
      </c>
      <c r="H189" s="44" t="s">
        <v>37</v>
      </c>
      <c r="I189" s="64">
        <v>44501</v>
      </c>
      <c r="J189" s="65">
        <f>EFEITO!$J$189*EFEITO!$Y$137</f>
        <v>0</v>
      </c>
      <c r="K189" s="65">
        <f ca="1">EFEITO!$L$189*EFEITO!$Z$137</f>
        <v>4240.0889201259333</v>
      </c>
      <c r="L189" s="65">
        <f>EFEITO!$N$189*EFEITO!$AA$137</f>
        <v>298.09474401423989</v>
      </c>
      <c r="M189" s="65">
        <f>$J$189-EFEITO!$K$189*EFEITO!$Y$189</f>
        <v>0</v>
      </c>
      <c r="N189" s="65">
        <f ca="1">$K$189-EFEITO!$M$189*EFEITO!$Z$189</f>
        <v>84.801778402518721</v>
      </c>
      <c r="O189" s="65">
        <f>$L$189-EFEITO!$O$189*EFEITO!$AA$189</f>
        <v>5.9618948802848308</v>
      </c>
      <c r="P189" s="48"/>
      <c r="Q189" s="48"/>
      <c r="R189" s="48"/>
      <c r="S189" s="48"/>
      <c r="T189" s="48"/>
      <c r="U189" s="48"/>
      <c r="V189" s="48"/>
      <c r="W189" s="48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spans="1:36" ht="11.25" customHeight="1" x14ac:dyDescent="0.2">
      <c r="A190" s="44" t="s">
        <v>28</v>
      </c>
      <c r="B190" s="44" t="s">
        <v>35</v>
      </c>
      <c r="C190" s="44" t="s">
        <v>36</v>
      </c>
      <c r="D190" s="44" t="s">
        <v>41</v>
      </c>
      <c r="E190" s="44" t="s">
        <v>25</v>
      </c>
      <c r="F190" s="44" t="s">
        <v>25</v>
      </c>
      <c r="G190" s="44" t="s">
        <v>25</v>
      </c>
      <c r="H190" s="44" t="s">
        <v>37</v>
      </c>
      <c r="I190" s="64">
        <v>44501</v>
      </c>
      <c r="J190" s="65">
        <f>EFEITO!$J$190*EFEITO!$Y$137</f>
        <v>0</v>
      </c>
      <c r="K190" s="65">
        <f ca="1">EFEITO!$L$190*EFEITO!$Z$137</f>
        <v>4299.9717249204232</v>
      </c>
      <c r="L190" s="65">
        <f>EFEITO!$N$190*EFEITO!$AA$137</f>
        <v>302.30473812104697</v>
      </c>
      <c r="M190" s="65">
        <f>$J$190-EFEITO!$K$190*EFEITO!$Y$190</f>
        <v>0</v>
      </c>
      <c r="N190" s="65">
        <f ca="1">$K$190-EFEITO!$M$190*EFEITO!$Z$190</f>
        <v>85.999434498408846</v>
      </c>
      <c r="O190" s="65">
        <f>$L$190-EFEITO!$O$190*EFEITO!$AA$190</f>
        <v>6.046094762420978</v>
      </c>
      <c r="P190" s="48"/>
      <c r="Q190" s="48"/>
      <c r="R190" s="48"/>
      <c r="S190" s="48"/>
      <c r="T190" s="48"/>
      <c r="U190" s="48"/>
      <c r="V190" s="48"/>
      <c r="W190" s="48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spans="1:36" ht="11.25" customHeight="1" x14ac:dyDescent="0.2">
      <c r="A191" s="44" t="s">
        <v>21</v>
      </c>
      <c r="B191" s="44" t="s">
        <v>35</v>
      </c>
      <c r="C191" s="44" t="s">
        <v>36</v>
      </c>
      <c r="D191" s="44" t="s">
        <v>41</v>
      </c>
      <c r="E191" s="44" t="s">
        <v>25</v>
      </c>
      <c r="F191" s="44" t="s">
        <v>25</v>
      </c>
      <c r="G191" s="44" t="s">
        <v>25</v>
      </c>
      <c r="H191" s="44" t="s">
        <v>37</v>
      </c>
      <c r="I191" s="64">
        <v>44531</v>
      </c>
      <c r="J191" s="65">
        <f>EFEITO!$J$191*EFEITO!$Y$137</f>
        <v>0</v>
      </c>
      <c r="K191" s="65">
        <f ca="1">EFEITO!$L$191*EFEITO!$Z$137</f>
        <v>479.06243835591414</v>
      </c>
      <c r="L191" s="65">
        <f>EFEITO!$N$191*EFEITO!$AA$137</f>
        <v>33.679952854456261</v>
      </c>
      <c r="M191" s="65">
        <f>$J$191-EFEITO!$K$191*EFEITO!$Y$191</f>
        <v>0</v>
      </c>
      <c r="N191" s="65">
        <f ca="1">$K$191-EFEITO!$M$191*EFEITO!$Z$191</f>
        <v>9.581248767118268</v>
      </c>
      <c r="O191" s="65">
        <f>$L$191-EFEITO!$O$191*EFEITO!$AA$191</f>
        <v>0.67359905708912038</v>
      </c>
      <c r="P191" s="48"/>
      <c r="Q191" s="48"/>
      <c r="R191" s="48"/>
      <c r="S191" s="48"/>
      <c r="T191" s="48"/>
      <c r="U191" s="48"/>
      <c r="V191" s="48"/>
      <c r="W191" s="48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spans="1:36" ht="11.25" customHeight="1" x14ac:dyDescent="0.2">
      <c r="A192" s="44" t="s">
        <v>28</v>
      </c>
      <c r="B192" s="44" t="s">
        <v>35</v>
      </c>
      <c r="C192" s="44" t="s">
        <v>36</v>
      </c>
      <c r="D192" s="44" t="s">
        <v>41</v>
      </c>
      <c r="E192" s="44" t="s">
        <v>25</v>
      </c>
      <c r="F192" s="44" t="s">
        <v>25</v>
      </c>
      <c r="G192" s="44" t="s">
        <v>25</v>
      </c>
      <c r="H192" s="44" t="s">
        <v>37</v>
      </c>
      <c r="I192" s="64">
        <v>44531</v>
      </c>
      <c r="J192" s="65">
        <f>EFEITO!$J$192*EFEITO!$Y$137</f>
        <v>0</v>
      </c>
      <c r="K192" s="65">
        <f ca="1">EFEITO!$L$192*EFEITO!$Z$137</f>
        <v>5470.5839734836645</v>
      </c>
      <c r="L192" s="65">
        <f>EFEITO!$N$192*EFEITO!$AA$137</f>
        <v>384.60333259604892</v>
      </c>
      <c r="M192" s="65">
        <f>$J$192-EFEITO!$K$192*EFEITO!$Y$192</f>
        <v>0</v>
      </c>
      <c r="N192" s="65">
        <f ca="1">$K$192-EFEITO!$M$192*EFEITO!$Z$192</f>
        <v>109.41167946967289</v>
      </c>
      <c r="O192" s="65">
        <f>$L$192-EFEITO!$O$192*EFEITO!$AA$192</f>
        <v>7.6920666519209817</v>
      </c>
      <c r="P192" s="48"/>
      <c r="Q192" s="48"/>
      <c r="R192" s="48"/>
      <c r="S192" s="48"/>
      <c r="T192" s="48"/>
      <c r="U192" s="48"/>
      <c r="V192" s="48"/>
      <c r="W192" s="48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spans="1:36" ht="11.25" customHeight="1" x14ac:dyDescent="0.2">
      <c r="A193" s="44" t="s">
        <v>21</v>
      </c>
      <c r="B193" s="44" t="s">
        <v>35</v>
      </c>
      <c r="C193" s="44" t="s">
        <v>36</v>
      </c>
      <c r="D193" s="44" t="s">
        <v>41</v>
      </c>
      <c r="E193" s="44" t="s">
        <v>25</v>
      </c>
      <c r="F193" s="44" t="s">
        <v>25</v>
      </c>
      <c r="G193" s="44" t="s">
        <v>25</v>
      </c>
      <c r="H193" s="44" t="s">
        <v>37</v>
      </c>
      <c r="I193" s="64">
        <v>44562</v>
      </c>
      <c r="J193" s="65">
        <f>EFEITO!$J$193*EFEITO!$Y$137</f>
        <v>0</v>
      </c>
      <c r="K193" s="65">
        <f ca="1">EFEITO!$L$193*EFEITO!$Z$137</f>
        <v>4209.1816660384557</v>
      </c>
      <c r="L193" s="65">
        <f>EFEITO!$N$193*EFEITO!$AA$137</f>
        <v>295.9218438300814</v>
      </c>
      <c r="M193" s="65">
        <f>$J$193-EFEITO!$K$193*EFEITO!$Y$193</f>
        <v>0</v>
      </c>
      <c r="N193" s="65">
        <f ca="1">$K$193-EFEITO!$M$193*EFEITO!$Z$193</f>
        <v>84.183633320769331</v>
      </c>
      <c r="O193" s="65">
        <f>$L$193-EFEITO!$O$193*EFEITO!$AA$193</f>
        <v>5.9184368766016178</v>
      </c>
      <c r="P193" s="48"/>
      <c r="Q193" s="48"/>
      <c r="R193" s="48"/>
      <c r="S193" s="48"/>
      <c r="T193" s="48"/>
      <c r="U193" s="48"/>
      <c r="V193" s="48"/>
      <c r="W193" s="48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spans="1:36" ht="11.25" customHeight="1" x14ac:dyDescent="0.2">
      <c r="A194" s="44" t="s">
        <v>28</v>
      </c>
      <c r="B194" s="44" t="s">
        <v>35</v>
      </c>
      <c r="C194" s="44" t="s">
        <v>36</v>
      </c>
      <c r="D194" s="44" t="s">
        <v>41</v>
      </c>
      <c r="E194" s="44" t="s">
        <v>25</v>
      </c>
      <c r="F194" s="44" t="s">
        <v>25</v>
      </c>
      <c r="G194" s="44" t="s">
        <v>25</v>
      </c>
      <c r="H194" s="44" t="s">
        <v>37</v>
      </c>
      <c r="I194" s="64">
        <v>44562</v>
      </c>
      <c r="J194" s="65">
        <f>EFEITO!$J$194*EFEITO!$Y$137</f>
        <v>0</v>
      </c>
      <c r="K194" s="65">
        <f ca="1">EFEITO!$L$194*EFEITO!$Z$137</f>
        <v>4941.2972472355987</v>
      </c>
      <c r="L194" s="65">
        <f>EFEITO!$N$194*EFEITO!$AA$137</f>
        <v>347.39241694233516</v>
      </c>
      <c r="M194" s="65">
        <f>$J$194-EFEITO!$K$194*EFEITO!$Y$194</f>
        <v>0</v>
      </c>
      <c r="N194" s="65">
        <f ca="1">$K$194-EFEITO!$M$194*EFEITO!$Z$194</f>
        <v>98.825944944712319</v>
      </c>
      <c r="O194" s="65">
        <f>$L$194-EFEITO!$O$194*EFEITO!$AA$194</f>
        <v>6.9478483388467112</v>
      </c>
      <c r="P194" s="48"/>
      <c r="Q194" s="48"/>
      <c r="R194" s="48"/>
      <c r="S194" s="48"/>
      <c r="T194" s="48"/>
      <c r="U194" s="48"/>
      <c r="V194" s="48"/>
      <c r="W194" s="48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spans="1:36" ht="11.25" customHeight="1" x14ac:dyDescent="0.2">
      <c r="A195" s="44" t="s">
        <v>21</v>
      </c>
      <c r="B195" s="44" t="s">
        <v>35</v>
      </c>
      <c r="C195" s="44" t="s">
        <v>36</v>
      </c>
      <c r="D195" s="44" t="s">
        <v>41</v>
      </c>
      <c r="E195" s="44" t="s">
        <v>25</v>
      </c>
      <c r="F195" s="44" t="s">
        <v>25</v>
      </c>
      <c r="G195" s="44" t="s">
        <v>25</v>
      </c>
      <c r="H195" s="44" t="s">
        <v>37</v>
      </c>
      <c r="I195" s="64">
        <v>44593</v>
      </c>
      <c r="J195" s="65">
        <f>EFEITO!$J$195*EFEITO!$Y$137</f>
        <v>0</v>
      </c>
      <c r="K195" s="65">
        <f ca="1">EFEITO!$L$195*EFEITO!$Z$137</f>
        <v>4274.8595809743474</v>
      </c>
      <c r="L195" s="65">
        <f>EFEITO!$N$195*EFEITO!$AA$137</f>
        <v>300.53925672141821</v>
      </c>
      <c r="M195" s="65">
        <f>$J$195-EFEITO!$K$195*EFEITO!$Y$195</f>
        <v>0</v>
      </c>
      <c r="N195" s="65">
        <f ca="1">$K$195-EFEITO!$M$195*EFEITO!$Z$195</f>
        <v>85.497191619487239</v>
      </c>
      <c r="O195" s="65">
        <f>$L$195-EFEITO!$O$195*EFEITO!$AA$195</f>
        <v>6.0107851344283745</v>
      </c>
      <c r="P195" s="48"/>
      <c r="Q195" s="48"/>
      <c r="R195" s="48"/>
      <c r="S195" s="48"/>
      <c r="T195" s="48"/>
      <c r="U195" s="48"/>
      <c r="V195" s="48"/>
      <c r="W195" s="48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spans="1:36" ht="11.25" customHeight="1" x14ac:dyDescent="0.2">
      <c r="A196" s="44" t="s">
        <v>28</v>
      </c>
      <c r="B196" s="44" t="s">
        <v>35</v>
      </c>
      <c r="C196" s="44" t="s">
        <v>36</v>
      </c>
      <c r="D196" s="44" t="s">
        <v>41</v>
      </c>
      <c r="E196" s="44" t="s">
        <v>25</v>
      </c>
      <c r="F196" s="44" t="s">
        <v>25</v>
      </c>
      <c r="G196" s="44" t="s">
        <v>25</v>
      </c>
      <c r="H196" s="44" t="s">
        <v>37</v>
      </c>
      <c r="I196" s="64">
        <v>44593</v>
      </c>
      <c r="J196" s="65">
        <f>EFEITO!$J$196*EFEITO!$Y$137</f>
        <v>0</v>
      </c>
      <c r="K196" s="65">
        <f ca="1">EFEITO!$L$196*EFEITO!$Z$137</f>
        <v>4836.9852646903591</v>
      </c>
      <c r="L196" s="65">
        <f>EFEITO!$N$196*EFEITO!$AA$137</f>
        <v>340.05887882080032</v>
      </c>
      <c r="M196" s="65">
        <f>$J$196-EFEITO!$K$196*EFEITO!$Y$196</f>
        <v>0</v>
      </c>
      <c r="N196" s="65">
        <f ca="1">$K$196-EFEITO!$M$196*EFEITO!$Z$196</f>
        <v>96.739705293807674</v>
      </c>
      <c r="O196" s="65">
        <f>$L$196-EFEITO!$O$196*EFEITO!$AA$196</f>
        <v>6.8011775764159665</v>
      </c>
      <c r="P196" s="48"/>
      <c r="Q196" s="48"/>
      <c r="R196" s="48"/>
      <c r="S196" s="48"/>
      <c r="T196" s="48"/>
      <c r="U196" s="48"/>
      <c r="V196" s="48"/>
      <c r="W196" s="48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spans="1:36" ht="11.25" customHeight="1" x14ac:dyDescent="0.2">
      <c r="A197" s="44" t="s">
        <v>21</v>
      </c>
      <c r="B197" s="44" t="s">
        <v>35</v>
      </c>
      <c r="C197" s="44" t="s">
        <v>36</v>
      </c>
      <c r="D197" s="44" t="s">
        <v>41</v>
      </c>
      <c r="E197" s="44" t="s">
        <v>25</v>
      </c>
      <c r="F197" s="44" t="s">
        <v>25</v>
      </c>
      <c r="G197" s="44" t="s">
        <v>25</v>
      </c>
      <c r="H197" s="44" t="s">
        <v>37</v>
      </c>
      <c r="I197" s="64">
        <v>44621</v>
      </c>
      <c r="J197" s="65">
        <f>EFEITO!$J$197*EFEITO!$Y$137</f>
        <v>0</v>
      </c>
      <c r="K197" s="65">
        <f ca="1">EFEITO!$L$197*EFEITO!$Z$137</f>
        <v>3724.324117541139</v>
      </c>
      <c r="L197" s="65">
        <f>EFEITO!$N$197*EFEITO!$AA$137</f>
        <v>261.83447219109547</v>
      </c>
      <c r="M197" s="65">
        <f>$J$197-EFEITO!$K$197*EFEITO!$Y$197</f>
        <v>0</v>
      </c>
      <c r="N197" s="65">
        <f ca="1">$K$197-EFEITO!$M$197*EFEITO!$Z$197</f>
        <v>74.486482350822826</v>
      </c>
      <c r="O197" s="65">
        <f>$L$197-EFEITO!$O$197*EFEITO!$AA$197</f>
        <v>5.2366894438219447</v>
      </c>
      <c r="P197" s="48"/>
      <c r="Q197" s="48"/>
      <c r="R197" s="48"/>
      <c r="S197" s="48"/>
      <c r="T197" s="48"/>
      <c r="U197" s="48"/>
      <c r="V197" s="48"/>
      <c r="W197" s="48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spans="1:36" ht="11.25" customHeight="1" x14ac:dyDescent="0.2">
      <c r="A198" s="44" t="s">
        <v>28</v>
      </c>
      <c r="B198" s="44" t="s">
        <v>35</v>
      </c>
      <c r="C198" s="44" t="s">
        <v>36</v>
      </c>
      <c r="D198" s="44" t="s">
        <v>41</v>
      </c>
      <c r="E198" s="44" t="s">
        <v>25</v>
      </c>
      <c r="F198" s="44" t="s">
        <v>25</v>
      </c>
      <c r="G198" s="44" t="s">
        <v>25</v>
      </c>
      <c r="H198" s="44" t="s">
        <v>37</v>
      </c>
      <c r="I198" s="64">
        <v>44621</v>
      </c>
      <c r="J198" s="65">
        <f>EFEITO!$J$198*EFEITO!$Y$137</f>
        <v>0</v>
      </c>
      <c r="K198" s="65">
        <f ca="1">EFEITO!$L$198*EFEITO!$Z$137</f>
        <v>7636.0234629876159</v>
      </c>
      <c r="L198" s="65">
        <f>EFEITO!$N$198*EFEITO!$AA$137</f>
        <v>536.84215174865164</v>
      </c>
      <c r="M198" s="65">
        <f>$J$198-EFEITO!$K$198*EFEITO!$Y$198</f>
        <v>0</v>
      </c>
      <c r="N198" s="65">
        <f ca="1">$K$198-EFEITO!$M$198*EFEITO!$Z$198</f>
        <v>152.72046925975337</v>
      </c>
      <c r="O198" s="65">
        <f>$L$198-EFEITO!$O$198*EFEITO!$AA$198</f>
        <v>10.736843034973049</v>
      </c>
      <c r="P198" s="48"/>
      <c r="Q198" s="48"/>
      <c r="R198" s="48"/>
      <c r="S198" s="48"/>
      <c r="T198" s="48"/>
      <c r="U198" s="48"/>
      <c r="V198" s="48"/>
      <c r="W198" s="48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spans="1:36" ht="11.25" customHeight="1" x14ac:dyDescent="0.2">
      <c r="A199" s="44" t="s">
        <v>21</v>
      </c>
      <c r="B199" s="44" t="s">
        <v>35</v>
      </c>
      <c r="C199" s="44" t="s">
        <v>36</v>
      </c>
      <c r="D199" s="44" t="s">
        <v>41</v>
      </c>
      <c r="E199" s="44" t="s">
        <v>25</v>
      </c>
      <c r="F199" s="44" t="s">
        <v>25</v>
      </c>
      <c r="G199" s="44" t="s">
        <v>25</v>
      </c>
      <c r="H199" s="44" t="s">
        <v>37</v>
      </c>
      <c r="I199" s="64">
        <v>44652</v>
      </c>
      <c r="J199" s="65">
        <f>EFEITO!$J$199*EFEITO!$Y$137</f>
        <v>0</v>
      </c>
      <c r="K199" s="65">
        <f ca="1">EFEITO!$L$199*EFEITO!$Z$137</f>
        <v>2360.5415309311575</v>
      </c>
      <c r="L199" s="65">
        <f>EFEITO!$N$199*EFEITO!$AA$137</f>
        <v>165.95525156510303</v>
      </c>
      <c r="M199" s="65">
        <f>$J$199-EFEITO!$K$199*EFEITO!$Y$199</f>
        <v>0</v>
      </c>
      <c r="N199" s="65">
        <f ca="1">$K$199-EFEITO!$M$199*EFEITO!$Z$199</f>
        <v>47.210830618622822</v>
      </c>
      <c r="O199" s="65">
        <f>$L$199-EFEITO!$O$199*EFEITO!$AA$199</f>
        <v>3.3191050313020583</v>
      </c>
      <c r="P199" s="48"/>
      <c r="Q199" s="48"/>
      <c r="R199" s="48"/>
      <c r="S199" s="48"/>
      <c r="T199" s="48"/>
      <c r="U199" s="48"/>
      <c r="V199" s="48"/>
      <c r="W199" s="48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spans="1:36" ht="11.25" customHeight="1" x14ac:dyDescent="0.2">
      <c r="A200" s="44" t="s">
        <v>28</v>
      </c>
      <c r="B200" s="44" t="s">
        <v>35</v>
      </c>
      <c r="C200" s="44" t="s">
        <v>36</v>
      </c>
      <c r="D200" s="44" t="s">
        <v>41</v>
      </c>
      <c r="E200" s="44" t="s">
        <v>25</v>
      </c>
      <c r="F200" s="44" t="s">
        <v>25</v>
      </c>
      <c r="G200" s="44" t="s">
        <v>25</v>
      </c>
      <c r="H200" s="44" t="s">
        <v>37</v>
      </c>
      <c r="I200" s="64">
        <v>44652</v>
      </c>
      <c r="J200" s="65">
        <f>EFEITO!$J$200*EFEITO!$Y$137</f>
        <v>0</v>
      </c>
      <c r="K200" s="65">
        <f ca="1">EFEITO!$L$200*EFEITO!$Z$137</f>
        <v>6165.997190451928</v>
      </c>
      <c r="L200" s="65">
        <f>EFEITO!$N$200*EFEITO!$AA$137</f>
        <v>433.4935867396145</v>
      </c>
      <c r="M200" s="65">
        <f>$J$200-EFEITO!$K$200*EFEITO!$Y$200</f>
        <v>0</v>
      </c>
      <c r="N200" s="65">
        <f ca="1">$K$200-EFEITO!$M$200*EFEITO!$Z$200</f>
        <v>123.3199438090387</v>
      </c>
      <c r="O200" s="65">
        <f>$L$200-EFEITO!$O$200*EFEITO!$AA$200</f>
        <v>8.6698717347923093</v>
      </c>
      <c r="P200" s="48"/>
      <c r="Q200" s="48"/>
      <c r="R200" s="48"/>
      <c r="S200" s="48"/>
      <c r="T200" s="48"/>
      <c r="U200" s="48"/>
      <c r="V200" s="48"/>
      <c r="W200" s="48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spans="1:36" ht="11.25" customHeight="1" x14ac:dyDescent="0.2">
      <c r="A201" s="44" t="s">
        <v>21</v>
      </c>
      <c r="B201" s="44" t="s">
        <v>35</v>
      </c>
      <c r="C201" s="44" t="s">
        <v>36</v>
      </c>
      <c r="D201" s="44" t="s">
        <v>41</v>
      </c>
      <c r="E201" s="44" t="s">
        <v>25</v>
      </c>
      <c r="F201" s="44" t="s">
        <v>25</v>
      </c>
      <c r="G201" s="44" t="s">
        <v>25</v>
      </c>
      <c r="H201" s="44" t="s">
        <v>37</v>
      </c>
      <c r="I201" s="64">
        <v>44682</v>
      </c>
      <c r="J201" s="65">
        <f>EFEITO!$J$201*EFEITO!$Y$137</f>
        <v>0</v>
      </c>
      <c r="K201" s="65">
        <f ca="1">EFEITO!$L$201*EFEITO!$Z$137</f>
        <v>4079.7575395471404</v>
      </c>
      <c r="L201" s="65">
        <f>EFEITO!$N$201*EFEITO!$AA$137</f>
        <v>286.82282430891786</v>
      </c>
      <c r="M201" s="65">
        <f>$J$201-EFEITO!$K$201*EFEITO!$Y$201</f>
        <v>0</v>
      </c>
      <c r="N201" s="65">
        <f ca="1">$K$201-EFEITO!$M$201*EFEITO!$Z$201</f>
        <v>81.59515079094308</v>
      </c>
      <c r="O201" s="65">
        <f>$L$201-EFEITO!$O$201*EFEITO!$AA$201</f>
        <v>5.7364564861783265</v>
      </c>
      <c r="P201" s="48"/>
      <c r="Q201" s="48"/>
      <c r="R201" s="48"/>
      <c r="S201" s="48"/>
      <c r="T201" s="48"/>
      <c r="U201" s="48"/>
      <c r="V201" s="48"/>
      <c r="W201" s="48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spans="1:36" ht="11.25" customHeight="1" x14ac:dyDescent="0.2">
      <c r="A202" s="44" t="s">
        <v>28</v>
      </c>
      <c r="B202" s="44" t="s">
        <v>35</v>
      </c>
      <c r="C202" s="44" t="s">
        <v>36</v>
      </c>
      <c r="D202" s="44" t="s">
        <v>41</v>
      </c>
      <c r="E202" s="44" t="s">
        <v>25</v>
      </c>
      <c r="F202" s="44" t="s">
        <v>25</v>
      </c>
      <c r="G202" s="44" t="s">
        <v>25</v>
      </c>
      <c r="H202" s="44" t="s">
        <v>37</v>
      </c>
      <c r="I202" s="64">
        <v>44682</v>
      </c>
      <c r="J202" s="65">
        <f>EFEITO!$J$202*EFEITO!$Y$137</f>
        <v>0</v>
      </c>
      <c r="K202" s="65">
        <f ca="1">EFEITO!$L$202*EFEITO!$Z$137</f>
        <v>3813.1824730426392</v>
      </c>
      <c r="L202" s="65">
        <f>EFEITO!$N$202*EFEITO!$AA$137</f>
        <v>268.08156022055107</v>
      </c>
      <c r="M202" s="65">
        <f>$J$202-EFEITO!$K$202*EFEITO!$Y$202</f>
        <v>0</v>
      </c>
      <c r="N202" s="65">
        <f ca="1">$K$202-EFEITO!$M$202*EFEITO!$Z$202</f>
        <v>76.263649460852776</v>
      </c>
      <c r="O202" s="65">
        <f>$L$202-EFEITO!$O$202*EFEITO!$AA$202</f>
        <v>5.3616312044110259</v>
      </c>
      <c r="P202" s="48"/>
      <c r="Q202" s="48"/>
      <c r="R202" s="48"/>
      <c r="S202" s="48"/>
      <c r="T202" s="48"/>
      <c r="U202" s="48"/>
      <c r="V202" s="48"/>
      <c r="W202" s="48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spans="1:36" ht="11.25" customHeight="1" x14ac:dyDescent="0.2">
      <c r="A203" s="44" t="s">
        <v>21</v>
      </c>
      <c r="B203" s="44" t="s">
        <v>35</v>
      </c>
      <c r="C203" s="44" t="s">
        <v>36</v>
      </c>
      <c r="D203" s="44" t="s">
        <v>41</v>
      </c>
      <c r="E203" s="44" t="s">
        <v>25</v>
      </c>
      <c r="F203" s="44" t="s">
        <v>25</v>
      </c>
      <c r="G203" s="44" t="s">
        <v>25</v>
      </c>
      <c r="H203" s="44" t="s">
        <v>37</v>
      </c>
      <c r="I203" s="64">
        <v>44713</v>
      </c>
      <c r="J203" s="65">
        <f>EFEITO!$J$203*EFEITO!$Y$137</f>
        <v>0</v>
      </c>
      <c r="K203" s="65">
        <f ca="1">EFEITO!$L$203*EFEITO!$Z$137</f>
        <v>384.40897271301179</v>
      </c>
      <c r="L203" s="65">
        <f>EFEITO!$N$203*EFEITO!$AA$137</f>
        <v>27.025446040470953</v>
      </c>
      <c r="M203" s="65">
        <f>$J$203-EFEITO!$K$203*EFEITO!$Y$203</f>
        <v>0</v>
      </c>
      <c r="N203" s="65">
        <f ca="1">$K$203-EFEITO!$M$203*EFEITO!$Z$203</f>
        <v>7.6881794542602506</v>
      </c>
      <c r="O203" s="65">
        <f>$L$203-EFEITO!$O$203*EFEITO!$AA$203</f>
        <v>0.54050892080941892</v>
      </c>
      <c r="P203" s="48"/>
      <c r="Q203" s="48"/>
      <c r="R203" s="48"/>
      <c r="S203" s="48"/>
      <c r="T203" s="48"/>
      <c r="U203" s="48"/>
      <c r="V203" s="48"/>
      <c r="W203" s="48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spans="1:36" ht="11.25" customHeight="1" x14ac:dyDescent="0.2">
      <c r="A204" s="44" t="s">
        <v>28</v>
      </c>
      <c r="B204" s="44" t="s">
        <v>35</v>
      </c>
      <c r="C204" s="44" t="s">
        <v>36</v>
      </c>
      <c r="D204" s="44" t="s">
        <v>41</v>
      </c>
      <c r="E204" s="44" t="s">
        <v>25</v>
      </c>
      <c r="F204" s="44" t="s">
        <v>25</v>
      </c>
      <c r="G204" s="44" t="s">
        <v>25</v>
      </c>
      <c r="H204" s="44" t="s">
        <v>37</v>
      </c>
      <c r="I204" s="64">
        <v>44713</v>
      </c>
      <c r="J204" s="65">
        <f>EFEITO!$J$204*EFEITO!$Y$137</f>
        <v>0</v>
      </c>
      <c r="K204" s="65">
        <f ca="1">EFEITO!$L$204*EFEITO!$Z$137</f>
        <v>4713.3562483404457</v>
      </c>
      <c r="L204" s="65">
        <f>EFEITO!$N$204*EFEITO!$AA$137</f>
        <v>331.36727808416646</v>
      </c>
      <c r="M204" s="65">
        <f>$J$204-EFEITO!$K$204*EFEITO!$Y$204</f>
        <v>0</v>
      </c>
      <c r="N204" s="65">
        <f ca="1">$K$204-EFEITO!$M$204*EFEITO!$Z$204</f>
        <v>94.267124966809206</v>
      </c>
      <c r="O204" s="65">
        <f>$L$204-EFEITO!$O$204*EFEITO!$AA$204</f>
        <v>6.6273455616833417</v>
      </c>
      <c r="P204" s="48"/>
      <c r="Q204" s="48"/>
      <c r="R204" s="48"/>
      <c r="S204" s="48"/>
      <c r="T204" s="48"/>
      <c r="U204" s="48"/>
      <c r="V204" s="48"/>
      <c r="W204" s="48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spans="1:36" ht="11.25" customHeight="1" x14ac:dyDescent="0.2">
      <c r="A205" s="44" t="s">
        <v>21</v>
      </c>
      <c r="B205" s="44" t="s">
        <v>35</v>
      </c>
      <c r="C205" s="44" t="s">
        <v>36</v>
      </c>
      <c r="D205" s="44" t="s">
        <v>41</v>
      </c>
      <c r="E205" s="44" t="s">
        <v>25</v>
      </c>
      <c r="F205" s="44" t="s">
        <v>25</v>
      </c>
      <c r="G205" s="44" t="s">
        <v>25</v>
      </c>
      <c r="H205" s="44" t="s">
        <v>37</v>
      </c>
      <c r="I205" s="64">
        <v>44743</v>
      </c>
      <c r="J205" s="65">
        <f>EFEITO!$J$205*EFEITO!$Y$137</f>
        <v>0</v>
      </c>
      <c r="K205" s="65">
        <f ca="1">EFEITO!$L$205*EFEITO!$Z$137</f>
        <v>229.8727022756201</v>
      </c>
      <c r="L205" s="65">
        <f>EFEITO!$N$205*EFEITO!$AA$137</f>
        <v>16.160945119678608</v>
      </c>
      <c r="M205" s="65">
        <f>$J$205-EFEITO!$K$205*EFEITO!$Y$205</f>
        <v>0</v>
      </c>
      <c r="N205" s="65">
        <f ca="1">$K$205-EFEITO!$M$205*EFEITO!$Z$205</f>
        <v>4.5974540455124213</v>
      </c>
      <c r="O205" s="65">
        <f>$L$205-EFEITO!$O$205*EFEITO!$AA$205</f>
        <v>0.32321890239357032</v>
      </c>
      <c r="P205" s="48"/>
      <c r="Q205" s="48"/>
      <c r="R205" s="48"/>
      <c r="S205" s="48"/>
      <c r="T205" s="48"/>
      <c r="U205" s="48"/>
      <c r="V205" s="48"/>
      <c r="W205" s="48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spans="1:36" ht="11.25" customHeight="1" x14ac:dyDescent="0.2">
      <c r="A206" s="44" t="s">
        <v>21</v>
      </c>
      <c r="B206" s="44" t="s">
        <v>35</v>
      </c>
      <c r="C206" s="44" t="s">
        <v>36</v>
      </c>
      <c r="D206" s="44" t="s">
        <v>41</v>
      </c>
      <c r="E206" s="44" t="s">
        <v>25</v>
      </c>
      <c r="F206" s="44" t="s">
        <v>25</v>
      </c>
      <c r="G206" s="44" t="s">
        <v>25</v>
      </c>
      <c r="H206" s="44" t="s">
        <v>37</v>
      </c>
      <c r="I206" s="64">
        <v>44774</v>
      </c>
      <c r="J206" s="65">
        <f>EFEITO!$J$206*EFEITO!$Y$137</f>
        <v>0</v>
      </c>
      <c r="K206" s="65">
        <f ca="1">EFEITO!$L$206*EFEITO!$Z$137</f>
        <v>2965.1646890174525</v>
      </c>
      <c r="L206" s="65">
        <f>EFEITO!$N$206*EFEITO!$AA$137</f>
        <v>208.46261141770307</v>
      </c>
      <c r="M206" s="65">
        <f>$J$206-EFEITO!$K$206*EFEITO!$Y$206</f>
        <v>0</v>
      </c>
      <c r="N206" s="65">
        <f ca="1">$K$206-EFEITO!$M$206*EFEITO!$Z$206</f>
        <v>59.303293780349122</v>
      </c>
      <c r="O206" s="65">
        <f>$L$206-EFEITO!$O$206*EFEITO!$AA$206</f>
        <v>4.1692522283540541</v>
      </c>
      <c r="P206" s="48"/>
      <c r="Q206" s="48"/>
      <c r="R206" s="48"/>
      <c r="S206" s="48"/>
      <c r="T206" s="48"/>
      <c r="U206" s="48"/>
      <c r="V206" s="48"/>
      <c r="W206" s="48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spans="1:36" ht="11.25" customHeight="1" x14ac:dyDescent="0.2">
      <c r="A207" s="44" t="s">
        <v>21</v>
      </c>
      <c r="B207" s="44" t="s">
        <v>35</v>
      </c>
      <c r="C207" s="44" t="s">
        <v>36</v>
      </c>
      <c r="D207" s="44" t="s">
        <v>46</v>
      </c>
      <c r="E207" s="44" t="s">
        <v>47</v>
      </c>
      <c r="F207" s="44" t="s">
        <v>25</v>
      </c>
      <c r="G207" s="44" t="s">
        <v>25</v>
      </c>
      <c r="H207" s="44" t="s">
        <v>38</v>
      </c>
      <c r="I207" s="64">
        <v>44440</v>
      </c>
      <c r="J207" s="65">
        <f>EFEITO!$J$207*EFEITO!$Y$93</f>
        <v>0</v>
      </c>
      <c r="K207" s="65">
        <f ca="1">EFEITO!$L$207*EFEITO!$Z$93</f>
        <v>897.63126992537082</v>
      </c>
      <c r="L207" s="65">
        <f>EFEITO!$N$207*EFEITO!$AA$93</f>
        <v>1220.8982909740396</v>
      </c>
      <c r="M207" s="65">
        <f>$J$207-EFEITO!$K$207*EFEITO!$Y$207</f>
        <v>0</v>
      </c>
      <c r="N207" s="65">
        <f ca="1">$K$207-EFEITO!$M$207*EFEITO!$Z$207</f>
        <v>26.928938097761261</v>
      </c>
      <c r="O207" s="65">
        <f>$L$207-EFEITO!$O$207*EFEITO!$AA$207</f>
        <v>36.626948729221112</v>
      </c>
      <c r="P207" s="48"/>
      <c r="Q207" s="48"/>
      <c r="R207" s="48"/>
      <c r="S207" s="48"/>
      <c r="T207" s="48"/>
      <c r="U207" s="48"/>
      <c r="V207" s="48"/>
      <c r="W207" s="48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spans="1:36" ht="11.25" customHeight="1" x14ac:dyDescent="0.2">
      <c r="A208" s="44" t="s">
        <v>21</v>
      </c>
      <c r="B208" s="44" t="s">
        <v>35</v>
      </c>
      <c r="C208" s="44" t="s">
        <v>36</v>
      </c>
      <c r="D208" s="44" t="s">
        <v>46</v>
      </c>
      <c r="E208" s="44" t="s">
        <v>47</v>
      </c>
      <c r="F208" s="44" t="s">
        <v>25</v>
      </c>
      <c r="G208" s="44" t="s">
        <v>25</v>
      </c>
      <c r="H208" s="44" t="s">
        <v>38</v>
      </c>
      <c r="I208" s="64">
        <v>44470</v>
      </c>
      <c r="J208" s="65">
        <f>EFEITO!$J$208*EFEITO!$Y$93</f>
        <v>0</v>
      </c>
      <c r="K208" s="65">
        <f ca="1">EFEITO!$L$208*EFEITO!$Z$93</f>
        <v>2085.2204050190703</v>
      </c>
      <c r="L208" s="65">
        <f>EFEITO!$N$208*EFEITO!$AA$93</f>
        <v>2836.1779653728413</v>
      </c>
      <c r="M208" s="65">
        <f>$J$208-EFEITO!$K$208*EFEITO!$Y$208</f>
        <v>0</v>
      </c>
      <c r="N208" s="65">
        <f ca="1">$K$208-EFEITO!$M$208*EFEITO!$Z$208</f>
        <v>62.556612150572164</v>
      </c>
      <c r="O208" s="65">
        <f>$L$208-EFEITO!$O$208*EFEITO!$AA$208</f>
        <v>85.085338961185244</v>
      </c>
      <c r="P208" s="48"/>
      <c r="Q208" s="48"/>
      <c r="R208" s="48"/>
      <c r="S208" s="48"/>
      <c r="T208" s="48"/>
      <c r="U208" s="48"/>
      <c r="V208" s="48"/>
      <c r="W208" s="48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spans="1:36" ht="11.25" customHeight="1" x14ac:dyDescent="0.2">
      <c r="A209" s="44" t="s">
        <v>21</v>
      </c>
      <c r="B209" s="44" t="s">
        <v>35</v>
      </c>
      <c r="C209" s="44" t="s">
        <v>36</v>
      </c>
      <c r="D209" s="44" t="s">
        <v>46</v>
      </c>
      <c r="E209" s="44" t="s">
        <v>47</v>
      </c>
      <c r="F209" s="44" t="s">
        <v>25</v>
      </c>
      <c r="G209" s="44" t="s">
        <v>25</v>
      </c>
      <c r="H209" s="44" t="s">
        <v>38</v>
      </c>
      <c r="I209" s="64">
        <v>44501</v>
      </c>
      <c r="J209" s="65">
        <f>EFEITO!$J$209*EFEITO!$Y$93</f>
        <v>0</v>
      </c>
      <c r="K209" s="65">
        <f ca="1">EFEITO!$L$209*EFEITO!$Z$93</f>
        <v>4228.3525048720358</v>
      </c>
      <c r="L209" s="65">
        <f>EFEITO!$N$209*EFEITO!$AA$93</f>
        <v>5751.1235624214269</v>
      </c>
      <c r="M209" s="65">
        <f>$J$209-EFEITO!$K$209*EFEITO!$Y$209</f>
        <v>0</v>
      </c>
      <c r="N209" s="65">
        <f ca="1">$K$209-EFEITO!$M$209*EFEITO!$Z$209</f>
        <v>126.85057514616165</v>
      </c>
      <c r="O209" s="65">
        <f>$L$209-EFEITO!$O$209*EFEITO!$AA$209</f>
        <v>172.53370687264305</v>
      </c>
      <c r="P209" s="48"/>
      <c r="Q209" s="48"/>
      <c r="R209" s="48"/>
      <c r="S209" s="48"/>
      <c r="T209" s="48"/>
      <c r="U209" s="48"/>
      <c r="V209" s="48"/>
      <c r="W209" s="48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spans="1:36" ht="11.25" customHeight="1" x14ac:dyDescent="0.2">
      <c r="A210" s="44" t="s">
        <v>21</v>
      </c>
      <c r="B210" s="44" t="s">
        <v>35</v>
      </c>
      <c r="C210" s="44" t="s">
        <v>36</v>
      </c>
      <c r="D210" s="44" t="s">
        <v>46</v>
      </c>
      <c r="E210" s="44" t="s">
        <v>47</v>
      </c>
      <c r="F210" s="44" t="s">
        <v>25</v>
      </c>
      <c r="G210" s="44" t="s">
        <v>25</v>
      </c>
      <c r="H210" s="44" t="s">
        <v>38</v>
      </c>
      <c r="I210" s="64">
        <v>44531</v>
      </c>
      <c r="J210" s="65">
        <f>EFEITO!$J$210*EFEITO!$Y$93</f>
        <v>0</v>
      </c>
      <c r="K210" s="65">
        <f ca="1">EFEITO!$L$210*EFEITO!$Z$93</f>
        <v>4424.4534853095693</v>
      </c>
      <c r="L210" s="65">
        <f>EFEITO!$N$210*EFEITO!$AA$93</f>
        <v>6017.8470600268784</v>
      </c>
      <c r="M210" s="65">
        <f>$J$210-EFEITO!$K$210*EFEITO!$Y$210</f>
        <v>0</v>
      </c>
      <c r="N210" s="65">
        <f ca="1">$K$210-EFEITO!$M$210*EFEITO!$Z$210</f>
        <v>132.73360455928741</v>
      </c>
      <c r="O210" s="65">
        <f>$L$210-EFEITO!$O$210*EFEITO!$AA$210</f>
        <v>180.53541180080629</v>
      </c>
      <c r="P210" s="48"/>
      <c r="Q210" s="48"/>
      <c r="R210" s="48"/>
      <c r="S210" s="48"/>
      <c r="T210" s="48"/>
      <c r="U210" s="48"/>
      <c r="V210" s="48"/>
      <c r="W210" s="48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spans="1:36" ht="11.25" customHeight="1" x14ac:dyDescent="0.2">
      <c r="A211" s="44" t="s">
        <v>21</v>
      </c>
      <c r="B211" s="44" t="s">
        <v>35</v>
      </c>
      <c r="C211" s="44" t="s">
        <v>36</v>
      </c>
      <c r="D211" s="44" t="s">
        <v>46</v>
      </c>
      <c r="E211" s="44" t="s">
        <v>47</v>
      </c>
      <c r="F211" s="44" t="s">
        <v>25</v>
      </c>
      <c r="G211" s="44" t="s">
        <v>25</v>
      </c>
      <c r="H211" s="44" t="s">
        <v>38</v>
      </c>
      <c r="I211" s="64">
        <v>44562</v>
      </c>
      <c r="J211" s="65">
        <f>EFEITO!$J$211*EFEITO!$Y$93</f>
        <v>0</v>
      </c>
      <c r="K211" s="65">
        <f ca="1">EFEITO!$L$211*EFEITO!$Z$93</f>
        <v>4644.6177734280836</v>
      </c>
      <c r="L211" s="65">
        <f>EFEITO!$N$211*EFEITO!$AA$93</f>
        <v>6317.299866656218</v>
      </c>
      <c r="M211" s="65">
        <f>$J$211-EFEITO!$K$211*EFEITO!$Y$211</f>
        <v>0</v>
      </c>
      <c r="N211" s="65">
        <f ca="1">$K$211-EFEITO!$M$211*EFEITO!$Z$211</f>
        <v>139.33853320284288</v>
      </c>
      <c r="O211" s="65">
        <f>$L$211-EFEITO!$O$211*EFEITO!$AA$211</f>
        <v>189.51899599968692</v>
      </c>
      <c r="P211" s="48"/>
      <c r="Q211" s="48"/>
      <c r="R211" s="48"/>
      <c r="S211" s="48"/>
      <c r="T211" s="48"/>
      <c r="U211" s="48"/>
      <c r="V211" s="48"/>
      <c r="W211" s="48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spans="1:36" ht="11.25" customHeight="1" x14ac:dyDescent="0.2">
      <c r="A212" s="44" t="s">
        <v>21</v>
      </c>
      <c r="B212" s="44" t="s">
        <v>35</v>
      </c>
      <c r="C212" s="44" t="s">
        <v>36</v>
      </c>
      <c r="D212" s="44" t="s">
        <v>46</v>
      </c>
      <c r="E212" s="44" t="s">
        <v>47</v>
      </c>
      <c r="F212" s="44" t="s">
        <v>25</v>
      </c>
      <c r="G212" s="44" t="s">
        <v>25</v>
      </c>
      <c r="H212" s="44" t="s">
        <v>38</v>
      </c>
      <c r="I212" s="64">
        <v>44593</v>
      </c>
      <c r="J212" s="65">
        <f>EFEITO!$J$212*EFEITO!$Y$93</f>
        <v>0</v>
      </c>
      <c r="K212" s="65">
        <f ca="1">EFEITO!$L$212*EFEITO!$Z$93</f>
        <v>3817.8784057993776</v>
      </c>
      <c r="L212" s="65">
        <f>EFEITO!$N$212*EFEITO!$AA$93</f>
        <v>5192.8240213542103</v>
      </c>
      <c r="M212" s="65">
        <f>$J$212-EFEITO!$K$212*EFEITO!$Y$212</f>
        <v>0</v>
      </c>
      <c r="N212" s="65">
        <f ca="1">$K$212-EFEITO!$M$212*EFEITO!$Z$212</f>
        <v>114.53635217398187</v>
      </c>
      <c r="O212" s="65">
        <f>$L$212-EFEITO!$O$212*EFEITO!$AA$212</f>
        <v>155.78472064062589</v>
      </c>
      <c r="P212" s="48"/>
      <c r="Q212" s="48"/>
      <c r="R212" s="48"/>
      <c r="S212" s="48"/>
      <c r="T212" s="48"/>
      <c r="U212" s="48"/>
      <c r="V212" s="48"/>
      <c r="W212" s="48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spans="1:36" ht="11.25" customHeight="1" x14ac:dyDescent="0.2">
      <c r="A213" s="44" t="s">
        <v>21</v>
      </c>
      <c r="B213" s="44" t="s">
        <v>35</v>
      </c>
      <c r="C213" s="44" t="s">
        <v>36</v>
      </c>
      <c r="D213" s="44" t="s">
        <v>46</v>
      </c>
      <c r="E213" s="44" t="s">
        <v>47</v>
      </c>
      <c r="F213" s="44" t="s">
        <v>25</v>
      </c>
      <c r="G213" s="44" t="s">
        <v>25</v>
      </c>
      <c r="H213" s="44" t="s">
        <v>38</v>
      </c>
      <c r="I213" s="64">
        <v>44621</v>
      </c>
      <c r="J213" s="65">
        <f>EFEITO!$J$213*EFEITO!$Y$93</f>
        <v>0</v>
      </c>
      <c r="K213" s="65">
        <f ca="1">EFEITO!$L$213*EFEITO!$Z$93</f>
        <v>4142.0840491194749</v>
      </c>
      <c r="L213" s="65">
        <f>EFEITO!$N$213*EFEITO!$AA$93</f>
        <v>5633.7869524768694</v>
      </c>
      <c r="M213" s="65">
        <f>$J$213-EFEITO!$K$213*EFEITO!$Y$213</f>
        <v>0</v>
      </c>
      <c r="N213" s="65">
        <f ca="1">$K$213-EFEITO!$M$213*EFEITO!$Z$213</f>
        <v>124.26252147358446</v>
      </c>
      <c r="O213" s="65">
        <f>$L$213-EFEITO!$O$213*EFEITO!$AA$213</f>
        <v>169.01360857430609</v>
      </c>
      <c r="P213" s="48"/>
      <c r="Q213" s="48"/>
      <c r="R213" s="48"/>
      <c r="S213" s="48"/>
      <c r="T213" s="48"/>
      <c r="U213" s="48"/>
      <c r="V213" s="48"/>
      <c r="W213" s="48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spans="1:36" ht="11.25" customHeight="1" x14ac:dyDescent="0.2">
      <c r="A214" s="44" t="s">
        <v>21</v>
      </c>
      <c r="B214" s="44" t="s">
        <v>35</v>
      </c>
      <c r="C214" s="44" t="s">
        <v>36</v>
      </c>
      <c r="D214" s="44" t="s">
        <v>46</v>
      </c>
      <c r="E214" s="44" t="s">
        <v>47</v>
      </c>
      <c r="F214" s="44" t="s">
        <v>25</v>
      </c>
      <c r="G214" s="44" t="s">
        <v>25</v>
      </c>
      <c r="H214" s="44" t="s">
        <v>38</v>
      </c>
      <c r="I214" s="64">
        <v>44652</v>
      </c>
      <c r="J214" s="65">
        <f>EFEITO!$J$214*EFEITO!$Y$93</f>
        <v>0</v>
      </c>
      <c r="K214" s="65">
        <f ca="1">EFEITO!$L$214*EFEITO!$Z$93</f>
        <v>3493.6727624792798</v>
      </c>
      <c r="L214" s="65">
        <f>EFEITO!$N$214*EFEITO!$AA$93</f>
        <v>4751.8610902315513</v>
      </c>
      <c r="M214" s="65">
        <f>$J$214-EFEITO!$K$214*EFEITO!$Y$214</f>
        <v>0</v>
      </c>
      <c r="N214" s="65">
        <f ca="1">$K$214-EFEITO!$M$214*EFEITO!$Z$214</f>
        <v>104.81018287437882</v>
      </c>
      <c r="O214" s="65">
        <f>$L$214-EFEITO!$O$214*EFEITO!$AA$214</f>
        <v>142.5558327069466</v>
      </c>
      <c r="P214" s="48"/>
      <c r="Q214" s="48"/>
      <c r="R214" s="48"/>
      <c r="S214" s="48"/>
      <c r="T214" s="48"/>
      <c r="U214" s="48"/>
      <c r="V214" s="48"/>
      <c r="W214" s="48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spans="1:36" ht="11.25" customHeight="1" x14ac:dyDescent="0.2">
      <c r="A215" s="44" t="s">
        <v>21</v>
      </c>
      <c r="B215" s="44" t="s">
        <v>35</v>
      </c>
      <c r="C215" s="44" t="s">
        <v>36</v>
      </c>
      <c r="D215" s="44" t="s">
        <v>46</v>
      </c>
      <c r="E215" s="44" t="s">
        <v>47</v>
      </c>
      <c r="F215" s="44" t="s">
        <v>25</v>
      </c>
      <c r="G215" s="44" t="s">
        <v>25</v>
      </c>
      <c r="H215" s="44" t="s">
        <v>38</v>
      </c>
      <c r="I215" s="64">
        <v>44682</v>
      </c>
      <c r="J215" s="65">
        <f>EFEITO!$J$215*EFEITO!$Y$93</f>
        <v>0</v>
      </c>
      <c r="K215" s="65">
        <f ca="1">EFEITO!$L$215*EFEITO!$Z$93</f>
        <v>676.26880881029319</v>
      </c>
      <c r="L215" s="65">
        <f>EFEITO!$N$215*EFEITO!$AA$93</f>
        <v>919.81580920658166</v>
      </c>
      <c r="M215" s="65">
        <f>$J$215-EFEITO!$K$215*EFEITO!$Y$215</f>
        <v>0</v>
      </c>
      <c r="N215" s="65">
        <f ca="1">$K$215-EFEITO!$M$215*EFEITO!$Z$215</f>
        <v>20.2880642643089</v>
      </c>
      <c r="O215" s="65">
        <f>$L$215-EFEITO!$O$215*EFEITO!$AA$215</f>
        <v>27.594474276197388</v>
      </c>
      <c r="P215" s="48"/>
      <c r="Q215" s="48"/>
      <c r="R215" s="48"/>
      <c r="S215" s="48"/>
      <c r="T215" s="48"/>
      <c r="U215" s="48"/>
      <c r="V215" s="48"/>
      <c r="W215" s="48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spans="1:36" ht="11.25" customHeight="1" x14ac:dyDescent="0.2">
      <c r="A216" s="44" t="s">
        <v>21</v>
      </c>
      <c r="B216" s="44" t="s">
        <v>35</v>
      </c>
      <c r="C216" s="44" t="s">
        <v>36</v>
      </c>
      <c r="D216" s="44" t="s">
        <v>46</v>
      </c>
      <c r="E216" s="44" t="s">
        <v>47</v>
      </c>
      <c r="F216" s="44" t="s">
        <v>25</v>
      </c>
      <c r="G216" s="44" t="s">
        <v>25</v>
      </c>
      <c r="H216" s="44" t="s">
        <v>38</v>
      </c>
      <c r="I216" s="64">
        <v>44743</v>
      </c>
      <c r="J216" s="65">
        <f>EFEITO!$J$216*EFEITO!$Y$93</f>
        <v>0</v>
      </c>
      <c r="K216" s="65">
        <f ca="1">EFEITO!$L$216*EFEITO!$Z$93</f>
        <v>764.83376280626703</v>
      </c>
      <c r="L216" s="65">
        <f>EFEITO!$N$216*EFEITO!$AA$93</f>
        <v>1040.2759631658669</v>
      </c>
      <c r="M216" s="65">
        <f>$J$216-EFEITO!$K$216*EFEITO!$Y$216</f>
        <v>0</v>
      </c>
      <c r="N216" s="65">
        <f ca="1">$K$216-EFEITO!$M$216*EFEITO!$Z$216</f>
        <v>22.945012884188145</v>
      </c>
      <c r="O216" s="65">
        <f>$L$216-EFEITO!$O$216*EFEITO!$AA$216</f>
        <v>31.208278894976047</v>
      </c>
      <c r="P216" s="48"/>
      <c r="Q216" s="48"/>
      <c r="R216" s="48"/>
      <c r="S216" s="48"/>
      <c r="T216" s="48"/>
      <c r="U216" s="48"/>
      <c r="V216" s="48"/>
      <c r="W216" s="48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spans="1:36" ht="11.25" customHeight="1" x14ac:dyDescent="0.2">
      <c r="A217" s="44" t="s">
        <v>21</v>
      </c>
      <c r="B217" s="44" t="s">
        <v>35</v>
      </c>
      <c r="C217" s="44" t="s">
        <v>36</v>
      </c>
      <c r="D217" s="44" t="s">
        <v>46</v>
      </c>
      <c r="E217" s="44" t="s">
        <v>47</v>
      </c>
      <c r="F217" s="44" t="s">
        <v>25</v>
      </c>
      <c r="G217" s="44" t="s">
        <v>25</v>
      </c>
      <c r="H217" s="44" t="s">
        <v>38</v>
      </c>
      <c r="I217" s="64">
        <v>44774</v>
      </c>
      <c r="J217" s="65">
        <f>EFEITO!$J$217*EFEITO!$Y$93</f>
        <v>0</v>
      </c>
      <c r="K217" s="65">
        <f ca="1">EFEITO!$L$217*EFEITO!$Z$93</f>
        <v>2611.3181982600913</v>
      </c>
      <c r="L217" s="65">
        <f>EFEITO!$N$217*EFEITO!$AA$93</f>
        <v>3551.7411572685269</v>
      </c>
      <c r="M217" s="65">
        <f>$J$217-EFEITO!$K$217*EFEITO!$Y$217</f>
        <v>0</v>
      </c>
      <c r="N217" s="65">
        <f ca="1">$K$217-EFEITO!$M$217*EFEITO!$Z$217</f>
        <v>78.33954594780289</v>
      </c>
      <c r="O217" s="65">
        <f>$L$217-EFEITO!$O$217*EFEITO!$AA$217</f>
        <v>106.5522347180563</v>
      </c>
      <c r="P217" s="48"/>
      <c r="Q217" s="48"/>
      <c r="R217" s="48"/>
      <c r="S217" s="48"/>
      <c r="T217" s="48"/>
      <c r="U217" s="48"/>
      <c r="V217" s="48"/>
      <c r="W217" s="48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spans="1:36" ht="11.25" customHeight="1" x14ac:dyDescent="0.2">
      <c r="A218" s="44" t="s">
        <v>21</v>
      </c>
      <c r="B218" s="44" t="s">
        <v>35</v>
      </c>
      <c r="C218" s="44" t="s">
        <v>36</v>
      </c>
      <c r="D218" s="44" t="s">
        <v>46</v>
      </c>
      <c r="E218" s="44" t="s">
        <v>47</v>
      </c>
      <c r="F218" s="44" t="s">
        <v>25</v>
      </c>
      <c r="G218" s="44" t="s">
        <v>25</v>
      </c>
      <c r="H218" s="44" t="s">
        <v>25</v>
      </c>
      <c r="I218" s="64">
        <v>44440</v>
      </c>
      <c r="J218" s="65">
        <f ca="1">EFEITO!$J$218*EFEITO!$Y$117</f>
        <v>2015.1686772611451</v>
      </c>
      <c r="K218" s="65">
        <f>EFEITO!$L$218*EFEITO!$Z$117</f>
        <v>0</v>
      </c>
      <c r="L218" s="65">
        <f>EFEITO!$N$218*EFEITO!$AA$117</f>
        <v>0</v>
      </c>
      <c r="M218" s="65">
        <f ca="1">$J$218-EFEITO!$K$218*EFEITO!$Y$218</f>
        <v>60.455060317834295</v>
      </c>
      <c r="N218" s="65">
        <f>$K$218-EFEITO!$M$218*EFEITO!$Z$218</f>
        <v>0</v>
      </c>
      <c r="O218" s="65">
        <f>$L$218-EFEITO!$O$218*EFEITO!$AA$218</f>
        <v>0</v>
      </c>
      <c r="P218" s="48"/>
      <c r="Q218" s="48"/>
      <c r="R218" s="48"/>
      <c r="S218" s="48"/>
      <c r="T218" s="48"/>
      <c r="U218" s="48"/>
      <c r="V218" s="48"/>
      <c r="W218" s="48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spans="1:36" ht="11.25" customHeight="1" x14ac:dyDescent="0.2">
      <c r="A219" s="44" t="s">
        <v>21</v>
      </c>
      <c r="B219" s="44" t="s">
        <v>35</v>
      </c>
      <c r="C219" s="44" t="s">
        <v>36</v>
      </c>
      <c r="D219" s="44" t="s">
        <v>46</v>
      </c>
      <c r="E219" s="44" t="s">
        <v>47</v>
      </c>
      <c r="F219" s="44" t="s">
        <v>25</v>
      </c>
      <c r="G219" s="44" t="s">
        <v>25</v>
      </c>
      <c r="H219" s="44" t="s">
        <v>25</v>
      </c>
      <c r="I219" s="64">
        <v>44470</v>
      </c>
      <c r="J219" s="65">
        <f ca="1">EFEITO!$J$219*EFEITO!$Y$117</f>
        <v>2191.4959365214954</v>
      </c>
      <c r="K219" s="65">
        <f>EFEITO!$L$219*EFEITO!$Z$117</f>
        <v>0</v>
      </c>
      <c r="L219" s="65">
        <f>EFEITO!$N$219*EFEITO!$AA$117</f>
        <v>0</v>
      </c>
      <c r="M219" s="65">
        <f ca="1">$J$219-EFEITO!$K$219*EFEITO!$Y$219</f>
        <v>65.744878095644708</v>
      </c>
      <c r="N219" s="65">
        <f>$K$219-EFEITO!$M$219*EFEITO!$Z$219</f>
        <v>0</v>
      </c>
      <c r="O219" s="65">
        <f>$L$219-EFEITO!$O$219*EFEITO!$AA$219</f>
        <v>0</v>
      </c>
      <c r="P219" s="48"/>
      <c r="Q219" s="48"/>
      <c r="R219" s="48"/>
      <c r="S219" s="48"/>
      <c r="T219" s="48"/>
      <c r="U219" s="48"/>
      <c r="V219" s="48"/>
      <c r="W219" s="48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spans="1:36" ht="11.25" customHeight="1" x14ac:dyDescent="0.2">
      <c r="A220" s="44" t="s">
        <v>21</v>
      </c>
      <c r="B220" s="44" t="s">
        <v>35</v>
      </c>
      <c r="C220" s="44" t="s">
        <v>36</v>
      </c>
      <c r="D220" s="44" t="s">
        <v>46</v>
      </c>
      <c r="E220" s="44" t="s">
        <v>47</v>
      </c>
      <c r="F220" s="44" t="s">
        <v>25</v>
      </c>
      <c r="G220" s="44" t="s">
        <v>25</v>
      </c>
      <c r="H220" s="44" t="s">
        <v>25</v>
      </c>
      <c r="I220" s="64">
        <v>44501</v>
      </c>
      <c r="J220" s="65">
        <f ca="1">EFEITO!$J$220*EFEITO!$Y$117</f>
        <v>2241.8751534530243</v>
      </c>
      <c r="K220" s="65">
        <f>EFEITO!$L$220*EFEITO!$Z$117</f>
        <v>0</v>
      </c>
      <c r="L220" s="65">
        <f>EFEITO!$N$220*EFEITO!$AA$117</f>
        <v>0</v>
      </c>
      <c r="M220" s="65">
        <f ca="1">$J$220-EFEITO!$K$220*EFEITO!$Y$220</f>
        <v>67.25625460359106</v>
      </c>
      <c r="N220" s="65">
        <f>$K$220-EFEITO!$M$220*EFEITO!$Z$220</f>
        <v>0</v>
      </c>
      <c r="O220" s="65">
        <f>$L$220-EFEITO!$O$220*EFEITO!$AA$220</f>
        <v>0</v>
      </c>
      <c r="P220" s="48"/>
      <c r="Q220" s="48"/>
      <c r="R220" s="48"/>
      <c r="S220" s="48"/>
      <c r="T220" s="48"/>
      <c r="U220" s="48"/>
      <c r="V220" s="48"/>
      <c r="W220" s="48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spans="1:36" ht="11.25" customHeight="1" x14ac:dyDescent="0.2">
      <c r="A221" s="44" t="s">
        <v>21</v>
      </c>
      <c r="B221" s="44" t="s">
        <v>35</v>
      </c>
      <c r="C221" s="44" t="s">
        <v>36</v>
      </c>
      <c r="D221" s="44" t="s">
        <v>46</v>
      </c>
      <c r="E221" s="44" t="s">
        <v>47</v>
      </c>
      <c r="F221" s="44" t="s">
        <v>25</v>
      </c>
      <c r="G221" s="44" t="s">
        <v>25</v>
      </c>
      <c r="H221" s="44" t="s">
        <v>25</v>
      </c>
      <c r="I221" s="64">
        <v>44531</v>
      </c>
      <c r="J221" s="65">
        <f ca="1">EFEITO!$J$221*EFEITO!$Y$117</f>
        <v>2141.116719589967</v>
      </c>
      <c r="K221" s="65">
        <f>EFEITO!$L$221*EFEITO!$Z$117</f>
        <v>0</v>
      </c>
      <c r="L221" s="65">
        <f>EFEITO!$N$221*EFEITO!$AA$117</f>
        <v>0</v>
      </c>
      <c r="M221" s="65">
        <f ca="1">$J$221-EFEITO!$K$221*EFEITO!$Y$221</f>
        <v>64.233501587699266</v>
      </c>
      <c r="N221" s="65">
        <f>$K$221-EFEITO!$M$221*EFEITO!$Z$221</f>
        <v>0</v>
      </c>
      <c r="O221" s="65">
        <f>$L$221-EFEITO!$O$221*EFEITO!$AA$221</f>
        <v>0</v>
      </c>
      <c r="P221" s="48"/>
      <c r="Q221" s="48"/>
      <c r="R221" s="48"/>
      <c r="S221" s="48"/>
      <c r="T221" s="48"/>
      <c r="U221" s="48"/>
      <c r="V221" s="48"/>
      <c r="W221" s="48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spans="1:36" ht="11.25" customHeight="1" x14ac:dyDescent="0.2">
      <c r="A222" s="44" t="s">
        <v>21</v>
      </c>
      <c r="B222" s="44" t="s">
        <v>35</v>
      </c>
      <c r="C222" s="44" t="s">
        <v>36</v>
      </c>
      <c r="D222" s="44" t="s">
        <v>46</v>
      </c>
      <c r="E222" s="44" t="s">
        <v>47</v>
      </c>
      <c r="F222" s="44" t="s">
        <v>25</v>
      </c>
      <c r="G222" s="44" t="s">
        <v>25</v>
      </c>
      <c r="H222" s="44" t="s">
        <v>25</v>
      </c>
      <c r="I222" s="64">
        <v>44562</v>
      </c>
      <c r="J222" s="65">
        <f ca="1">EFEITO!$J$222*EFEITO!$Y$117</f>
        <v>2115.9271111242024</v>
      </c>
      <c r="K222" s="65">
        <f>EFEITO!$L$222*EFEITO!$Z$117</f>
        <v>0</v>
      </c>
      <c r="L222" s="65">
        <f>EFEITO!$N$222*EFEITO!$AA$117</f>
        <v>0</v>
      </c>
      <c r="M222" s="65">
        <f ca="1">$J$222-EFEITO!$K$222*EFEITO!$Y$222</f>
        <v>63.477813333725862</v>
      </c>
      <c r="N222" s="65">
        <f>$K$222-EFEITO!$M$222*EFEITO!$Z$222</f>
        <v>0</v>
      </c>
      <c r="O222" s="65">
        <f>$L$222-EFEITO!$O$222*EFEITO!$AA$222</f>
        <v>0</v>
      </c>
      <c r="P222" s="48"/>
      <c r="Q222" s="48"/>
      <c r="R222" s="48"/>
      <c r="S222" s="48"/>
      <c r="T222" s="48"/>
      <c r="U222" s="48"/>
      <c r="V222" s="48"/>
      <c r="W222" s="48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spans="1:36" ht="11.25" customHeight="1" x14ac:dyDescent="0.2">
      <c r="A223" s="44" t="s">
        <v>21</v>
      </c>
      <c r="B223" s="44" t="s">
        <v>35</v>
      </c>
      <c r="C223" s="44" t="s">
        <v>36</v>
      </c>
      <c r="D223" s="44" t="s">
        <v>46</v>
      </c>
      <c r="E223" s="44" t="s">
        <v>47</v>
      </c>
      <c r="F223" s="44" t="s">
        <v>25</v>
      </c>
      <c r="G223" s="44" t="s">
        <v>25</v>
      </c>
      <c r="H223" s="44" t="s">
        <v>25</v>
      </c>
      <c r="I223" s="64">
        <v>44593</v>
      </c>
      <c r="J223" s="65">
        <f ca="1">EFEITO!$J$223*EFEITO!$Y$117</f>
        <v>2115.9271111242024</v>
      </c>
      <c r="K223" s="65">
        <f>EFEITO!$L$223*EFEITO!$Z$117</f>
        <v>0</v>
      </c>
      <c r="L223" s="65">
        <f>EFEITO!$N$223*EFEITO!$AA$117</f>
        <v>0</v>
      </c>
      <c r="M223" s="65">
        <f ca="1">$J$223-EFEITO!$K$223*EFEITO!$Y$223</f>
        <v>63.477813333725862</v>
      </c>
      <c r="N223" s="65">
        <f>$K$223-EFEITO!$M$223*EFEITO!$Z$223</f>
        <v>0</v>
      </c>
      <c r="O223" s="65">
        <f>$L$223-EFEITO!$O$223*EFEITO!$AA$223</f>
        <v>0</v>
      </c>
      <c r="P223" s="48"/>
      <c r="Q223" s="48"/>
      <c r="R223" s="48"/>
      <c r="S223" s="48"/>
      <c r="T223" s="48"/>
      <c r="U223" s="48"/>
      <c r="V223" s="48"/>
      <c r="W223" s="48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spans="1:36" ht="11.25" customHeight="1" x14ac:dyDescent="0.2">
      <c r="A224" s="44" t="s">
        <v>21</v>
      </c>
      <c r="B224" s="44" t="s">
        <v>35</v>
      </c>
      <c r="C224" s="44" t="s">
        <v>36</v>
      </c>
      <c r="D224" s="44" t="s">
        <v>46</v>
      </c>
      <c r="E224" s="44" t="s">
        <v>47</v>
      </c>
      <c r="F224" s="44" t="s">
        <v>25</v>
      </c>
      <c r="G224" s="44" t="s">
        <v>25</v>
      </c>
      <c r="H224" s="44" t="s">
        <v>25</v>
      </c>
      <c r="I224" s="64">
        <v>44621</v>
      </c>
      <c r="J224" s="65">
        <f ca="1">EFEITO!$J$224*EFEITO!$Y$117</f>
        <v>2141.116719589967</v>
      </c>
      <c r="K224" s="65">
        <f>EFEITO!$L$224*EFEITO!$Z$117</f>
        <v>0</v>
      </c>
      <c r="L224" s="65">
        <f>EFEITO!$N$224*EFEITO!$AA$117</f>
        <v>0</v>
      </c>
      <c r="M224" s="65">
        <f ca="1">$J$224-EFEITO!$K$224*EFEITO!$Y$224</f>
        <v>64.233501587699266</v>
      </c>
      <c r="N224" s="65">
        <f>$K$224-EFEITO!$M$224*EFEITO!$Z$224</f>
        <v>0</v>
      </c>
      <c r="O224" s="65">
        <f>$L$224-EFEITO!$O$224*EFEITO!$AA$224</f>
        <v>0</v>
      </c>
      <c r="P224" s="48"/>
      <c r="Q224" s="48"/>
      <c r="R224" s="48"/>
      <c r="S224" s="48"/>
      <c r="T224" s="48"/>
      <c r="U224" s="48"/>
      <c r="V224" s="48"/>
      <c r="W224" s="48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spans="1:36" ht="11.25" customHeight="1" x14ac:dyDescent="0.2">
      <c r="A225" s="44" t="s">
        <v>21</v>
      </c>
      <c r="B225" s="44" t="s">
        <v>35</v>
      </c>
      <c r="C225" s="44" t="s">
        <v>36</v>
      </c>
      <c r="D225" s="44" t="s">
        <v>46</v>
      </c>
      <c r="E225" s="44" t="s">
        <v>47</v>
      </c>
      <c r="F225" s="44" t="s">
        <v>25</v>
      </c>
      <c r="G225" s="44" t="s">
        <v>25</v>
      </c>
      <c r="H225" s="44" t="s">
        <v>25</v>
      </c>
      <c r="I225" s="64">
        <v>44652</v>
      </c>
      <c r="J225" s="65">
        <f ca="1">EFEITO!$J$225*EFEITO!$Y$117</f>
        <v>2191.4959365214954</v>
      </c>
      <c r="K225" s="65">
        <f>EFEITO!$L$225*EFEITO!$Z$117</f>
        <v>0</v>
      </c>
      <c r="L225" s="65">
        <f>EFEITO!$N$225*EFEITO!$AA$117</f>
        <v>0</v>
      </c>
      <c r="M225" s="65">
        <f ca="1">$J$225-EFEITO!$K$225*EFEITO!$Y$225</f>
        <v>65.744878095644708</v>
      </c>
      <c r="N225" s="65">
        <f>$K$225-EFEITO!$M$225*EFEITO!$Z$225</f>
        <v>0</v>
      </c>
      <c r="O225" s="65">
        <f>$L$225-EFEITO!$O$225*EFEITO!$AA$225</f>
        <v>0</v>
      </c>
      <c r="P225" s="48"/>
      <c r="Q225" s="48"/>
      <c r="R225" s="48"/>
      <c r="S225" s="48"/>
      <c r="T225" s="48"/>
      <c r="U225" s="48"/>
      <c r="V225" s="48"/>
      <c r="W225" s="48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spans="1:36" ht="11.25" customHeight="1" x14ac:dyDescent="0.2">
      <c r="A226" s="44" t="s">
        <v>21</v>
      </c>
      <c r="B226" s="44" t="s">
        <v>35</v>
      </c>
      <c r="C226" s="44" t="s">
        <v>36</v>
      </c>
      <c r="D226" s="44" t="s">
        <v>46</v>
      </c>
      <c r="E226" s="44" t="s">
        <v>47</v>
      </c>
      <c r="F226" s="44" t="s">
        <v>25</v>
      </c>
      <c r="G226" s="44" t="s">
        <v>25</v>
      </c>
      <c r="H226" s="44" t="s">
        <v>25</v>
      </c>
      <c r="I226" s="64">
        <v>44682</v>
      </c>
      <c r="J226" s="65">
        <f ca="1">EFEITO!$J$226*EFEITO!$Y$117</f>
        <v>2216.6855449872596</v>
      </c>
      <c r="K226" s="65">
        <f>EFEITO!$L$226*EFEITO!$Z$117</f>
        <v>0</v>
      </c>
      <c r="L226" s="65">
        <f>EFEITO!$N$226*EFEITO!$AA$117</f>
        <v>0</v>
      </c>
      <c r="M226" s="65">
        <f ca="1">$J$226-EFEITO!$K$226*EFEITO!$Y$226</f>
        <v>66.500566349617657</v>
      </c>
      <c r="N226" s="65">
        <f>$K$226-EFEITO!$M$226*EFEITO!$Z$226</f>
        <v>0</v>
      </c>
      <c r="O226" s="65">
        <f>$L$226-EFEITO!$O$226*EFEITO!$AA$226</f>
        <v>0</v>
      </c>
      <c r="P226" s="48"/>
      <c r="Q226" s="48"/>
      <c r="R226" s="48"/>
      <c r="S226" s="48"/>
      <c r="T226" s="48"/>
      <c r="U226" s="48"/>
      <c r="V226" s="48"/>
      <c r="W226" s="48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spans="1:36" ht="11.25" customHeight="1" x14ac:dyDescent="0.2">
      <c r="A227" s="44" t="s">
        <v>21</v>
      </c>
      <c r="B227" s="44" t="s">
        <v>35</v>
      </c>
      <c r="C227" s="44" t="s">
        <v>36</v>
      </c>
      <c r="D227" s="44" t="s">
        <v>46</v>
      </c>
      <c r="E227" s="44" t="s">
        <v>47</v>
      </c>
      <c r="F227" s="44" t="s">
        <v>25</v>
      </c>
      <c r="G227" s="44" t="s">
        <v>25</v>
      </c>
      <c r="H227" s="44" t="s">
        <v>25</v>
      </c>
      <c r="I227" s="64">
        <v>44713</v>
      </c>
      <c r="J227" s="65">
        <f ca="1">EFEITO!$J$227*EFEITO!$Y$117</f>
        <v>2216.6855449872596</v>
      </c>
      <c r="K227" s="65">
        <f>EFEITO!$L$227*EFEITO!$Z$117</f>
        <v>0</v>
      </c>
      <c r="L227" s="65">
        <f>EFEITO!$N$227*EFEITO!$AA$117</f>
        <v>0</v>
      </c>
      <c r="M227" s="65">
        <f ca="1">$J$227-EFEITO!$K$227*EFEITO!$Y$227</f>
        <v>66.500566349617657</v>
      </c>
      <c r="N227" s="65">
        <f>$K$227-EFEITO!$M$227*EFEITO!$Z$227</f>
        <v>0</v>
      </c>
      <c r="O227" s="65">
        <f>$L$227-EFEITO!$O$227*EFEITO!$AA$227</f>
        <v>0</v>
      </c>
      <c r="P227" s="48"/>
      <c r="Q227" s="48"/>
      <c r="R227" s="48"/>
      <c r="S227" s="48"/>
      <c r="T227" s="48"/>
      <c r="U227" s="48"/>
      <c r="V227" s="48"/>
      <c r="W227" s="48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spans="1:36" ht="11.25" customHeight="1" x14ac:dyDescent="0.2">
      <c r="A228" s="44" t="s">
        <v>21</v>
      </c>
      <c r="B228" s="44" t="s">
        <v>35</v>
      </c>
      <c r="C228" s="44" t="s">
        <v>36</v>
      </c>
      <c r="D228" s="44" t="s">
        <v>46</v>
      </c>
      <c r="E228" s="44" t="s">
        <v>47</v>
      </c>
      <c r="F228" s="44" t="s">
        <v>25</v>
      </c>
      <c r="G228" s="44" t="s">
        <v>25</v>
      </c>
      <c r="H228" s="44" t="s">
        <v>25</v>
      </c>
      <c r="I228" s="64">
        <v>44743</v>
      </c>
      <c r="J228" s="65">
        <f ca="1">EFEITO!$J$228*EFEITO!$Y$117</f>
        <v>2216.6855449872596</v>
      </c>
      <c r="K228" s="65">
        <f>EFEITO!$L$228*EFEITO!$Z$117</f>
        <v>0</v>
      </c>
      <c r="L228" s="65">
        <f>EFEITO!$N$228*EFEITO!$AA$117</f>
        <v>0</v>
      </c>
      <c r="M228" s="65">
        <f ca="1">$J$228-EFEITO!$K$228*EFEITO!$Y$228</f>
        <v>66.500566349617657</v>
      </c>
      <c r="N228" s="65">
        <f>$K$228-EFEITO!$M$228*EFEITO!$Z$228</f>
        <v>0</v>
      </c>
      <c r="O228" s="65">
        <f>$L$228-EFEITO!$O$228*EFEITO!$AA$228</f>
        <v>0</v>
      </c>
      <c r="P228" s="48"/>
      <c r="Q228" s="48"/>
      <c r="R228" s="48"/>
      <c r="S228" s="48"/>
      <c r="T228" s="48"/>
      <c r="U228" s="48"/>
      <c r="V228" s="48"/>
      <c r="W228" s="48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spans="1:36" ht="11.25" customHeight="1" x14ac:dyDescent="0.2">
      <c r="A229" s="44" t="s">
        <v>21</v>
      </c>
      <c r="B229" s="44" t="s">
        <v>35</v>
      </c>
      <c r="C229" s="44" t="s">
        <v>36</v>
      </c>
      <c r="D229" s="44" t="s">
        <v>46</v>
      </c>
      <c r="E229" s="44" t="s">
        <v>47</v>
      </c>
      <c r="F229" s="44" t="s">
        <v>25</v>
      </c>
      <c r="G229" s="44" t="s">
        <v>25</v>
      </c>
      <c r="H229" s="44" t="s">
        <v>25</v>
      </c>
      <c r="I229" s="64">
        <v>44774</v>
      </c>
      <c r="J229" s="65">
        <f ca="1">EFEITO!$J$229*EFEITO!$Y$117</f>
        <v>2216.6855449872596</v>
      </c>
      <c r="K229" s="65">
        <f>EFEITO!$L$229*EFEITO!$Z$117</f>
        <v>0</v>
      </c>
      <c r="L229" s="65">
        <f>EFEITO!$N$229*EFEITO!$AA$117</f>
        <v>0</v>
      </c>
      <c r="M229" s="65">
        <f ca="1">$J$229-EFEITO!$K$229*EFEITO!$Y$229</f>
        <v>66.500566349617657</v>
      </c>
      <c r="N229" s="65">
        <f>$K$229-EFEITO!$M$229*EFEITO!$Z$229</f>
        <v>0</v>
      </c>
      <c r="O229" s="65">
        <f>$L$229-EFEITO!$O$229*EFEITO!$AA$229</f>
        <v>0</v>
      </c>
      <c r="P229" s="48"/>
      <c r="Q229" s="48"/>
      <c r="R229" s="48"/>
      <c r="S229" s="48"/>
      <c r="T229" s="48"/>
      <c r="U229" s="48"/>
      <c r="V229" s="48"/>
      <c r="W229" s="48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spans="1:36" ht="11.25" customHeight="1" x14ac:dyDescent="0.2">
      <c r="A230" s="44" t="s">
        <v>21</v>
      </c>
      <c r="B230" s="44" t="s">
        <v>35</v>
      </c>
      <c r="C230" s="44" t="s">
        <v>36</v>
      </c>
      <c r="D230" s="44" t="s">
        <v>46</v>
      </c>
      <c r="E230" s="44" t="s">
        <v>47</v>
      </c>
      <c r="F230" s="44" t="s">
        <v>25</v>
      </c>
      <c r="G230" s="44" t="s">
        <v>25</v>
      </c>
      <c r="H230" s="44" t="s">
        <v>37</v>
      </c>
      <c r="I230" s="64">
        <v>44440</v>
      </c>
      <c r="J230" s="65">
        <f>EFEITO!$J$230*EFEITO!$Y$137</f>
        <v>0</v>
      </c>
      <c r="K230" s="65">
        <f ca="1">EFEITO!$L$230*EFEITO!$Z$137</f>
        <v>2234.9808112007772</v>
      </c>
      <c r="L230" s="65">
        <f>EFEITO!$N$230*EFEITO!$AA$137</f>
        <v>157.12784456695925</v>
      </c>
      <c r="M230" s="65">
        <f>$J$230-EFEITO!$K$230*EFEITO!$Y$230</f>
        <v>0</v>
      </c>
      <c r="N230" s="65">
        <f ca="1">$K$230-EFEITO!$M$230*EFEITO!$Z$230</f>
        <v>67.049424336023549</v>
      </c>
      <c r="O230" s="65">
        <f>$L$230-EFEITO!$O$230*EFEITO!$AA$230</f>
        <v>4.71383533700876</v>
      </c>
      <c r="P230" s="48"/>
      <c r="Q230" s="48"/>
      <c r="R230" s="48"/>
      <c r="S230" s="48"/>
      <c r="T230" s="48"/>
      <c r="U230" s="48"/>
      <c r="V230" s="48"/>
      <c r="W230" s="48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spans="1:36" ht="11.25" customHeight="1" x14ac:dyDescent="0.2">
      <c r="A231" s="44" t="s">
        <v>21</v>
      </c>
      <c r="B231" s="44" t="s">
        <v>35</v>
      </c>
      <c r="C231" s="44" t="s">
        <v>36</v>
      </c>
      <c r="D231" s="44" t="s">
        <v>46</v>
      </c>
      <c r="E231" s="44" t="s">
        <v>47</v>
      </c>
      <c r="F231" s="44" t="s">
        <v>25</v>
      </c>
      <c r="G231" s="44" t="s">
        <v>25</v>
      </c>
      <c r="H231" s="44" t="s">
        <v>37</v>
      </c>
      <c r="I231" s="64">
        <v>44470</v>
      </c>
      <c r="J231" s="65">
        <f>EFEITO!$J$231*EFEITO!$Y$137</f>
        <v>0</v>
      </c>
      <c r="K231" s="65">
        <f ca="1">EFEITO!$L$231*EFEITO!$Z$137</f>
        <v>4808.0097139833479</v>
      </c>
      <c r="L231" s="65">
        <f>EFEITO!$N$231*EFEITO!$AA$137</f>
        <v>338.02178489815174</v>
      </c>
      <c r="M231" s="65">
        <f>$J$231-EFEITO!$K$231*EFEITO!$Y$231</f>
        <v>0</v>
      </c>
      <c r="N231" s="65">
        <f ca="1">$K$231-EFEITO!$M$231*EFEITO!$Z$231</f>
        <v>144.24029141949995</v>
      </c>
      <c r="O231" s="65">
        <f>$L$231-EFEITO!$O$231*EFEITO!$AA$231</f>
        <v>10.14065354694452</v>
      </c>
      <c r="P231" s="48"/>
      <c r="Q231" s="48"/>
      <c r="R231" s="48"/>
      <c r="S231" s="48"/>
      <c r="T231" s="48"/>
      <c r="U231" s="48"/>
      <c r="V231" s="48"/>
      <c r="W231" s="48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spans="1:36" ht="11.25" customHeight="1" x14ac:dyDescent="0.2">
      <c r="A232" s="44" t="s">
        <v>21</v>
      </c>
      <c r="B232" s="44" t="s">
        <v>35</v>
      </c>
      <c r="C232" s="44" t="s">
        <v>36</v>
      </c>
      <c r="D232" s="44" t="s">
        <v>46</v>
      </c>
      <c r="E232" s="44" t="s">
        <v>47</v>
      </c>
      <c r="F232" s="44" t="s">
        <v>25</v>
      </c>
      <c r="G232" s="44" t="s">
        <v>25</v>
      </c>
      <c r="H232" s="44" t="s">
        <v>37</v>
      </c>
      <c r="I232" s="64">
        <v>44501</v>
      </c>
      <c r="J232" s="65">
        <f>EFEITO!$J$232*EFEITO!$Y$137</f>
        <v>0</v>
      </c>
      <c r="K232" s="65">
        <f ca="1">EFEITO!$L$232*EFEITO!$Z$137</f>
        <v>8648.2360343525324</v>
      </c>
      <c r="L232" s="65">
        <f>EFEITO!$N$232*EFEITO!$AA$137</f>
        <v>608.00463277984159</v>
      </c>
      <c r="M232" s="65">
        <f>$J$232-EFEITO!$K$232*EFEITO!$Y$232</f>
        <v>0</v>
      </c>
      <c r="N232" s="65">
        <f ca="1">$K$232-EFEITO!$M$232*EFEITO!$Z$232</f>
        <v>259.44708103057746</v>
      </c>
      <c r="O232" s="65">
        <f>$L$232-EFEITO!$O$232*EFEITO!$AA$232</f>
        <v>18.240138983395354</v>
      </c>
      <c r="P232" s="48"/>
      <c r="Q232" s="48"/>
      <c r="R232" s="48"/>
      <c r="S232" s="48"/>
      <c r="T232" s="48"/>
      <c r="U232" s="48"/>
      <c r="V232" s="48"/>
      <c r="W232" s="48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spans="1:36" ht="11.25" customHeight="1" x14ac:dyDescent="0.2">
      <c r="A233" s="44" t="s">
        <v>21</v>
      </c>
      <c r="B233" s="44" t="s">
        <v>35</v>
      </c>
      <c r="C233" s="44" t="s">
        <v>36</v>
      </c>
      <c r="D233" s="44" t="s">
        <v>46</v>
      </c>
      <c r="E233" s="44" t="s">
        <v>47</v>
      </c>
      <c r="F233" s="44" t="s">
        <v>25</v>
      </c>
      <c r="G233" s="44" t="s">
        <v>25</v>
      </c>
      <c r="H233" s="44" t="s">
        <v>37</v>
      </c>
      <c r="I233" s="64">
        <v>44531</v>
      </c>
      <c r="J233" s="65">
        <f>EFEITO!$J$233*EFEITO!$Y$137</f>
        <v>0</v>
      </c>
      <c r="K233" s="65">
        <f ca="1">EFEITO!$L$233*EFEITO!$Z$137</f>
        <v>10999.119048381352</v>
      </c>
      <c r="L233" s="65">
        <f>EFEITO!$N$233*EFEITO!$AA$137</f>
        <v>773.28085303739499</v>
      </c>
      <c r="M233" s="65">
        <f>$J$233-EFEITO!$K$233*EFEITO!$Y$233</f>
        <v>0</v>
      </c>
      <c r="N233" s="65">
        <f ca="1">$K$233-EFEITO!$M$233*EFEITO!$Z$233</f>
        <v>329.97357145144088</v>
      </c>
      <c r="O233" s="65">
        <f>$L$233-EFEITO!$O$233*EFEITO!$AA$233</f>
        <v>23.198425591121804</v>
      </c>
      <c r="P233" s="48"/>
      <c r="Q233" s="48"/>
      <c r="R233" s="48"/>
      <c r="S233" s="48"/>
      <c r="T233" s="48"/>
      <c r="U233" s="48"/>
      <c r="V233" s="48"/>
      <c r="W233" s="48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spans="1:36" ht="11.25" customHeight="1" x14ac:dyDescent="0.2">
      <c r="A234" s="44" t="s">
        <v>21</v>
      </c>
      <c r="B234" s="44" t="s">
        <v>35</v>
      </c>
      <c r="C234" s="44" t="s">
        <v>36</v>
      </c>
      <c r="D234" s="44" t="s">
        <v>46</v>
      </c>
      <c r="E234" s="44" t="s">
        <v>47</v>
      </c>
      <c r="F234" s="44" t="s">
        <v>25</v>
      </c>
      <c r="G234" s="44" t="s">
        <v>25</v>
      </c>
      <c r="H234" s="44" t="s">
        <v>37</v>
      </c>
      <c r="I234" s="64">
        <v>44562</v>
      </c>
      <c r="J234" s="65">
        <f>EFEITO!$J$234*EFEITO!$Y$137</f>
        <v>0</v>
      </c>
      <c r="K234" s="65">
        <f ca="1">EFEITO!$L$234*EFEITO!$Z$137</f>
        <v>9362.9662851254689</v>
      </c>
      <c r="L234" s="65">
        <f>EFEITO!$N$234*EFEITO!$AA$137</f>
        <v>658.25294953850619</v>
      </c>
      <c r="M234" s="65">
        <f>$J$234-EFEITO!$K$234*EFEITO!$Y$234</f>
        <v>0</v>
      </c>
      <c r="N234" s="65">
        <f ca="1">$K$234-EFEITO!$M$234*EFEITO!$Z$234</f>
        <v>280.88898855376465</v>
      </c>
      <c r="O234" s="65">
        <f>$L$234-EFEITO!$O$234*EFEITO!$AA$234</f>
        <v>19.747588486155223</v>
      </c>
      <c r="P234" s="48"/>
      <c r="Q234" s="48"/>
      <c r="R234" s="48"/>
      <c r="S234" s="48"/>
      <c r="T234" s="48"/>
      <c r="U234" s="48"/>
      <c r="V234" s="48"/>
      <c r="W234" s="48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spans="1:36" ht="11.25" customHeight="1" x14ac:dyDescent="0.2">
      <c r="A235" s="44" t="s">
        <v>21</v>
      </c>
      <c r="B235" s="44" t="s">
        <v>35</v>
      </c>
      <c r="C235" s="44" t="s">
        <v>36</v>
      </c>
      <c r="D235" s="44" t="s">
        <v>46</v>
      </c>
      <c r="E235" s="44" t="s">
        <v>47</v>
      </c>
      <c r="F235" s="44" t="s">
        <v>25</v>
      </c>
      <c r="G235" s="44" t="s">
        <v>25</v>
      </c>
      <c r="H235" s="44" t="s">
        <v>37</v>
      </c>
      <c r="I235" s="64">
        <v>44593</v>
      </c>
      <c r="J235" s="65">
        <f>EFEITO!$J$235*EFEITO!$Y$137</f>
        <v>0</v>
      </c>
      <c r="K235" s="65">
        <f ca="1">EFEITO!$L$235*EFEITO!$Z$137</f>
        <v>9324.3322175161193</v>
      </c>
      <c r="L235" s="65">
        <f>EFEITO!$N$235*EFEITO!$AA$137</f>
        <v>655.53682430830804</v>
      </c>
      <c r="M235" s="65">
        <f>$J$235-EFEITO!$K$235*EFEITO!$Y$235</f>
        <v>0</v>
      </c>
      <c r="N235" s="65">
        <f ca="1">$K$235-EFEITO!$M$235*EFEITO!$Z$235</f>
        <v>279.72996652548318</v>
      </c>
      <c r="O235" s="65">
        <f>$L$235-EFEITO!$O$235*EFEITO!$AA$235</f>
        <v>19.666104729249355</v>
      </c>
      <c r="P235" s="48"/>
      <c r="Q235" s="48"/>
      <c r="R235" s="48"/>
      <c r="S235" s="48"/>
      <c r="T235" s="48"/>
      <c r="U235" s="48"/>
      <c r="V235" s="48"/>
      <c r="W235" s="48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spans="1:36" ht="11.25" customHeight="1" x14ac:dyDescent="0.2">
      <c r="A236" s="44" t="s">
        <v>21</v>
      </c>
      <c r="B236" s="44" t="s">
        <v>35</v>
      </c>
      <c r="C236" s="44" t="s">
        <v>36</v>
      </c>
      <c r="D236" s="44" t="s">
        <v>46</v>
      </c>
      <c r="E236" s="44" t="s">
        <v>47</v>
      </c>
      <c r="F236" s="44" t="s">
        <v>25</v>
      </c>
      <c r="G236" s="44" t="s">
        <v>25</v>
      </c>
      <c r="H236" s="44" t="s">
        <v>37</v>
      </c>
      <c r="I236" s="64">
        <v>44621</v>
      </c>
      <c r="J236" s="65">
        <f>EFEITO!$J$236*EFEITO!$Y$137</f>
        <v>0</v>
      </c>
      <c r="K236" s="65">
        <f ca="1">EFEITO!$L$236*EFEITO!$Z$137</f>
        <v>9741.5801476970773</v>
      </c>
      <c r="L236" s="65">
        <f>EFEITO!$N$236*EFEITO!$AA$137</f>
        <v>684.8709767944473</v>
      </c>
      <c r="M236" s="65">
        <f>$J$236-EFEITO!$K$236*EFEITO!$Y$236</f>
        <v>0</v>
      </c>
      <c r="N236" s="65">
        <f ca="1">$K$236-EFEITO!$M$236*EFEITO!$Z$236</f>
        <v>292.24740443091287</v>
      </c>
      <c r="O236" s="65">
        <f>$L$236-EFEITO!$O$236*EFEITO!$AA$236</f>
        <v>20.546129303833368</v>
      </c>
      <c r="P236" s="48"/>
      <c r="Q236" s="48"/>
      <c r="R236" s="48"/>
      <c r="S236" s="48"/>
      <c r="T236" s="48"/>
      <c r="U236" s="48"/>
      <c r="V236" s="48"/>
      <c r="W236" s="48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spans="1:36" ht="11.25" customHeight="1" x14ac:dyDescent="0.2">
      <c r="A237" s="44" t="s">
        <v>21</v>
      </c>
      <c r="B237" s="44" t="s">
        <v>35</v>
      </c>
      <c r="C237" s="44" t="s">
        <v>36</v>
      </c>
      <c r="D237" s="44" t="s">
        <v>46</v>
      </c>
      <c r="E237" s="44" t="s">
        <v>47</v>
      </c>
      <c r="F237" s="44" t="s">
        <v>25</v>
      </c>
      <c r="G237" s="44" t="s">
        <v>25</v>
      </c>
      <c r="H237" s="44" t="s">
        <v>37</v>
      </c>
      <c r="I237" s="64">
        <v>44652</v>
      </c>
      <c r="J237" s="65">
        <f>EFEITO!$J$237*EFEITO!$Y$137</f>
        <v>0</v>
      </c>
      <c r="K237" s="65">
        <f ca="1">EFEITO!$L$237*EFEITO!$Z$137</f>
        <v>7224.5706429480606</v>
      </c>
      <c r="L237" s="65">
        <f>EFEITO!$N$237*EFEITO!$AA$137</f>
        <v>507.91541804704207</v>
      </c>
      <c r="M237" s="65">
        <f>$J$237-EFEITO!$K$237*EFEITO!$Y$237</f>
        <v>0</v>
      </c>
      <c r="N237" s="65">
        <f ca="1">$K$237-EFEITO!$M$237*EFEITO!$Z$237</f>
        <v>216.73711928844114</v>
      </c>
      <c r="O237" s="65">
        <f>$L$237-EFEITO!$O$237*EFEITO!$AA$237</f>
        <v>15.237462541411276</v>
      </c>
      <c r="P237" s="48"/>
      <c r="Q237" s="48"/>
      <c r="R237" s="48"/>
      <c r="S237" s="48"/>
      <c r="T237" s="48"/>
      <c r="U237" s="48"/>
      <c r="V237" s="48"/>
      <c r="W237" s="48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spans="1:36" ht="11.25" customHeight="1" x14ac:dyDescent="0.2">
      <c r="A238" s="44" t="s">
        <v>21</v>
      </c>
      <c r="B238" s="44" t="s">
        <v>35</v>
      </c>
      <c r="C238" s="44" t="s">
        <v>36</v>
      </c>
      <c r="D238" s="44" t="s">
        <v>46</v>
      </c>
      <c r="E238" s="44" t="s">
        <v>47</v>
      </c>
      <c r="F238" s="44" t="s">
        <v>25</v>
      </c>
      <c r="G238" s="44" t="s">
        <v>25</v>
      </c>
      <c r="H238" s="44" t="s">
        <v>37</v>
      </c>
      <c r="I238" s="64">
        <v>44682</v>
      </c>
      <c r="J238" s="65">
        <f>EFEITO!$J$238*EFEITO!$Y$137</f>
        <v>0</v>
      </c>
      <c r="K238" s="65">
        <f ca="1">EFEITO!$L$238*EFEITO!$Z$137</f>
        <v>1012.2125713649154</v>
      </c>
      <c r="L238" s="65">
        <f>EFEITO!$N$238*EFEITO!$AA$137</f>
        <v>71.162481031189856</v>
      </c>
      <c r="M238" s="65">
        <f>$J$238-EFEITO!$K$238*EFEITO!$Y$238</f>
        <v>0</v>
      </c>
      <c r="N238" s="65">
        <f ca="1">$K$238-EFEITO!$M$238*EFEITO!$Z$238</f>
        <v>30.366377140947407</v>
      </c>
      <c r="O238" s="65">
        <f>$L$238-EFEITO!$O$238*EFEITO!$AA$238</f>
        <v>2.134874430935696</v>
      </c>
      <c r="P238" s="48"/>
      <c r="Q238" s="48"/>
      <c r="R238" s="48"/>
      <c r="S238" s="48"/>
      <c r="T238" s="48"/>
      <c r="U238" s="48"/>
      <c r="V238" s="48"/>
      <c r="W238" s="48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spans="1:36" ht="11.25" customHeight="1" x14ac:dyDescent="0.2">
      <c r="A239" s="44" t="s">
        <v>21</v>
      </c>
      <c r="B239" s="44" t="s">
        <v>35</v>
      </c>
      <c r="C239" s="44" t="s">
        <v>36</v>
      </c>
      <c r="D239" s="44" t="s">
        <v>46</v>
      </c>
      <c r="E239" s="44" t="s">
        <v>47</v>
      </c>
      <c r="F239" s="44" t="s">
        <v>25</v>
      </c>
      <c r="G239" s="44" t="s">
        <v>25</v>
      </c>
      <c r="H239" s="44" t="s">
        <v>37</v>
      </c>
      <c r="I239" s="64">
        <v>44743</v>
      </c>
      <c r="J239" s="65">
        <f>EFEITO!$J$239*EFEITO!$Y$137</f>
        <v>0</v>
      </c>
      <c r="K239" s="65">
        <f ca="1">EFEITO!$L$239*EFEITO!$Z$137</f>
        <v>1499.0018232426992</v>
      </c>
      <c r="L239" s="65">
        <f>EFEITO!$N$239*EFEITO!$AA$137</f>
        <v>105.38565893168573</v>
      </c>
      <c r="M239" s="65">
        <f>$J$239-EFEITO!$K$239*EFEITO!$Y$239</f>
        <v>0</v>
      </c>
      <c r="N239" s="65">
        <f ca="1">$K$239-EFEITO!$M$239*EFEITO!$Z$239</f>
        <v>44.97005469728083</v>
      </c>
      <c r="O239" s="65">
        <f>$L$239-EFEITO!$O$239*EFEITO!$AA$239</f>
        <v>3.1615697679505672</v>
      </c>
      <c r="P239" s="48"/>
      <c r="Q239" s="48"/>
      <c r="R239" s="48"/>
      <c r="S239" s="48"/>
      <c r="T239" s="48"/>
      <c r="U239" s="48"/>
      <c r="V239" s="48"/>
      <c r="W239" s="48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spans="1:36" ht="11.25" customHeight="1" x14ac:dyDescent="0.2">
      <c r="A240" s="44" t="s">
        <v>21</v>
      </c>
      <c r="B240" s="44" t="s">
        <v>35</v>
      </c>
      <c r="C240" s="44" t="s">
        <v>36</v>
      </c>
      <c r="D240" s="44" t="s">
        <v>46</v>
      </c>
      <c r="E240" s="44" t="s">
        <v>47</v>
      </c>
      <c r="F240" s="44" t="s">
        <v>25</v>
      </c>
      <c r="G240" s="44" t="s">
        <v>25</v>
      </c>
      <c r="H240" s="44" t="s">
        <v>37</v>
      </c>
      <c r="I240" s="64">
        <v>44774</v>
      </c>
      <c r="J240" s="65">
        <f>EFEITO!$J$240*EFEITO!$Y$137</f>
        <v>0</v>
      </c>
      <c r="K240" s="65">
        <f ca="1">EFEITO!$L$240*EFEITO!$Z$137</f>
        <v>5524.6716681367516</v>
      </c>
      <c r="L240" s="65">
        <f>EFEITO!$N$240*EFEITO!$AA$137</f>
        <v>388.40590791832625</v>
      </c>
      <c r="M240" s="65">
        <f>$J$240-EFEITO!$K$240*EFEITO!$Y$240</f>
        <v>0</v>
      </c>
      <c r="N240" s="65">
        <f ca="1">$K$240-EFEITO!$M$240*EFEITO!$Z$240</f>
        <v>165.74015004410194</v>
      </c>
      <c r="O240" s="65">
        <f>$L$240-EFEITO!$O$240*EFEITO!$AA$240</f>
        <v>11.652177237549779</v>
      </c>
      <c r="P240" s="48"/>
      <c r="Q240" s="48"/>
      <c r="R240" s="48"/>
      <c r="S240" s="48"/>
      <c r="T240" s="48"/>
      <c r="U240" s="48"/>
      <c r="V240" s="48"/>
      <c r="W240" s="48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spans="1:36" ht="11.25" customHeight="1" x14ac:dyDescent="0.2">
      <c r="A241" s="44" t="s">
        <v>21</v>
      </c>
      <c r="B241" s="44" t="s">
        <v>22</v>
      </c>
      <c r="C241" s="44" t="s">
        <v>23</v>
      </c>
      <c r="D241" s="44" t="s">
        <v>24</v>
      </c>
      <c r="E241" s="44" t="s">
        <v>24</v>
      </c>
      <c r="F241" s="44" t="s">
        <v>25</v>
      </c>
      <c r="G241" s="44" t="s">
        <v>25</v>
      </c>
      <c r="H241" s="44" t="s">
        <v>25</v>
      </c>
      <c r="I241" s="64">
        <v>44440</v>
      </c>
      <c r="J241" s="65">
        <f>EFEITO!$J$241*EFEITO!$Y$241</f>
        <v>0</v>
      </c>
      <c r="K241" s="65">
        <f ca="1">EFEITO!$L$241*EFEITO!$Z$241</f>
        <v>313397.79119051609</v>
      </c>
      <c r="L241" s="65">
        <f>EFEITO!$N$241*EFEITO!$AA$241</f>
        <v>102391.13086539235</v>
      </c>
      <c r="M241" s="65">
        <f>$J$241-EFEITO!$K$241*EFEITO!$Y$241</f>
        <v>0</v>
      </c>
      <c r="N241" s="65">
        <f ca="1">$K$241-EFEITO!$M$241*EFEITO!$Z$241</f>
        <v>0</v>
      </c>
      <c r="O241" s="65">
        <f>$L$241-EFEITO!$O$241*EFEITO!$AA$241</f>
        <v>0</v>
      </c>
      <c r="P241" s="48"/>
      <c r="Q241" s="48"/>
      <c r="R241" s="48"/>
      <c r="S241" s="48"/>
      <c r="T241" s="48"/>
      <c r="U241" s="48"/>
      <c r="V241" s="48"/>
      <c r="W241" s="48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spans="1:36" ht="11.25" customHeight="1" x14ac:dyDescent="0.2">
      <c r="A242" s="44" t="s">
        <v>27</v>
      </c>
      <c r="B242" s="44" t="s">
        <v>22</v>
      </c>
      <c r="C242" s="44" t="s">
        <v>23</v>
      </c>
      <c r="D242" s="44" t="s">
        <v>24</v>
      </c>
      <c r="E242" s="44" t="s">
        <v>24</v>
      </c>
      <c r="F242" s="44" t="s">
        <v>25</v>
      </c>
      <c r="G242" s="44" t="s">
        <v>25</v>
      </c>
      <c r="H242" s="44" t="s">
        <v>25</v>
      </c>
      <c r="I242" s="64">
        <v>44440</v>
      </c>
      <c r="J242" s="65">
        <f>EFEITO!$J$242*EFEITO!$Y$242</f>
        <v>0</v>
      </c>
      <c r="K242" s="65">
        <f ca="1">EFEITO!$L$242*EFEITO!$Z$242</f>
        <v>-254.39279555487212</v>
      </c>
      <c r="L242" s="65">
        <f>EFEITO!$N$242*EFEITO!$AA$242</f>
        <v>-83.113432044061426</v>
      </c>
      <c r="M242" s="65">
        <f>$J$242-EFEITO!$K$242*EFEITO!$Y$242</f>
        <v>0</v>
      </c>
      <c r="N242" s="65">
        <f ca="1">$K$242-EFEITO!$M$242*EFEITO!$Z$242</f>
        <v>0</v>
      </c>
      <c r="O242" s="65">
        <f>$L$242-EFEITO!$O$242*EFEITO!$AA$242</f>
        <v>0</v>
      </c>
      <c r="P242" s="48"/>
      <c r="Q242" s="48"/>
      <c r="R242" s="48"/>
      <c r="S242" s="48"/>
      <c r="T242" s="48"/>
      <c r="U242" s="48"/>
      <c r="V242" s="48"/>
      <c r="W242" s="48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spans="1:36" ht="11.25" customHeight="1" x14ac:dyDescent="0.2">
      <c r="A243" s="44" t="s">
        <v>28</v>
      </c>
      <c r="B243" s="44" t="s">
        <v>22</v>
      </c>
      <c r="C243" s="44" t="s">
        <v>23</v>
      </c>
      <c r="D243" s="44" t="s">
        <v>24</v>
      </c>
      <c r="E243" s="44" t="s">
        <v>24</v>
      </c>
      <c r="F243" s="44" t="s">
        <v>25</v>
      </c>
      <c r="G243" s="44" t="s">
        <v>25</v>
      </c>
      <c r="H243" s="44" t="s">
        <v>25</v>
      </c>
      <c r="I243" s="64">
        <v>44440</v>
      </c>
      <c r="J243" s="65">
        <f>EFEITO!$J$243*EFEITO!$Y$243</f>
        <v>0</v>
      </c>
      <c r="K243" s="65">
        <f ca="1">EFEITO!$L$243*EFEITO!$Z$243</f>
        <v>4219.5118752900444</v>
      </c>
      <c r="L243" s="65">
        <f>EFEITO!$N$243*EFEITO!$AA$243</f>
        <v>1378.5693605870383</v>
      </c>
      <c r="M243" s="65">
        <f>$J$243-EFEITO!$K$243*EFEITO!$Y$243</f>
        <v>0</v>
      </c>
      <c r="N243" s="65">
        <f ca="1">$K$243-EFEITO!$M$243*EFEITO!$Z$243</f>
        <v>0</v>
      </c>
      <c r="O243" s="65">
        <f>$L$243-EFEITO!$O$243*EFEITO!$AA$243</f>
        <v>0</v>
      </c>
      <c r="P243" s="48"/>
      <c r="Q243" s="48"/>
      <c r="R243" s="48"/>
      <c r="S243" s="48"/>
      <c r="T243" s="48"/>
      <c r="U243" s="48"/>
      <c r="V243" s="48"/>
      <c r="W243" s="48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spans="1:36" ht="11.25" customHeight="1" x14ac:dyDescent="0.2">
      <c r="A244" s="44" t="s">
        <v>21</v>
      </c>
      <c r="B244" s="44" t="s">
        <v>22</v>
      </c>
      <c r="C244" s="44" t="s">
        <v>23</v>
      </c>
      <c r="D244" s="44" t="s">
        <v>24</v>
      </c>
      <c r="E244" s="44" t="s">
        <v>24</v>
      </c>
      <c r="F244" s="44" t="s">
        <v>25</v>
      </c>
      <c r="G244" s="44" t="s">
        <v>25</v>
      </c>
      <c r="H244" s="44" t="s">
        <v>25</v>
      </c>
      <c r="I244" s="64">
        <v>44470</v>
      </c>
      <c r="J244" s="65">
        <f>EFEITO!$J$244*EFEITO!$Y$244</f>
        <v>0</v>
      </c>
      <c r="K244" s="65">
        <f ca="1">EFEITO!$L$244*EFEITO!$Z$244</f>
        <v>325626.93505526171</v>
      </c>
      <c r="L244" s="65">
        <f>EFEITO!$N$244*EFEITO!$AA$244</f>
        <v>106386.55107901372</v>
      </c>
      <c r="M244" s="65">
        <f>$J$244-EFEITO!$K$244*EFEITO!$Y$244</f>
        <v>0</v>
      </c>
      <c r="N244" s="65">
        <f ca="1">$K$244-EFEITO!$M$244*EFEITO!$Z$244</f>
        <v>0</v>
      </c>
      <c r="O244" s="65">
        <f>$L$244-EFEITO!$O$244*EFEITO!$AA$244</f>
        <v>0</v>
      </c>
      <c r="P244" s="48"/>
      <c r="Q244" s="48"/>
      <c r="R244" s="48"/>
      <c r="S244" s="48"/>
      <c r="T244" s="48"/>
      <c r="U244" s="48"/>
      <c r="V244" s="48"/>
      <c r="W244" s="48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spans="1:36" ht="11.25" customHeight="1" x14ac:dyDescent="0.2">
      <c r="A245" s="44" t="s">
        <v>27</v>
      </c>
      <c r="B245" s="44" t="s">
        <v>22</v>
      </c>
      <c r="C245" s="44" t="s">
        <v>23</v>
      </c>
      <c r="D245" s="44" t="s">
        <v>24</v>
      </c>
      <c r="E245" s="44" t="s">
        <v>24</v>
      </c>
      <c r="F245" s="44" t="s">
        <v>25</v>
      </c>
      <c r="G245" s="44" t="s">
        <v>25</v>
      </c>
      <c r="H245" s="44" t="s">
        <v>25</v>
      </c>
      <c r="I245" s="64">
        <v>44470</v>
      </c>
      <c r="J245" s="65">
        <f>EFEITO!$J$245*EFEITO!$Y$245</f>
        <v>0</v>
      </c>
      <c r="K245" s="65">
        <f ca="1">EFEITO!$L$245*EFEITO!$Z$245</f>
        <v>-115.55751170629813</v>
      </c>
      <c r="L245" s="65">
        <f>EFEITO!$N$245*EFEITO!$AA$245</f>
        <v>-37.754140699753393</v>
      </c>
      <c r="M245" s="65">
        <f>$J$245-EFEITO!$K$245*EFEITO!$Y$245</f>
        <v>0</v>
      </c>
      <c r="N245" s="65">
        <f ca="1">$K$245-EFEITO!$M$245*EFEITO!$Z$245</f>
        <v>0</v>
      </c>
      <c r="O245" s="65">
        <f>$L$245-EFEITO!$O$245*EFEITO!$AA$245</f>
        <v>0</v>
      </c>
      <c r="P245" s="48"/>
      <c r="Q245" s="48"/>
      <c r="R245" s="48"/>
      <c r="S245" s="48"/>
      <c r="T245" s="48"/>
      <c r="U245" s="48"/>
      <c r="V245" s="48"/>
      <c r="W245" s="48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spans="1:36" ht="11.25" customHeight="1" x14ac:dyDescent="0.2">
      <c r="A246" s="44" t="s">
        <v>28</v>
      </c>
      <c r="B246" s="44" t="s">
        <v>22</v>
      </c>
      <c r="C246" s="44" t="s">
        <v>23</v>
      </c>
      <c r="D246" s="44" t="s">
        <v>24</v>
      </c>
      <c r="E246" s="44" t="s">
        <v>24</v>
      </c>
      <c r="F246" s="44" t="s">
        <v>25</v>
      </c>
      <c r="G246" s="44" t="s">
        <v>25</v>
      </c>
      <c r="H246" s="44" t="s">
        <v>25</v>
      </c>
      <c r="I246" s="64">
        <v>44470</v>
      </c>
      <c r="J246" s="65">
        <f>EFEITO!$J$246*EFEITO!$Y$246</f>
        <v>0</v>
      </c>
      <c r="K246" s="65">
        <f ca="1">EFEITO!$L$246*EFEITO!$Z$246</f>
        <v>4382.0406057834343</v>
      </c>
      <c r="L246" s="65">
        <f>EFEITO!$N$246*EFEITO!$AA$246</f>
        <v>1431.669608837411</v>
      </c>
      <c r="M246" s="65">
        <f>$J$246-EFEITO!$K$246*EFEITO!$Y$246</f>
        <v>0</v>
      </c>
      <c r="N246" s="65">
        <f ca="1">$K$246-EFEITO!$M$246*EFEITO!$Z$246</f>
        <v>0</v>
      </c>
      <c r="O246" s="65">
        <f>$L$246-EFEITO!$O$246*EFEITO!$AA$246</f>
        <v>0</v>
      </c>
      <c r="P246" s="48"/>
      <c r="Q246" s="48"/>
      <c r="R246" s="48"/>
      <c r="S246" s="48"/>
      <c r="T246" s="48"/>
      <c r="U246" s="48"/>
      <c r="V246" s="48"/>
      <c r="W246" s="48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spans="1:36" ht="11.25" customHeight="1" x14ac:dyDescent="0.2">
      <c r="A247" s="44" t="s">
        <v>28</v>
      </c>
      <c r="B247" s="44" t="s">
        <v>22</v>
      </c>
      <c r="C247" s="44" t="s">
        <v>23</v>
      </c>
      <c r="D247" s="44" t="s">
        <v>24</v>
      </c>
      <c r="E247" s="44" t="s">
        <v>24</v>
      </c>
      <c r="F247" s="44" t="s">
        <v>25</v>
      </c>
      <c r="G247" s="44" t="s">
        <v>25</v>
      </c>
      <c r="H247" s="44" t="s">
        <v>25</v>
      </c>
      <c r="I247" s="64">
        <v>44470</v>
      </c>
      <c r="J247" s="65">
        <f>EFEITO!$J$247*EFEITO!$Y$247</f>
        <v>0</v>
      </c>
      <c r="K247" s="65">
        <f ca="1">EFEITO!$L$247*EFEITO!$Z$247</f>
        <v>-127.19639777743606</v>
      </c>
      <c r="L247" s="65">
        <f>EFEITO!$N$247*EFEITO!$AA$247</f>
        <v>-41.556716022030713</v>
      </c>
      <c r="M247" s="65">
        <f>$J$247-EFEITO!$K$247*EFEITO!$Y$247</f>
        <v>0</v>
      </c>
      <c r="N247" s="65">
        <f ca="1">$K$247-EFEITO!$M$247*EFEITO!$Z$247</f>
        <v>0</v>
      </c>
      <c r="O247" s="65">
        <f>$L$247-EFEITO!$O$247*EFEITO!$AA$247</f>
        <v>0</v>
      </c>
      <c r="P247" s="48"/>
      <c r="Q247" s="48"/>
      <c r="R247" s="48"/>
      <c r="S247" s="48"/>
      <c r="T247" s="48"/>
      <c r="U247" s="48"/>
      <c r="V247" s="48"/>
      <c r="W247" s="48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spans="1:36" ht="11.25" customHeight="1" x14ac:dyDescent="0.2">
      <c r="A248" s="44" t="s">
        <v>21</v>
      </c>
      <c r="B248" s="44" t="s">
        <v>22</v>
      </c>
      <c r="C248" s="44" t="s">
        <v>23</v>
      </c>
      <c r="D248" s="44" t="s">
        <v>24</v>
      </c>
      <c r="E248" s="44" t="s">
        <v>24</v>
      </c>
      <c r="F248" s="44" t="s">
        <v>25</v>
      </c>
      <c r="G248" s="44" t="s">
        <v>25</v>
      </c>
      <c r="H248" s="44" t="s">
        <v>25</v>
      </c>
      <c r="I248" s="64">
        <v>44501</v>
      </c>
      <c r="J248" s="65">
        <f>EFEITO!$J$248*EFEITO!$Y$248</f>
        <v>0</v>
      </c>
      <c r="K248" s="65">
        <f ca="1">EFEITO!$L$248*EFEITO!$Z$248</f>
        <v>321966.50538588886</v>
      </c>
      <c r="L248" s="65">
        <f>EFEITO!$N$248*EFEITO!$AA$248</f>
        <v>105190.6411401575</v>
      </c>
      <c r="M248" s="65">
        <f>$J$248-EFEITO!$K$248*EFEITO!$Y$248</f>
        <v>0</v>
      </c>
      <c r="N248" s="65">
        <f ca="1">$K$248-EFEITO!$M$248*EFEITO!$Z$248</f>
        <v>0</v>
      </c>
      <c r="O248" s="65">
        <f>$L$248-EFEITO!$O$248*EFEITO!$AA$248</f>
        <v>0</v>
      </c>
      <c r="P248" s="48"/>
      <c r="Q248" s="48"/>
      <c r="R248" s="48"/>
      <c r="S248" s="48"/>
      <c r="T248" s="48"/>
      <c r="U248" s="48"/>
      <c r="V248" s="48"/>
      <c r="W248" s="48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spans="1:36" ht="11.25" customHeight="1" x14ac:dyDescent="0.2">
      <c r="A249" s="44" t="s">
        <v>27</v>
      </c>
      <c r="B249" s="44" t="s">
        <v>22</v>
      </c>
      <c r="C249" s="44" t="s">
        <v>23</v>
      </c>
      <c r="D249" s="44" t="s">
        <v>24</v>
      </c>
      <c r="E249" s="44" t="s">
        <v>24</v>
      </c>
      <c r="F249" s="44" t="s">
        <v>25</v>
      </c>
      <c r="G249" s="44" t="s">
        <v>25</v>
      </c>
      <c r="H249" s="44" t="s">
        <v>25</v>
      </c>
      <c r="I249" s="64">
        <v>44501</v>
      </c>
      <c r="J249" s="65">
        <f>EFEITO!$J$249*EFEITO!$Y$249</f>
        <v>0</v>
      </c>
      <c r="K249" s="65">
        <f ca="1">EFEITO!$L$249*EFEITO!$Z$249</f>
        <v>-58.610104858230336</v>
      </c>
      <c r="L249" s="65">
        <f>EFEITO!$N$249*EFEITO!$AA$249</f>
        <v>-19.148682872896504</v>
      </c>
      <c r="M249" s="65">
        <f>$J$249-EFEITO!$K$249*EFEITO!$Y$249</f>
        <v>0</v>
      </c>
      <c r="N249" s="65">
        <f ca="1">$K$249-EFEITO!$M$249*EFEITO!$Z$249</f>
        <v>0</v>
      </c>
      <c r="O249" s="65">
        <f>$L$249-EFEITO!$O$249*EFEITO!$AA$249</f>
        <v>0</v>
      </c>
      <c r="P249" s="48"/>
      <c r="Q249" s="48"/>
      <c r="R249" s="48"/>
      <c r="S249" s="48"/>
      <c r="T249" s="48"/>
      <c r="U249" s="48"/>
      <c r="V249" s="48"/>
      <c r="W249" s="48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36" ht="11.25" customHeight="1" x14ac:dyDescent="0.2">
      <c r="A250" s="44" t="s">
        <v>28</v>
      </c>
      <c r="B250" s="44" t="s">
        <v>22</v>
      </c>
      <c r="C250" s="44" t="s">
        <v>23</v>
      </c>
      <c r="D250" s="44" t="s">
        <v>24</v>
      </c>
      <c r="E250" s="44" t="s">
        <v>24</v>
      </c>
      <c r="F250" s="44" t="s">
        <v>25</v>
      </c>
      <c r="G250" s="44" t="s">
        <v>25</v>
      </c>
      <c r="H250" s="44" t="s">
        <v>25</v>
      </c>
      <c r="I250" s="64">
        <v>44501</v>
      </c>
      <c r="J250" s="65">
        <f>EFEITO!$J$250*EFEITO!$Y$250</f>
        <v>0</v>
      </c>
      <c r="K250" s="65">
        <f ca="1">EFEITO!$L$250*EFEITO!$Z$250</f>
        <v>3061.0270367092785</v>
      </c>
      <c r="L250" s="65">
        <f>EFEITO!$N$250*EFEITO!$AA$250</f>
        <v>1000.0773097589351</v>
      </c>
      <c r="M250" s="65">
        <f>$J$250-EFEITO!$K$250*EFEITO!$Y$250</f>
        <v>0</v>
      </c>
      <c r="N250" s="65">
        <f ca="1">$K$250-EFEITO!$M$250*EFEITO!$Z$250</f>
        <v>0</v>
      </c>
      <c r="O250" s="65">
        <f>$L$250-EFEITO!$O$250*EFEITO!$AA$250</f>
        <v>0</v>
      </c>
      <c r="P250" s="48"/>
      <c r="Q250" s="48"/>
      <c r="R250" s="48"/>
      <c r="S250" s="48"/>
      <c r="T250" s="48"/>
      <c r="U250" s="48"/>
      <c r="V250" s="48"/>
      <c r="W250" s="48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spans="1:36" ht="11.25" customHeight="1" x14ac:dyDescent="0.2">
      <c r="A251" s="44" t="s">
        <v>21</v>
      </c>
      <c r="B251" s="44" t="s">
        <v>22</v>
      </c>
      <c r="C251" s="44" t="s">
        <v>23</v>
      </c>
      <c r="D251" s="44" t="s">
        <v>24</v>
      </c>
      <c r="E251" s="44" t="s">
        <v>24</v>
      </c>
      <c r="F251" s="44" t="s">
        <v>25</v>
      </c>
      <c r="G251" s="44" t="s">
        <v>25</v>
      </c>
      <c r="H251" s="44" t="s">
        <v>25</v>
      </c>
      <c r="I251" s="64">
        <v>44531</v>
      </c>
      <c r="J251" s="65">
        <f>EFEITO!$J$251*EFEITO!$Y$251</f>
        <v>0</v>
      </c>
      <c r="K251" s="65">
        <f ca="1">EFEITO!$L$251*EFEITO!$Z$251</f>
        <v>459720.20417885209</v>
      </c>
      <c r="L251" s="65">
        <f>EFEITO!$N$251*EFEITO!$AA$251</f>
        <v>150196.56459201677</v>
      </c>
      <c r="M251" s="65">
        <f>$J$251-EFEITO!$K$251*EFEITO!$Y$251</f>
        <v>0</v>
      </c>
      <c r="N251" s="65">
        <f ca="1">$K$251-EFEITO!$M$251*EFEITO!$Z$251</f>
        <v>0</v>
      </c>
      <c r="O251" s="65">
        <f>$L$251-EFEITO!$O$251*EFEITO!$AA$251</f>
        <v>0</v>
      </c>
      <c r="P251" s="48"/>
      <c r="Q251" s="48"/>
      <c r="R251" s="48"/>
      <c r="S251" s="48"/>
      <c r="T251" s="48"/>
      <c r="U251" s="48"/>
      <c r="V251" s="48"/>
      <c r="W251" s="48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spans="1:36" ht="11.25" customHeight="1" x14ac:dyDescent="0.2">
      <c r="A252" s="44" t="s">
        <v>27</v>
      </c>
      <c r="B252" s="44" t="s">
        <v>22</v>
      </c>
      <c r="C252" s="44" t="s">
        <v>23</v>
      </c>
      <c r="D252" s="44" t="s">
        <v>24</v>
      </c>
      <c r="E252" s="44" t="s">
        <v>24</v>
      </c>
      <c r="F252" s="44" t="s">
        <v>25</v>
      </c>
      <c r="G252" s="44" t="s">
        <v>25</v>
      </c>
      <c r="H252" s="44" t="s">
        <v>25</v>
      </c>
      <c r="I252" s="64">
        <v>44531</v>
      </c>
      <c r="J252" s="65">
        <f>EFEITO!$J$252*EFEITO!$Y$252</f>
        <v>0</v>
      </c>
      <c r="K252" s="65">
        <f ca="1">EFEITO!$L$252*EFEITO!$Z$252</f>
        <v>-12237.041680293922</v>
      </c>
      <c r="L252" s="65">
        <f>EFEITO!$N$252*EFEITO!$AA$252</f>
        <v>-3998.0005325900725</v>
      </c>
      <c r="M252" s="65">
        <f>$J$252-EFEITO!$K$252*EFEITO!$Y$252</f>
        <v>0</v>
      </c>
      <c r="N252" s="65">
        <f ca="1">$K$252-EFEITO!$M$252*EFEITO!$Z$252</f>
        <v>0</v>
      </c>
      <c r="O252" s="65">
        <f>$L$252-EFEITO!$O$252*EFEITO!$AA$252</f>
        <v>0</v>
      </c>
      <c r="P252" s="48"/>
      <c r="Q252" s="48"/>
      <c r="R252" s="48"/>
      <c r="S252" s="48"/>
      <c r="T252" s="48"/>
      <c r="U252" s="48"/>
      <c r="V252" s="48"/>
      <c r="W252" s="48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spans="1:36" ht="11.25" customHeight="1" x14ac:dyDescent="0.2">
      <c r="A253" s="44" t="s">
        <v>28</v>
      </c>
      <c r="B253" s="44" t="s">
        <v>22</v>
      </c>
      <c r="C253" s="44" t="s">
        <v>23</v>
      </c>
      <c r="D253" s="44" t="s">
        <v>24</v>
      </c>
      <c r="E253" s="44" t="s">
        <v>24</v>
      </c>
      <c r="F253" s="44" t="s">
        <v>25</v>
      </c>
      <c r="G253" s="44" t="s">
        <v>25</v>
      </c>
      <c r="H253" s="44" t="s">
        <v>25</v>
      </c>
      <c r="I253" s="64">
        <v>44531</v>
      </c>
      <c r="J253" s="65">
        <f>EFEITO!$J$253*EFEITO!$Y$253</f>
        <v>0</v>
      </c>
      <c r="K253" s="65">
        <f ca="1">EFEITO!$L$253*EFEITO!$Z$253</f>
        <v>4127.6478102285628</v>
      </c>
      <c r="L253" s="65">
        <f>EFEITO!$N$253*EFEITO!$AA$253</f>
        <v>1348.5561767933496</v>
      </c>
      <c r="M253" s="65">
        <f>$J$253-EFEITO!$K$253*EFEITO!$Y$253</f>
        <v>0</v>
      </c>
      <c r="N253" s="65">
        <f ca="1">$K$253-EFEITO!$M$253*EFEITO!$Z$253</f>
        <v>0</v>
      </c>
      <c r="O253" s="65">
        <f>$L$253-EFEITO!$O$253*EFEITO!$AA$253</f>
        <v>0</v>
      </c>
      <c r="P253" s="48"/>
      <c r="Q253" s="48"/>
      <c r="R253" s="48"/>
      <c r="S253" s="48"/>
      <c r="T253" s="48"/>
      <c r="U253" s="48"/>
      <c r="V253" s="48"/>
      <c r="W253" s="48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spans="1:36" ht="11.25" customHeight="1" x14ac:dyDescent="0.2">
      <c r="A254" s="44" t="s">
        <v>21</v>
      </c>
      <c r="B254" s="44" t="s">
        <v>22</v>
      </c>
      <c r="C254" s="44" t="s">
        <v>23</v>
      </c>
      <c r="D254" s="44" t="s">
        <v>24</v>
      </c>
      <c r="E254" s="44" t="s">
        <v>24</v>
      </c>
      <c r="F254" s="44" t="s">
        <v>25</v>
      </c>
      <c r="G254" s="44" t="s">
        <v>25</v>
      </c>
      <c r="H254" s="44" t="s">
        <v>25</v>
      </c>
      <c r="I254" s="64">
        <v>44562</v>
      </c>
      <c r="J254" s="65">
        <f>EFEITO!$J$254*EFEITO!$Y$254</f>
        <v>0</v>
      </c>
      <c r="K254" s="65">
        <f ca="1">EFEITO!$L$254*EFEITO!$Z$254</f>
        <v>492957.12172749924</v>
      </c>
      <c r="L254" s="65">
        <f>EFEITO!$N$254*EFEITO!$AA$254</f>
        <v>161055.49745608721</v>
      </c>
      <c r="M254" s="65">
        <f>$J$254-EFEITO!$K$254*EFEITO!$Y$254</f>
        <v>0</v>
      </c>
      <c r="N254" s="65">
        <f ca="1">$K$254-EFEITO!$M$254*EFEITO!$Z$254</f>
        <v>0</v>
      </c>
      <c r="O254" s="65">
        <f>$L$254-EFEITO!$O$254*EFEITO!$AA$254</f>
        <v>0</v>
      </c>
      <c r="P254" s="48"/>
      <c r="Q254" s="48"/>
      <c r="R254" s="48"/>
      <c r="S254" s="48"/>
      <c r="T254" s="48"/>
      <c r="U254" s="48"/>
      <c r="V254" s="48"/>
      <c r="W254" s="48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spans="1:36" ht="11.25" customHeight="1" x14ac:dyDescent="0.2">
      <c r="A255" s="44" t="s">
        <v>27</v>
      </c>
      <c r="B255" s="44" t="s">
        <v>22</v>
      </c>
      <c r="C255" s="44" t="s">
        <v>23</v>
      </c>
      <c r="D255" s="44" t="s">
        <v>24</v>
      </c>
      <c r="E255" s="44" t="s">
        <v>24</v>
      </c>
      <c r="F255" s="44" t="s">
        <v>25</v>
      </c>
      <c r="G255" s="44" t="s">
        <v>25</v>
      </c>
      <c r="H255" s="44" t="s">
        <v>25</v>
      </c>
      <c r="I255" s="64">
        <v>44562</v>
      </c>
      <c r="J255" s="65">
        <f>EFEITO!$J$255*EFEITO!$Y$255</f>
        <v>0</v>
      </c>
      <c r="K255" s="65">
        <f ca="1">EFEITO!$L$255*EFEITO!$Z$255</f>
        <v>-415.67450254064073</v>
      </c>
      <c r="L255" s="65">
        <f>EFEITO!$N$255*EFEITO!$AA$255</f>
        <v>-135.80626150990429</v>
      </c>
      <c r="M255" s="65">
        <f>$J$255-EFEITO!$K$255*EFEITO!$Y$255</f>
        <v>0</v>
      </c>
      <c r="N255" s="65">
        <f ca="1">$K$255-EFEITO!$M$255*EFEITO!$Z$255</f>
        <v>0</v>
      </c>
      <c r="O255" s="65">
        <f>$L$255-EFEITO!$O$255*EFEITO!$AA$255</f>
        <v>0</v>
      </c>
      <c r="P255" s="48"/>
      <c r="Q255" s="48"/>
      <c r="R255" s="48"/>
      <c r="S255" s="48"/>
      <c r="T255" s="48"/>
      <c r="U255" s="48"/>
      <c r="V255" s="48"/>
      <c r="W255" s="48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spans="1:36" ht="11.25" customHeight="1" x14ac:dyDescent="0.2">
      <c r="A256" s="44" t="s">
        <v>28</v>
      </c>
      <c r="B256" s="44" t="s">
        <v>22</v>
      </c>
      <c r="C256" s="44" t="s">
        <v>23</v>
      </c>
      <c r="D256" s="44" t="s">
        <v>24</v>
      </c>
      <c r="E256" s="44" t="s">
        <v>24</v>
      </c>
      <c r="F256" s="44" t="s">
        <v>25</v>
      </c>
      <c r="G256" s="44" t="s">
        <v>25</v>
      </c>
      <c r="H256" s="44" t="s">
        <v>25</v>
      </c>
      <c r="I256" s="64">
        <v>44562</v>
      </c>
      <c r="J256" s="65">
        <f>EFEITO!$J$256*EFEITO!$Y$256</f>
        <v>0</v>
      </c>
      <c r="K256" s="65">
        <f ca="1">EFEITO!$L$256*EFEITO!$Z$256</f>
        <v>6358.988539866722</v>
      </c>
      <c r="L256" s="65">
        <f>EFEITO!$N$256*EFEITO!$AA$256</f>
        <v>2077.5641885785158</v>
      </c>
      <c r="M256" s="65">
        <f>$J$256-EFEITO!$K$256*EFEITO!$Y$256</f>
        <v>0</v>
      </c>
      <c r="N256" s="65">
        <f ca="1">$K$256-EFEITO!$M$256*EFEITO!$Z$256</f>
        <v>0</v>
      </c>
      <c r="O256" s="65">
        <f>$L$256-EFEITO!$O$256*EFEITO!$AA$256</f>
        <v>0</v>
      </c>
      <c r="P256" s="48"/>
      <c r="Q256" s="48"/>
      <c r="R256" s="48"/>
      <c r="S256" s="48"/>
      <c r="T256" s="48"/>
      <c r="U256" s="48"/>
      <c r="V256" s="48"/>
      <c r="W256" s="48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spans="1:36" ht="11.25" customHeight="1" x14ac:dyDescent="0.2">
      <c r="A257" s="44" t="s">
        <v>21</v>
      </c>
      <c r="B257" s="44" t="s">
        <v>22</v>
      </c>
      <c r="C257" s="44" t="s">
        <v>23</v>
      </c>
      <c r="D257" s="44" t="s">
        <v>24</v>
      </c>
      <c r="E257" s="44" t="s">
        <v>24</v>
      </c>
      <c r="F257" s="44" t="s">
        <v>25</v>
      </c>
      <c r="G257" s="44" t="s">
        <v>25</v>
      </c>
      <c r="H257" s="44" t="s">
        <v>25</v>
      </c>
      <c r="I257" s="64">
        <v>44593</v>
      </c>
      <c r="J257" s="65">
        <f>EFEITO!$J$257*EFEITO!$Y$257</f>
        <v>0</v>
      </c>
      <c r="K257" s="65">
        <f ca="1">EFEITO!$L$257*EFEITO!$Z$257</f>
        <v>483401.59626309492</v>
      </c>
      <c r="L257" s="65">
        <f>EFEITO!$N$257*EFEITO!$AA$257</f>
        <v>157933.58311649752</v>
      </c>
      <c r="M257" s="65">
        <f>$J$257-EFEITO!$K$257*EFEITO!$Y$257</f>
        <v>0</v>
      </c>
      <c r="N257" s="65">
        <f ca="1">$K$257-EFEITO!$M$257*EFEITO!$Z$257</f>
        <v>0</v>
      </c>
      <c r="O257" s="65">
        <f>$L$257-EFEITO!$O$257*EFEITO!$AA$257</f>
        <v>0</v>
      </c>
      <c r="P257" s="48"/>
      <c r="Q257" s="48"/>
      <c r="R257" s="48"/>
      <c r="S257" s="48"/>
      <c r="T257" s="48"/>
      <c r="U257" s="48"/>
      <c r="V257" s="48"/>
      <c r="W257" s="48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spans="1:36" ht="11.25" customHeight="1" x14ac:dyDescent="0.2">
      <c r="A258" s="44" t="s">
        <v>27</v>
      </c>
      <c r="B258" s="44" t="s">
        <v>22</v>
      </c>
      <c r="C258" s="44" t="s">
        <v>23</v>
      </c>
      <c r="D258" s="44" t="s">
        <v>24</v>
      </c>
      <c r="E258" s="44" t="s">
        <v>24</v>
      </c>
      <c r="F258" s="44" t="s">
        <v>25</v>
      </c>
      <c r="G258" s="44" t="s">
        <v>25</v>
      </c>
      <c r="H258" s="44" t="s">
        <v>25</v>
      </c>
      <c r="I258" s="64">
        <v>44593</v>
      </c>
      <c r="J258" s="65">
        <f>EFEITO!$J$258*EFEITO!$Y$258</f>
        <v>0</v>
      </c>
      <c r="K258" s="65">
        <f ca="1">EFEITO!$L$258*EFEITO!$Z$258</f>
        <v>-950.23191280790468</v>
      </c>
      <c r="L258" s="65">
        <f>EFEITO!$N$258*EFEITO!$AA$258</f>
        <v>-310.45311381164123</v>
      </c>
      <c r="M258" s="65">
        <f>$J$258-EFEITO!$K$258*EFEITO!$Y$258</f>
        <v>0</v>
      </c>
      <c r="N258" s="65">
        <f ca="1">$K$258-EFEITO!$M$258*EFEITO!$Z$258</f>
        <v>0</v>
      </c>
      <c r="O258" s="65">
        <f>$L$258-EFEITO!$O$258*EFEITO!$AA$258</f>
        <v>0</v>
      </c>
      <c r="P258" s="48"/>
      <c r="Q258" s="48"/>
      <c r="R258" s="48"/>
      <c r="S258" s="48"/>
      <c r="T258" s="48"/>
      <c r="U258" s="48"/>
      <c r="V258" s="48"/>
      <c r="W258" s="48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spans="1:36" ht="11.25" customHeight="1" x14ac:dyDescent="0.2">
      <c r="A259" s="44" t="s">
        <v>28</v>
      </c>
      <c r="B259" s="44" t="s">
        <v>22</v>
      </c>
      <c r="C259" s="44" t="s">
        <v>23</v>
      </c>
      <c r="D259" s="44" t="s">
        <v>24</v>
      </c>
      <c r="E259" s="44" t="s">
        <v>24</v>
      </c>
      <c r="F259" s="44" t="s">
        <v>25</v>
      </c>
      <c r="G259" s="44" t="s">
        <v>25</v>
      </c>
      <c r="H259" s="44" t="s">
        <v>25</v>
      </c>
      <c r="I259" s="64">
        <v>44593</v>
      </c>
      <c r="J259" s="65">
        <f>EFEITO!$J$259*EFEITO!$Y$259</f>
        <v>0</v>
      </c>
      <c r="K259" s="65">
        <f ca="1">EFEITO!$L$259*EFEITO!$Z$259</f>
        <v>8828.5107594606689</v>
      </c>
      <c r="L259" s="65">
        <f>EFEITO!$N$259*EFEITO!$AA$259</f>
        <v>2884.3891882088574</v>
      </c>
      <c r="M259" s="65">
        <f>$J$259-EFEITO!$K$259*EFEITO!$Y$259</f>
        <v>0</v>
      </c>
      <c r="N259" s="65">
        <f ca="1">$K$259-EFEITO!$M$259*EFEITO!$Z$259</f>
        <v>0</v>
      </c>
      <c r="O259" s="65">
        <f>$L$259-EFEITO!$O$259*EFEITO!$AA$259</f>
        <v>0</v>
      </c>
      <c r="P259" s="48"/>
      <c r="Q259" s="48"/>
      <c r="R259" s="48"/>
      <c r="S259" s="48"/>
      <c r="T259" s="48"/>
      <c r="U259" s="48"/>
      <c r="V259" s="48"/>
      <c r="W259" s="48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spans="1:36" ht="11.25" customHeight="1" x14ac:dyDescent="0.2">
      <c r="A260" s="44" t="s">
        <v>21</v>
      </c>
      <c r="B260" s="44" t="s">
        <v>22</v>
      </c>
      <c r="C260" s="44" t="s">
        <v>23</v>
      </c>
      <c r="D260" s="44" t="s">
        <v>24</v>
      </c>
      <c r="E260" s="44" t="s">
        <v>24</v>
      </c>
      <c r="F260" s="44" t="s">
        <v>25</v>
      </c>
      <c r="G260" s="44" t="s">
        <v>25</v>
      </c>
      <c r="H260" s="44" t="s">
        <v>25</v>
      </c>
      <c r="I260" s="64">
        <v>44621</v>
      </c>
      <c r="J260" s="65">
        <f>EFEITO!$J$260*EFEITO!$Y$260</f>
        <v>0</v>
      </c>
      <c r="K260" s="65">
        <f ca="1">EFEITO!$L$260*EFEITO!$Z$260</f>
        <v>439663.49375676364</v>
      </c>
      <c r="L260" s="65">
        <f>EFEITO!$N$260*EFEITO!$AA$260</f>
        <v>143643.77666790236</v>
      </c>
      <c r="M260" s="65">
        <f>$J$260-EFEITO!$K$260*EFEITO!$Y$260</f>
        <v>0</v>
      </c>
      <c r="N260" s="65">
        <f ca="1">$K$260-EFEITO!$M$260*EFEITO!$Z$260</f>
        <v>0</v>
      </c>
      <c r="O260" s="65">
        <f>$L$260-EFEITO!$O$260*EFEITO!$AA$260</f>
        <v>0</v>
      </c>
      <c r="P260" s="48"/>
      <c r="Q260" s="48"/>
      <c r="R260" s="48"/>
      <c r="S260" s="48"/>
      <c r="T260" s="48"/>
      <c r="U260" s="48"/>
      <c r="V260" s="48"/>
      <c r="W260" s="48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spans="1:36" ht="11.25" customHeight="1" x14ac:dyDescent="0.2">
      <c r="A261" s="44" t="s">
        <v>27</v>
      </c>
      <c r="B261" s="44" t="s">
        <v>22</v>
      </c>
      <c r="C261" s="44" t="s">
        <v>23</v>
      </c>
      <c r="D261" s="44" t="s">
        <v>24</v>
      </c>
      <c r="E261" s="44" t="s">
        <v>24</v>
      </c>
      <c r="F261" s="44" t="s">
        <v>25</v>
      </c>
      <c r="G261" s="44" t="s">
        <v>25</v>
      </c>
      <c r="H261" s="44" t="s">
        <v>25</v>
      </c>
      <c r="I261" s="64">
        <v>44621</v>
      </c>
      <c r="J261" s="65">
        <f>EFEITO!$J$261*EFEITO!$Y$261</f>
        <v>0</v>
      </c>
      <c r="K261" s="65">
        <f ca="1">EFEITO!$L$261*EFEITO!$Z$261</f>
        <v>-1034.6138368236548</v>
      </c>
      <c r="L261" s="65">
        <f>EFEITO!$N$261*EFEITO!$AA$261</f>
        <v>-338.02178489815174</v>
      </c>
      <c r="M261" s="65">
        <f>$J$261-EFEITO!$K$261*EFEITO!$Y$261</f>
        <v>0</v>
      </c>
      <c r="N261" s="65">
        <f ca="1">$K$261-EFEITO!$M$261*EFEITO!$Z$261</f>
        <v>0</v>
      </c>
      <c r="O261" s="65">
        <f>$L$261-EFEITO!$O$261*EFEITO!$AA$261</f>
        <v>0</v>
      </c>
      <c r="P261" s="48"/>
      <c r="Q261" s="48"/>
      <c r="R261" s="48"/>
      <c r="S261" s="48"/>
      <c r="T261" s="48"/>
      <c r="U261" s="48"/>
      <c r="V261" s="48"/>
      <c r="W261" s="48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spans="1:36" ht="11.25" customHeight="1" x14ac:dyDescent="0.2">
      <c r="A262" s="44" t="s">
        <v>28</v>
      </c>
      <c r="B262" s="44" t="s">
        <v>22</v>
      </c>
      <c r="C262" s="44" t="s">
        <v>23</v>
      </c>
      <c r="D262" s="44" t="s">
        <v>24</v>
      </c>
      <c r="E262" s="44" t="s">
        <v>24</v>
      </c>
      <c r="F262" s="44" t="s">
        <v>25</v>
      </c>
      <c r="G262" s="44" t="s">
        <v>25</v>
      </c>
      <c r="H262" s="44" t="s">
        <v>25</v>
      </c>
      <c r="I262" s="64">
        <v>44621</v>
      </c>
      <c r="J262" s="65">
        <f>EFEITO!$J$262*EFEITO!$Y$262</f>
        <v>0</v>
      </c>
      <c r="K262" s="65">
        <f ca="1">EFEITO!$L$262*EFEITO!$Z$262</f>
        <v>11591.083503345768</v>
      </c>
      <c r="L262" s="65">
        <f>EFEITO!$N$262*EFEITO!$AA$262</f>
        <v>3786.9576022036813</v>
      </c>
      <c r="M262" s="65">
        <f>$J$262-EFEITO!$K$262*EFEITO!$Y$262</f>
        <v>0</v>
      </c>
      <c r="N262" s="65">
        <f ca="1">$K$262-EFEITO!$M$262*EFEITO!$Z$262</f>
        <v>0</v>
      </c>
      <c r="O262" s="65">
        <f>$L$262-EFEITO!$O$262*EFEITO!$AA$262</f>
        <v>0</v>
      </c>
      <c r="P262" s="48"/>
      <c r="Q262" s="48"/>
      <c r="R262" s="48"/>
      <c r="S262" s="48"/>
      <c r="T262" s="48"/>
      <c r="U262" s="48"/>
      <c r="V262" s="48"/>
      <c r="W262" s="48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spans="1:36" ht="11.25" customHeight="1" x14ac:dyDescent="0.2">
      <c r="A263" s="44" t="s">
        <v>28</v>
      </c>
      <c r="B263" s="44" t="s">
        <v>22</v>
      </c>
      <c r="C263" s="44" t="s">
        <v>23</v>
      </c>
      <c r="D263" s="44" t="s">
        <v>24</v>
      </c>
      <c r="E263" s="44" t="s">
        <v>24</v>
      </c>
      <c r="F263" s="44" t="s">
        <v>25</v>
      </c>
      <c r="G263" s="44" t="s">
        <v>25</v>
      </c>
      <c r="H263" s="44" t="s">
        <v>25</v>
      </c>
      <c r="I263" s="64">
        <v>44621</v>
      </c>
      <c r="J263" s="65">
        <f>EFEITO!$J$263*EFEITO!$Y$263</f>
        <v>0</v>
      </c>
      <c r="K263" s="65">
        <f ca="1">EFEITO!$L$263*EFEITO!$Z$263</f>
        <v>-29.097215177844856</v>
      </c>
      <c r="L263" s="65">
        <f>EFEITO!$N$263*EFEITO!$AA$263</f>
        <v>-9.5064383056933011</v>
      </c>
      <c r="M263" s="65">
        <f>$J$263-EFEITO!$K$263*EFEITO!$Y$263</f>
        <v>0</v>
      </c>
      <c r="N263" s="65">
        <f ca="1">$K$263-EFEITO!$M$263*EFEITO!$Z$263</f>
        <v>0</v>
      </c>
      <c r="O263" s="65">
        <f>$L$263-EFEITO!$O$263*EFEITO!$AA$263</f>
        <v>0</v>
      </c>
      <c r="P263" s="48"/>
      <c r="Q263" s="48"/>
      <c r="R263" s="48"/>
      <c r="S263" s="48"/>
      <c r="T263" s="48"/>
      <c r="U263" s="48"/>
      <c r="V263" s="48"/>
      <c r="W263" s="48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spans="1:36" ht="11.25" customHeight="1" x14ac:dyDescent="0.2">
      <c r="A264" s="44" t="s">
        <v>21</v>
      </c>
      <c r="B264" s="44" t="s">
        <v>22</v>
      </c>
      <c r="C264" s="44" t="s">
        <v>23</v>
      </c>
      <c r="D264" s="44" t="s">
        <v>24</v>
      </c>
      <c r="E264" s="44" t="s">
        <v>24</v>
      </c>
      <c r="F264" s="44" t="s">
        <v>25</v>
      </c>
      <c r="G264" s="44" t="s">
        <v>25</v>
      </c>
      <c r="H264" s="44" t="s">
        <v>25</v>
      </c>
      <c r="I264" s="64">
        <v>44652</v>
      </c>
      <c r="J264" s="65">
        <f>EFEITO!$J$264*EFEITO!$Y$264</f>
        <v>0</v>
      </c>
      <c r="K264" s="65">
        <f ca="1">EFEITO!$L$264*EFEITO!$Z$264</f>
        <v>403046.31115345604</v>
      </c>
      <c r="L264" s="65">
        <f>EFEITO!$N$264*EFEITO!$AA$264</f>
        <v>131680.4672852334</v>
      </c>
      <c r="M264" s="65">
        <f>$J$264-EFEITO!$K$264*EFEITO!$Y$264</f>
        <v>0</v>
      </c>
      <c r="N264" s="65">
        <f ca="1">$K$264-EFEITO!$M$264*EFEITO!$Z$264</f>
        <v>0</v>
      </c>
      <c r="O264" s="65">
        <f>$L$264-EFEITO!$O$264*EFEITO!$AA$264</f>
        <v>0</v>
      </c>
      <c r="P264" s="48"/>
      <c r="Q264" s="48"/>
      <c r="R264" s="48"/>
      <c r="S264" s="48"/>
      <c r="T264" s="48"/>
      <c r="U264" s="48"/>
      <c r="V264" s="48"/>
      <c r="W264" s="48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spans="1:36" ht="11.25" customHeight="1" x14ac:dyDescent="0.2">
      <c r="A265" s="44" t="s">
        <v>27</v>
      </c>
      <c r="B265" s="44" t="s">
        <v>22</v>
      </c>
      <c r="C265" s="44" t="s">
        <v>23</v>
      </c>
      <c r="D265" s="44" t="s">
        <v>24</v>
      </c>
      <c r="E265" s="44" t="s">
        <v>24</v>
      </c>
      <c r="F265" s="44" t="s">
        <v>25</v>
      </c>
      <c r="G265" s="44" t="s">
        <v>25</v>
      </c>
      <c r="H265" s="44" t="s">
        <v>25</v>
      </c>
      <c r="I265" s="64">
        <v>44652</v>
      </c>
      <c r="J265" s="65">
        <f>EFEITO!$J$265*EFEITO!$Y$265</f>
        <v>0</v>
      </c>
      <c r="K265" s="65">
        <f ca="1">EFEITO!$L$265*EFEITO!$Z$265</f>
        <v>99.346206107213135</v>
      </c>
      <c r="L265" s="65">
        <f>EFEITO!$N$265*EFEITO!$AA$265</f>
        <v>32.457696500867122</v>
      </c>
      <c r="M265" s="65">
        <f>$J$265-EFEITO!$K$265*EFEITO!$Y$265</f>
        <v>0</v>
      </c>
      <c r="N265" s="65">
        <f ca="1">$K$265-EFEITO!$M$265*EFEITO!$Z$265</f>
        <v>0</v>
      </c>
      <c r="O265" s="65">
        <f>$L$265-EFEITO!$O$265*EFEITO!$AA$265</f>
        <v>0</v>
      </c>
      <c r="P265" s="48"/>
      <c r="Q265" s="48"/>
      <c r="R265" s="48"/>
      <c r="S265" s="48"/>
      <c r="T265" s="48"/>
      <c r="U265" s="48"/>
      <c r="V265" s="48"/>
      <c r="W265" s="48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spans="1:36" ht="11.25" customHeight="1" x14ac:dyDescent="0.2">
      <c r="A266" s="44" t="s">
        <v>28</v>
      </c>
      <c r="B266" s="44" t="s">
        <v>22</v>
      </c>
      <c r="C266" s="44" t="s">
        <v>23</v>
      </c>
      <c r="D266" s="44" t="s">
        <v>24</v>
      </c>
      <c r="E266" s="44" t="s">
        <v>24</v>
      </c>
      <c r="F266" s="44" t="s">
        <v>25</v>
      </c>
      <c r="G266" s="44" t="s">
        <v>25</v>
      </c>
      <c r="H266" s="44" t="s">
        <v>25</v>
      </c>
      <c r="I266" s="64">
        <v>44652</v>
      </c>
      <c r="J266" s="65">
        <f>EFEITO!$J$266*EFEITO!$Y$266</f>
        <v>0</v>
      </c>
      <c r="K266" s="65">
        <f ca="1">EFEITO!$L$266*EFEITO!$Z$266</f>
        <v>7098.4734798865229</v>
      </c>
      <c r="L266" s="65">
        <f>EFEITO!$N$266*EFEITO!$AA$266</f>
        <v>2319.1635278046356</v>
      </c>
      <c r="M266" s="65">
        <f>$J$266-EFEITO!$K$266*EFEITO!$Y$266</f>
        <v>0</v>
      </c>
      <c r="N266" s="65">
        <f ca="1">$K$266-EFEITO!$M$266*EFEITO!$Z$266</f>
        <v>0</v>
      </c>
      <c r="O266" s="65">
        <f>$L$266-EFEITO!$O$266*EFEITO!$AA$266</f>
        <v>0</v>
      </c>
      <c r="P266" s="48"/>
      <c r="Q266" s="48"/>
      <c r="R266" s="48"/>
      <c r="S266" s="48"/>
      <c r="T266" s="48"/>
      <c r="U266" s="48"/>
      <c r="V266" s="48"/>
      <c r="W266" s="48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spans="1:36" ht="11.25" customHeight="1" x14ac:dyDescent="0.2">
      <c r="A267" s="44" t="s">
        <v>28</v>
      </c>
      <c r="B267" s="44" t="s">
        <v>22</v>
      </c>
      <c r="C267" s="44" t="s">
        <v>23</v>
      </c>
      <c r="D267" s="44" t="s">
        <v>24</v>
      </c>
      <c r="E267" s="44" t="s">
        <v>24</v>
      </c>
      <c r="F267" s="44" t="s">
        <v>25</v>
      </c>
      <c r="G267" s="44" t="s">
        <v>25</v>
      </c>
      <c r="H267" s="44" t="s">
        <v>25</v>
      </c>
      <c r="I267" s="64">
        <v>44652</v>
      </c>
      <c r="J267" s="65">
        <f>EFEITO!$J$267*EFEITO!$Y$267</f>
        <v>0</v>
      </c>
      <c r="K267" s="65">
        <f ca="1">EFEITO!$L$267*EFEITO!$Z$267</f>
        <v>-85.213273020831352</v>
      </c>
      <c r="L267" s="65">
        <f>EFEITO!$N$267*EFEITO!$AA$267</f>
        <v>-27.840283609530378</v>
      </c>
      <c r="M267" s="65">
        <f>$J$267-EFEITO!$K$267*EFEITO!$Y$267</f>
        <v>0</v>
      </c>
      <c r="N267" s="65">
        <f ca="1">$K$267-EFEITO!$M$267*EFEITO!$Z$267</f>
        <v>0</v>
      </c>
      <c r="O267" s="65">
        <f>$L$267-EFEITO!$O$267*EFEITO!$AA$267</f>
        <v>0</v>
      </c>
      <c r="P267" s="48"/>
      <c r="Q267" s="48"/>
      <c r="R267" s="48"/>
      <c r="S267" s="48"/>
      <c r="T267" s="48"/>
      <c r="U267" s="48"/>
      <c r="V267" s="48"/>
      <c r="W267" s="48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spans="1:36" ht="11.25" customHeight="1" x14ac:dyDescent="0.2">
      <c r="A268" s="44" t="s">
        <v>21</v>
      </c>
      <c r="B268" s="44" t="s">
        <v>22</v>
      </c>
      <c r="C268" s="44" t="s">
        <v>23</v>
      </c>
      <c r="D268" s="44" t="s">
        <v>24</v>
      </c>
      <c r="E268" s="44" t="s">
        <v>24</v>
      </c>
      <c r="F268" s="44" t="s">
        <v>25</v>
      </c>
      <c r="G268" s="44" t="s">
        <v>25</v>
      </c>
      <c r="H268" s="44" t="s">
        <v>25</v>
      </c>
      <c r="I268" s="64">
        <v>44682</v>
      </c>
      <c r="J268" s="65">
        <f>EFEITO!$J$268*EFEITO!$Y$268</f>
        <v>0</v>
      </c>
      <c r="K268" s="65">
        <f ca="1">EFEITO!$L$268*EFEITO!$Z$268</f>
        <v>392274.93776912044</v>
      </c>
      <c r="L268" s="65">
        <f>EFEITO!$N$268*EFEITO!$AA$268</f>
        <v>128161.31963072724</v>
      </c>
      <c r="M268" s="65">
        <f>$J$268-EFEITO!$K$268*EFEITO!$Y$268</f>
        <v>0</v>
      </c>
      <c r="N268" s="65">
        <f ca="1">$K$268-EFEITO!$M$268*EFEITO!$Z$268</f>
        <v>0</v>
      </c>
      <c r="O268" s="65">
        <f>$L$268-EFEITO!$O$268*EFEITO!$AA$268</f>
        <v>0</v>
      </c>
      <c r="P268" s="48"/>
      <c r="Q268" s="48"/>
      <c r="R268" s="48"/>
      <c r="S268" s="48"/>
      <c r="T268" s="48"/>
      <c r="U268" s="48"/>
      <c r="V268" s="48"/>
      <c r="W268" s="48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spans="1:36" ht="11.25" customHeight="1" x14ac:dyDescent="0.2">
      <c r="A269" s="44" t="s">
        <v>28</v>
      </c>
      <c r="B269" s="44" t="s">
        <v>22</v>
      </c>
      <c r="C269" s="44" t="s">
        <v>23</v>
      </c>
      <c r="D269" s="44" t="s">
        <v>24</v>
      </c>
      <c r="E269" s="44" t="s">
        <v>24</v>
      </c>
      <c r="F269" s="44" t="s">
        <v>25</v>
      </c>
      <c r="G269" s="44" t="s">
        <v>25</v>
      </c>
      <c r="H269" s="44" t="s">
        <v>25</v>
      </c>
      <c r="I269" s="64">
        <v>44682</v>
      </c>
      <c r="J269" s="65">
        <f>EFEITO!$J$269*EFEITO!$Y$269</f>
        <v>0</v>
      </c>
      <c r="K269" s="65">
        <f ca="1">EFEITO!$L$269*EFEITO!$Z$269</f>
        <v>6419.2613427351143</v>
      </c>
      <c r="L269" s="65">
        <f>EFEITO!$N$269*EFEITO!$AA$269</f>
        <v>2097.2560964974518</v>
      </c>
      <c r="M269" s="65">
        <f>$J$269-EFEITO!$K$269*EFEITO!$Y$269</f>
        <v>0</v>
      </c>
      <c r="N269" s="65">
        <f ca="1">$K$269-EFEITO!$M$269*EFEITO!$Z$269</f>
        <v>0</v>
      </c>
      <c r="O269" s="65">
        <f>$L$269-EFEITO!$O$269*EFEITO!$AA$269</f>
        <v>0</v>
      </c>
      <c r="P269" s="48"/>
      <c r="Q269" s="48"/>
      <c r="R269" s="48"/>
      <c r="S269" s="48"/>
      <c r="T269" s="48"/>
      <c r="U269" s="48"/>
      <c r="V269" s="48"/>
      <c r="W269" s="48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spans="1:36" ht="11.25" customHeight="1" x14ac:dyDescent="0.2">
      <c r="A270" s="44" t="s">
        <v>21</v>
      </c>
      <c r="B270" s="44" t="s">
        <v>22</v>
      </c>
      <c r="C270" s="44" t="s">
        <v>23</v>
      </c>
      <c r="D270" s="44" t="s">
        <v>24</v>
      </c>
      <c r="E270" s="44" t="s">
        <v>24</v>
      </c>
      <c r="F270" s="44" t="s">
        <v>25</v>
      </c>
      <c r="G270" s="44" t="s">
        <v>25</v>
      </c>
      <c r="H270" s="44" t="s">
        <v>25</v>
      </c>
      <c r="I270" s="64">
        <v>44713</v>
      </c>
      <c r="J270" s="65">
        <f>EFEITO!$J$270*EFEITO!$Y$270</f>
        <v>0</v>
      </c>
      <c r="K270" s="65">
        <f ca="1">EFEITO!$L$270*EFEITO!$Z$270</f>
        <v>397576.45037452376</v>
      </c>
      <c r="L270" s="65">
        <f>EFEITO!$N$270*EFEITO!$AA$270</f>
        <v>129893.39269002457</v>
      </c>
      <c r="M270" s="65">
        <f>$J$270-EFEITO!$K$270*EFEITO!$Y$270</f>
        <v>0</v>
      </c>
      <c r="N270" s="65">
        <f ca="1">$K$270-EFEITO!$M$270*EFEITO!$Z$270</f>
        <v>0</v>
      </c>
      <c r="O270" s="65">
        <f>$L$270-EFEITO!$O$270*EFEITO!$AA$270</f>
        <v>0</v>
      </c>
      <c r="P270" s="48"/>
      <c r="Q270" s="48"/>
      <c r="R270" s="48"/>
      <c r="S270" s="48"/>
      <c r="T270" s="48"/>
      <c r="U270" s="48"/>
      <c r="V270" s="48"/>
      <c r="W270" s="48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spans="1:36" ht="11.25" customHeight="1" x14ac:dyDescent="0.2">
      <c r="A271" s="44" t="s">
        <v>27</v>
      </c>
      <c r="B271" s="44" t="s">
        <v>22</v>
      </c>
      <c r="C271" s="44" t="s">
        <v>23</v>
      </c>
      <c r="D271" s="44" t="s">
        <v>24</v>
      </c>
      <c r="E271" s="44" t="s">
        <v>24</v>
      </c>
      <c r="F271" s="44" t="s">
        <v>25</v>
      </c>
      <c r="G271" s="44" t="s">
        <v>25</v>
      </c>
      <c r="H271" s="44" t="s">
        <v>25</v>
      </c>
      <c r="I271" s="64">
        <v>44713</v>
      </c>
      <c r="J271" s="65">
        <f>EFEITO!$J$271*EFEITO!$Y$271</f>
        <v>0</v>
      </c>
      <c r="K271" s="65">
        <f ca="1">EFEITO!$L$271*EFEITO!$Z$271</f>
        <v>245.66363100151867</v>
      </c>
      <c r="L271" s="65">
        <f>EFEITO!$N$271*EFEITO!$AA$271</f>
        <v>80.261500552353425</v>
      </c>
      <c r="M271" s="65">
        <f>$J$271-EFEITO!$K$271*EFEITO!$Y$271</f>
        <v>0</v>
      </c>
      <c r="N271" s="65">
        <f ca="1">$K$271-EFEITO!$M$271*EFEITO!$Z$271</f>
        <v>0</v>
      </c>
      <c r="O271" s="65">
        <f>$L$271-EFEITO!$O$271*EFEITO!$AA$271</f>
        <v>0</v>
      </c>
      <c r="P271" s="48"/>
      <c r="Q271" s="48"/>
      <c r="R271" s="48"/>
      <c r="S271" s="48"/>
      <c r="T271" s="48"/>
      <c r="U271" s="48"/>
      <c r="V271" s="48"/>
      <c r="W271" s="48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spans="1:36" ht="11.25" customHeight="1" x14ac:dyDescent="0.2">
      <c r="A272" s="44" t="s">
        <v>28</v>
      </c>
      <c r="B272" s="44" t="s">
        <v>22</v>
      </c>
      <c r="C272" s="44" t="s">
        <v>23</v>
      </c>
      <c r="D272" s="44" t="s">
        <v>24</v>
      </c>
      <c r="E272" s="44" t="s">
        <v>24</v>
      </c>
      <c r="F272" s="44" t="s">
        <v>25</v>
      </c>
      <c r="G272" s="44" t="s">
        <v>25</v>
      </c>
      <c r="H272" s="44" t="s">
        <v>25</v>
      </c>
      <c r="I272" s="64">
        <v>44713</v>
      </c>
      <c r="J272" s="65">
        <f>EFEITO!$J$272*EFEITO!$Y$272</f>
        <v>0</v>
      </c>
      <c r="K272" s="65">
        <f ca="1">EFEITO!$L$272*EFEITO!$Z$272</f>
        <v>8524.6526981034604</v>
      </c>
      <c r="L272" s="65">
        <f>EFEITO!$N$272*EFEITO!$AA$272</f>
        <v>2785.1148110451172</v>
      </c>
      <c r="M272" s="65">
        <f>$J$272-EFEITO!$K$272*EFEITO!$Y$272</f>
        <v>0</v>
      </c>
      <c r="N272" s="65">
        <f ca="1">$K$272-EFEITO!$M$272*EFEITO!$Z$272</f>
        <v>0</v>
      </c>
      <c r="O272" s="65">
        <f>$L$272-EFEITO!$O$272*EFEITO!$AA$272</f>
        <v>0</v>
      </c>
      <c r="P272" s="48"/>
      <c r="Q272" s="48"/>
      <c r="R272" s="48"/>
      <c r="S272" s="48"/>
      <c r="T272" s="48"/>
      <c r="U272" s="48"/>
      <c r="V272" s="48"/>
      <c r="W272" s="48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spans="1:36" ht="11.25" customHeight="1" x14ac:dyDescent="0.2">
      <c r="A273" s="44" t="s">
        <v>21</v>
      </c>
      <c r="B273" s="44" t="s">
        <v>22</v>
      </c>
      <c r="C273" s="44" t="s">
        <v>23</v>
      </c>
      <c r="D273" s="44" t="s">
        <v>24</v>
      </c>
      <c r="E273" s="44" t="s">
        <v>24</v>
      </c>
      <c r="F273" s="44" t="s">
        <v>25</v>
      </c>
      <c r="G273" s="44" t="s">
        <v>25</v>
      </c>
      <c r="H273" s="44" t="s">
        <v>25</v>
      </c>
      <c r="I273" s="64">
        <v>44743</v>
      </c>
      <c r="J273" s="65">
        <f>EFEITO!$J$273*EFEITO!$Y$273</f>
        <v>0</v>
      </c>
      <c r="K273" s="65">
        <f ca="1">EFEITO!$L$273*EFEITO!$Z$273</f>
        <v>394506.69417326117</v>
      </c>
      <c r="L273" s="65">
        <f>EFEITO!$N$273*EFEITO!$AA$273</f>
        <v>128890.46344877392</v>
      </c>
      <c r="M273" s="65">
        <f>$J$273-EFEITO!$K$273*EFEITO!$Y$273</f>
        <v>0</v>
      </c>
      <c r="N273" s="65">
        <f ca="1">$K$273-EFEITO!$M$273*EFEITO!$Z$273</f>
        <v>0</v>
      </c>
      <c r="O273" s="65">
        <f>$L$273-EFEITO!$O$273*EFEITO!$AA$273</f>
        <v>0</v>
      </c>
      <c r="P273" s="48"/>
      <c r="Q273" s="48"/>
      <c r="R273" s="48"/>
      <c r="S273" s="48"/>
      <c r="T273" s="48"/>
      <c r="U273" s="48"/>
      <c r="V273" s="48"/>
      <c r="W273" s="48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spans="1:36" ht="11.25" customHeight="1" x14ac:dyDescent="0.2">
      <c r="A274" s="44" t="s">
        <v>27</v>
      </c>
      <c r="B274" s="44" t="s">
        <v>22</v>
      </c>
      <c r="C274" s="44" t="s">
        <v>23</v>
      </c>
      <c r="D274" s="44" t="s">
        <v>24</v>
      </c>
      <c r="E274" s="44" t="s">
        <v>24</v>
      </c>
      <c r="F274" s="44" t="s">
        <v>25</v>
      </c>
      <c r="G274" s="44" t="s">
        <v>25</v>
      </c>
      <c r="H274" s="44" t="s">
        <v>25</v>
      </c>
      <c r="I274" s="64">
        <v>44743</v>
      </c>
      <c r="J274" s="65">
        <f>EFEITO!$J$274*EFEITO!$Y$274</f>
        <v>0</v>
      </c>
      <c r="K274" s="65">
        <f ca="1">EFEITO!$L$274*EFEITO!$Z$274</f>
        <v>-778.97401776116078</v>
      </c>
      <c r="L274" s="65">
        <f>EFEITO!$N$274*EFEITO!$AA$274</f>
        <v>-254.50093406956066</v>
      </c>
      <c r="M274" s="65">
        <f>$J$274-EFEITO!$K$274*EFEITO!$Y$274</f>
        <v>0</v>
      </c>
      <c r="N274" s="65">
        <f ca="1">$K$274-EFEITO!$M$274*EFEITO!$Z$274</f>
        <v>0</v>
      </c>
      <c r="O274" s="65">
        <f>$L$274-EFEITO!$O$274*EFEITO!$AA$274</f>
        <v>0</v>
      </c>
      <c r="P274" s="48"/>
      <c r="Q274" s="48"/>
      <c r="R274" s="48"/>
      <c r="S274" s="48"/>
      <c r="T274" s="48"/>
      <c r="U274" s="48"/>
      <c r="V274" s="48"/>
      <c r="W274" s="48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spans="1:36" ht="11.25" customHeight="1" x14ac:dyDescent="0.2">
      <c r="A275" s="44" t="s">
        <v>28</v>
      </c>
      <c r="B275" s="44" t="s">
        <v>22</v>
      </c>
      <c r="C275" s="44" t="s">
        <v>23</v>
      </c>
      <c r="D275" s="44" t="s">
        <v>24</v>
      </c>
      <c r="E275" s="44" t="s">
        <v>24</v>
      </c>
      <c r="F275" s="44" t="s">
        <v>25</v>
      </c>
      <c r="G275" s="44" t="s">
        <v>25</v>
      </c>
      <c r="H275" s="44" t="s">
        <v>25</v>
      </c>
      <c r="I275" s="64">
        <v>44743</v>
      </c>
      <c r="J275" s="65">
        <f>EFEITO!$J$275*EFEITO!$Y$275</f>
        <v>0</v>
      </c>
      <c r="K275" s="65">
        <f ca="1">EFEITO!$L$275*EFEITO!$Z$275</f>
        <v>6919.317769291506</v>
      </c>
      <c r="L275" s="65">
        <f>EFEITO!$N$275*EFEITO!$AA$275</f>
        <v>2260.6310290938668</v>
      </c>
      <c r="M275" s="65">
        <f>$J$275-EFEITO!$K$275*EFEITO!$Y$275</f>
        <v>0</v>
      </c>
      <c r="N275" s="65">
        <f ca="1">$K$275-EFEITO!$M$275*EFEITO!$Z$275</f>
        <v>0</v>
      </c>
      <c r="O275" s="65">
        <f>$L$275-EFEITO!$O$275*EFEITO!$AA$275</f>
        <v>0</v>
      </c>
      <c r="P275" s="48"/>
      <c r="Q275" s="48"/>
      <c r="R275" s="48"/>
      <c r="S275" s="48"/>
      <c r="T275" s="48"/>
      <c r="U275" s="48"/>
      <c r="V275" s="48"/>
      <c r="W275" s="48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spans="1:36" ht="11.25" customHeight="1" x14ac:dyDescent="0.2">
      <c r="A276" s="44" t="s">
        <v>21</v>
      </c>
      <c r="B276" s="44" t="s">
        <v>22</v>
      </c>
      <c r="C276" s="44" t="s">
        <v>23</v>
      </c>
      <c r="D276" s="44" t="s">
        <v>24</v>
      </c>
      <c r="E276" s="44" t="s">
        <v>24</v>
      </c>
      <c r="F276" s="44" t="s">
        <v>25</v>
      </c>
      <c r="G276" s="44" t="s">
        <v>25</v>
      </c>
      <c r="H276" s="44" t="s">
        <v>25</v>
      </c>
      <c r="I276" s="64">
        <v>44774</v>
      </c>
      <c r="J276" s="65">
        <f>EFEITO!$J$276*EFEITO!$Y$276</f>
        <v>0</v>
      </c>
      <c r="K276" s="65">
        <f ca="1">EFEITO!$L$276*EFEITO!$Z$276</f>
        <v>375409.36050303653</v>
      </c>
      <c r="L276" s="65">
        <f>EFEITO!$N$276*EFEITO!$AA$276</f>
        <v>122651.1163762244</v>
      </c>
      <c r="M276" s="65">
        <f>$J$276-EFEITO!$K$276*EFEITO!$Y$276</f>
        <v>0</v>
      </c>
      <c r="N276" s="65">
        <f ca="1">$K$276-EFEITO!$M$276*EFEITO!$Z$276</f>
        <v>0</v>
      </c>
      <c r="O276" s="65">
        <f>$L$276-EFEITO!$O$276*EFEITO!$AA$276</f>
        <v>0</v>
      </c>
      <c r="P276" s="48"/>
      <c r="Q276" s="48"/>
      <c r="R276" s="48"/>
      <c r="S276" s="48"/>
      <c r="T276" s="48"/>
      <c r="U276" s="48"/>
      <c r="V276" s="48"/>
      <c r="W276" s="48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spans="1:36" ht="11.25" customHeight="1" x14ac:dyDescent="0.2">
      <c r="A277" s="44" t="s">
        <v>27</v>
      </c>
      <c r="B277" s="44" t="s">
        <v>22</v>
      </c>
      <c r="C277" s="44" t="s">
        <v>23</v>
      </c>
      <c r="D277" s="44" t="s">
        <v>24</v>
      </c>
      <c r="E277" s="44" t="s">
        <v>24</v>
      </c>
      <c r="F277" s="44" t="s">
        <v>25</v>
      </c>
      <c r="G277" s="44" t="s">
        <v>25</v>
      </c>
      <c r="H277" s="44" t="s">
        <v>25</v>
      </c>
      <c r="I277" s="64">
        <v>44774</v>
      </c>
      <c r="J277" s="65">
        <f>EFEITO!$J$277*EFEITO!$Y$277</f>
        <v>0</v>
      </c>
      <c r="K277" s="65">
        <f ca="1">EFEITO!$L$277*EFEITO!$Z$277</f>
        <v>-108.07537066056659</v>
      </c>
      <c r="L277" s="65">
        <f>EFEITO!$N$277*EFEITO!$AA$277</f>
        <v>-35.309627992575116</v>
      </c>
      <c r="M277" s="65">
        <f>$J$277-EFEITO!$K$277*EFEITO!$Y$277</f>
        <v>0</v>
      </c>
      <c r="N277" s="65">
        <f ca="1">$K$277-EFEITO!$M$277*EFEITO!$Z$277</f>
        <v>0</v>
      </c>
      <c r="O277" s="65">
        <f>$L$277-EFEITO!$O$277*EFEITO!$AA$277</f>
        <v>0</v>
      </c>
      <c r="P277" s="48"/>
      <c r="Q277" s="48"/>
      <c r="R277" s="48"/>
      <c r="S277" s="48"/>
      <c r="T277" s="48"/>
      <c r="U277" s="48"/>
      <c r="V277" s="48"/>
      <c r="W277" s="48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spans="1:36" ht="11.25" customHeight="1" x14ac:dyDescent="0.2">
      <c r="A278" s="44" t="s">
        <v>28</v>
      </c>
      <c r="B278" s="44" t="s">
        <v>22</v>
      </c>
      <c r="C278" s="44" t="s">
        <v>23</v>
      </c>
      <c r="D278" s="44" t="s">
        <v>24</v>
      </c>
      <c r="E278" s="44" t="s">
        <v>24</v>
      </c>
      <c r="F278" s="44" t="s">
        <v>25</v>
      </c>
      <c r="G278" s="44" t="s">
        <v>25</v>
      </c>
      <c r="H278" s="44" t="s">
        <v>25</v>
      </c>
      <c r="I278" s="64">
        <v>44774</v>
      </c>
      <c r="J278" s="65">
        <f>EFEITO!$J$278*EFEITO!$Y$278</f>
        <v>0</v>
      </c>
      <c r="K278" s="65">
        <f ca="1">EFEITO!$L$278*EFEITO!$Z$278</f>
        <v>6161.9588256624584</v>
      </c>
      <c r="L278" s="65">
        <f>EFEITO!$N$278*EFEITO!$AA$278</f>
        <v>2013.1920206228212</v>
      </c>
      <c r="M278" s="65">
        <f>$J$278-EFEITO!$K$278*EFEITO!$Y$278</f>
        <v>0</v>
      </c>
      <c r="N278" s="65">
        <f ca="1">$K$278-EFEITO!$M$278*EFEITO!$Z$278</f>
        <v>0</v>
      </c>
      <c r="O278" s="65">
        <f>$L$278-EFEITO!$O$278*EFEITO!$AA$278</f>
        <v>0</v>
      </c>
      <c r="P278" s="48"/>
      <c r="Q278" s="48"/>
      <c r="R278" s="48"/>
      <c r="S278" s="48"/>
      <c r="T278" s="48"/>
      <c r="U278" s="48"/>
      <c r="V278" s="48"/>
      <c r="W278" s="48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spans="1:36" ht="11.25" customHeight="1" x14ac:dyDescent="0.2">
      <c r="A279" s="44" t="s">
        <v>28</v>
      </c>
      <c r="B279" s="44" t="s">
        <v>22</v>
      </c>
      <c r="C279" s="44" t="s">
        <v>23</v>
      </c>
      <c r="D279" s="44" t="s">
        <v>24</v>
      </c>
      <c r="E279" s="44" t="s">
        <v>24</v>
      </c>
      <c r="F279" s="44" t="s">
        <v>25</v>
      </c>
      <c r="G279" s="44" t="s">
        <v>25</v>
      </c>
      <c r="H279" s="44" t="s">
        <v>25</v>
      </c>
      <c r="I279" s="64">
        <v>44774</v>
      </c>
      <c r="J279" s="65">
        <f>EFEITO!$J$279*EFEITO!$Y$279</f>
        <v>0</v>
      </c>
      <c r="K279" s="65">
        <f ca="1">EFEITO!$L$279*EFEITO!$Z$279</f>
        <v>-171.67356954928462</v>
      </c>
      <c r="L279" s="65">
        <f>EFEITO!$N$279*EFEITO!$AA$279</f>
        <v>-56.087986003590466</v>
      </c>
      <c r="M279" s="65">
        <f>$J$279-EFEITO!$K$279*EFEITO!$Y$279</f>
        <v>0</v>
      </c>
      <c r="N279" s="65">
        <f ca="1">$K$279-EFEITO!$M$279*EFEITO!$Z$279</f>
        <v>0</v>
      </c>
      <c r="O279" s="65">
        <f>$L$279-EFEITO!$O$279*EFEITO!$AA$279</f>
        <v>0</v>
      </c>
      <c r="P279" s="48"/>
      <c r="Q279" s="48"/>
      <c r="R279" s="48"/>
      <c r="S279" s="48"/>
      <c r="T279" s="48"/>
      <c r="U279" s="48"/>
      <c r="V279" s="48"/>
      <c r="W279" s="48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spans="1:36" ht="11.25" customHeight="1" x14ac:dyDescent="0.2">
      <c r="A280" s="44" t="s">
        <v>21</v>
      </c>
      <c r="B280" s="44" t="s">
        <v>22</v>
      </c>
      <c r="C280" s="44" t="s">
        <v>23</v>
      </c>
      <c r="D280" s="44" t="s">
        <v>24</v>
      </c>
      <c r="E280" s="44" t="s">
        <v>29</v>
      </c>
      <c r="F280" s="44" t="s">
        <v>25</v>
      </c>
      <c r="G280" s="44" t="s">
        <v>25</v>
      </c>
      <c r="H280" s="44" t="s">
        <v>25</v>
      </c>
      <c r="I280" s="64">
        <v>44440</v>
      </c>
      <c r="J280" s="65">
        <f>EFEITO!$J$280*EFEITO!$Y$241</f>
        <v>0</v>
      </c>
      <c r="K280" s="65">
        <f ca="1">EFEITO!$L$280*EFEITO!$Z$320</f>
        <v>317.01063155669823</v>
      </c>
      <c r="L280" s="65">
        <f>EFEITO!$N$280*EFEITO!$AA$320</f>
        <v>139.20141804765188</v>
      </c>
      <c r="M280" s="65">
        <f>$J$280-EFEITO!$K$280*EFEITO!$Y$280</f>
        <v>0</v>
      </c>
      <c r="N280" s="65">
        <f ca="1">$K$280-EFEITO!$M$280*EFEITO!$Z$280</f>
        <v>206.05691051185386</v>
      </c>
      <c r="O280" s="65">
        <f>$L$280-EFEITO!$O$280*EFEITO!$AA$280</f>
        <v>90.480921730973733</v>
      </c>
      <c r="P280" s="48"/>
      <c r="Q280" s="48"/>
      <c r="R280" s="48"/>
      <c r="S280" s="48"/>
      <c r="T280" s="48"/>
      <c r="U280" s="48"/>
      <c r="V280" s="48"/>
      <c r="W280" s="48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spans="1:36" ht="11.25" customHeight="1" x14ac:dyDescent="0.2">
      <c r="A281" s="44" t="s">
        <v>21</v>
      </c>
      <c r="B281" s="44" t="s">
        <v>22</v>
      </c>
      <c r="C281" s="44" t="s">
        <v>23</v>
      </c>
      <c r="D281" s="44" t="s">
        <v>24</v>
      </c>
      <c r="E281" s="44" t="s">
        <v>29</v>
      </c>
      <c r="F281" s="44" t="s">
        <v>25</v>
      </c>
      <c r="G281" s="44" t="s">
        <v>25</v>
      </c>
      <c r="H281" s="44" t="s">
        <v>25</v>
      </c>
      <c r="I281" s="64">
        <v>44470</v>
      </c>
      <c r="J281" s="65">
        <f>EFEITO!$J$281*EFEITO!$Y$241</f>
        <v>0</v>
      </c>
      <c r="K281" s="65">
        <f ca="1">EFEITO!$L$281*EFEITO!$Z$320</f>
        <v>324.74259818003236</v>
      </c>
      <c r="L281" s="65">
        <f>EFEITO!$N$281*EFEITO!$AA$320</f>
        <v>142.59657458539951</v>
      </c>
      <c r="M281" s="65">
        <f>$J$281-EFEITO!$K$281*EFEITO!$Y$281</f>
        <v>0</v>
      </c>
      <c r="N281" s="65">
        <f ca="1">$K$281-EFEITO!$M$281*EFEITO!$Z$281</f>
        <v>211.08268881702105</v>
      </c>
      <c r="O281" s="65">
        <f>$L$281-EFEITO!$O$281*EFEITO!$AA$281</f>
        <v>92.687773480509691</v>
      </c>
      <c r="P281" s="48"/>
      <c r="Q281" s="48"/>
      <c r="R281" s="48"/>
      <c r="S281" s="48"/>
      <c r="T281" s="48"/>
      <c r="U281" s="48"/>
      <c r="V281" s="48"/>
      <c r="W281" s="48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spans="1:36" ht="11.25" customHeight="1" x14ac:dyDescent="0.2">
      <c r="A282" s="44" t="s">
        <v>21</v>
      </c>
      <c r="B282" s="44" t="s">
        <v>22</v>
      </c>
      <c r="C282" s="44" t="s">
        <v>23</v>
      </c>
      <c r="D282" s="44" t="s">
        <v>24</v>
      </c>
      <c r="E282" s="44" t="s">
        <v>29</v>
      </c>
      <c r="F282" s="44" t="s">
        <v>25</v>
      </c>
      <c r="G282" s="44" t="s">
        <v>25</v>
      </c>
      <c r="H282" s="44" t="s">
        <v>25</v>
      </c>
      <c r="I282" s="64">
        <v>44501</v>
      </c>
      <c r="J282" s="65">
        <f>EFEITO!$J$282*EFEITO!$Y$241</f>
        <v>0</v>
      </c>
      <c r="K282" s="65">
        <f ca="1">EFEITO!$L$282*EFEITO!$Z$320</f>
        <v>352.57767802403509</v>
      </c>
      <c r="L282" s="65">
        <f>EFEITO!$N$282*EFEITO!$AA$320</f>
        <v>154.81913812129088</v>
      </c>
      <c r="M282" s="65">
        <f>$J$282-EFEITO!$K$282*EFEITO!$Y$282</f>
        <v>0</v>
      </c>
      <c r="N282" s="65">
        <f ca="1">$K$282-EFEITO!$M$282*EFEITO!$Z$282</f>
        <v>229.1754907156228</v>
      </c>
      <c r="O282" s="65">
        <f>$L$282-EFEITO!$O$282*EFEITO!$AA$282</f>
        <v>100.63243977883907</v>
      </c>
      <c r="P282" s="48"/>
      <c r="Q282" s="48"/>
      <c r="R282" s="48"/>
      <c r="S282" s="48"/>
      <c r="T282" s="48"/>
      <c r="U282" s="48"/>
      <c r="V282" s="48"/>
      <c r="W282" s="48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spans="1:36" ht="11.25" customHeight="1" x14ac:dyDescent="0.2">
      <c r="A283" s="44" t="s">
        <v>21</v>
      </c>
      <c r="B283" s="44" t="s">
        <v>22</v>
      </c>
      <c r="C283" s="44" t="s">
        <v>23</v>
      </c>
      <c r="D283" s="44" t="s">
        <v>24</v>
      </c>
      <c r="E283" s="44" t="s">
        <v>29</v>
      </c>
      <c r="F283" s="44" t="s">
        <v>25</v>
      </c>
      <c r="G283" s="44" t="s">
        <v>25</v>
      </c>
      <c r="H283" s="44" t="s">
        <v>25</v>
      </c>
      <c r="I283" s="64">
        <v>44531</v>
      </c>
      <c r="J283" s="65">
        <f>EFEITO!$J$283*EFEITO!$Y$241</f>
        <v>0</v>
      </c>
      <c r="K283" s="65">
        <f ca="1">EFEITO!$L$283*EFEITO!$Z$320</f>
        <v>352.57767802403509</v>
      </c>
      <c r="L283" s="65">
        <f>EFEITO!$N$283*EFEITO!$AA$320</f>
        <v>154.81913812129088</v>
      </c>
      <c r="M283" s="65">
        <f>$J$283-EFEITO!$K$283*EFEITO!$Y$283</f>
        <v>0</v>
      </c>
      <c r="N283" s="65">
        <f ca="1">$K$283-EFEITO!$M$283*EFEITO!$Z$283</f>
        <v>229.1754907156228</v>
      </c>
      <c r="O283" s="65">
        <f>$L$283-EFEITO!$O$283*EFEITO!$AA$283</f>
        <v>100.63243977883907</v>
      </c>
      <c r="P283" s="48"/>
      <c r="Q283" s="48"/>
      <c r="R283" s="48"/>
      <c r="S283" s="48"/>
      <c r="T283" s="48"/>
      <c r="U283" s="48"/>
      <c r="V283" s="48"/>
      <c r="W283" s="48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spans="1:36" ht="11.25" customHeight="1" x14ac:dyDescent="0.2">
      <c r="A284" s="44" t="s">
        <v>21</v>
      </c>
      <c r="B284" s="44" t="s">
        <v>22</v>
      </c>
      <c r="C284" s="44" t="s">
        <v>23</v>
      </c>
      <c r="D284" s="44" t="s">
        <v>24</v>
      </c>
      <c r="E284" s="44" t="s">
        <v>29</v>
      </c>
      <c r="F284" s="44" t="s">
        <v>25</v>
      </c>
      <c r="G284" s="44" t="s">
        <v>25</v>
      </c>
      <c r="H284" s="44" t="s">
        <v>25</v>
      </c>
      <c r="I284" s="64">
        <v>44562</v>
      </c>
      <c r="J284" s="65">
        <f>EFEITO!$J$284*EFEITO!$Y$241</f>
        <v>0</v>
      </c>
      <c r="K284" s="65">
        <f ca="1">EFEITO!$L$284*EFEITO!$Z$320</f>
        <v>361.85603797203606</v>
      </c>
      <c r="L284" s="65">
        <f>EFEITO!$N$284*EFEITO!$AA$320</f>
        <v>158.89332596658801</v>
      </c>
      <c r="M284" s="65">
        <f>$J$284-EFEITO!$K$284*EFEITO!$Y$284</f>
        <v>0</v>
      </c>
      <c r="N284" s="65">
        <f ca="1">$K$284-EFEITO!$M$284*EFEITO!$Z$284</f>
        <v>235.20642468182345</v>
      </c>
      <c r="O284" s="65">
        <f>$L$284-EFEITO!$O$284*EFEITO!$AA$284</f>
        <v>103.28066187828222</v>
      </c>
      <c r="P284" s="48"/>
      <c r="Q284" s="48"/>
      <c r="R284" s="48"/>
      <c r="S284" s="48"/>
      <c r="T284" s="48"/>
      <c r="U284" s="48"/>
      <c r="V284" s="48"/>
      <c r="W284" s="48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spans="1:36" ht="11.25" customHeight="1" x14ac:dyDescent="0.2">
      <c r="A285" s="44" t="s">
        <v>21</v>
      </c>
      <c r="B285" s="44" t="s">
        <v>22</v>
      </c>
      <c r="C285" s="44" t="s">
        <v>23</v>
      </c>
      <c r="D285" s="44" t="s">
        <v>24</v>
      </c>
      <c r="E285" s="44" t="s">
        <v>29</v>
      </c>
      <c r="F285" s="44" t="s">
        <v>25</v>
      </c>
      <c r="G285" s="44" t="s">
        <v>25</v>
      </c>
      <c r="H285" s="44" t="s">
        <v>25</v>
      </c>
      <c r="I285" s="64">
        <v>44593</v>
      </c>
      <c r="J285" s="65">
        <f>EFEITO!$J$285*EFEITO!$Y$241</f>
        <v>0</v>
      </c>
      <c r="K285" s="65">
        <f ca="1">EFEITO!$L$285*EFEITO!$Z$320</f>
        <v>695.87699610006939</v>
      </c>
      <c r="L285" s="65">
        <f>EFEITO!$N$285*EFEITO!$AA$320</f>
        <v>305.56408839728465</v>
      </c>
      <c r="M285" s="65">
        <f>$J$285-EFEITO!$K$285*EFEITO!$Y$285</f>
        <v>0</v>
      </c>
      <c r="N285" s="65">
        <f ca="1">$K$285-EFEITO!$M$285*EFEITO!$Z$285</f>
        <v>452.32004746504515</v>
      </c>
      <c r="O285" s="65">
        <f>$L$285-EFEITO!$O$285*EFEITO!$AA$285</f>
        <v>198.61665745823501</v>
      </c>
      <c r="P285" s="48"/>
      <c r="Q285" s="48"/>
      <c r="R285" s="48"/>
      <c r="S285" s="48"/>
      <c r="T285" s="48"/>
      <c r="U285" s="48"/>
      <c r="V285" s="48"/>
      <c r="W285" s="48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spans="1:36" ht="11.25" customHeight="1" x14ac:dyDescent="0.2">
      <c r="A286" s="44" t="s">
        <v>28</v>
      </c>
      <c r="B286" s="44" t="s">
        <v>22</v>
      </c>
      <c r="C286" s="44" t="s">
        <v>23</v>
      </c>
      <c r="D286" s="44" t="s">
        <v>24</v>
      </c>
      <c r="E286" s="44" t="s">
        <v>29</v>
      </c>
      <c r="F286" s="44" t="s">
        <v>25</v>
      </c>
      <c r="G286" s="44" t="s">
        <v>25</v>
      </c>
      <c r="H286" s="44" t="s">
        <v>25</v>
      </c>
      <c r="I286" s="64">
        <v>44593</v>
      </c>
      <c r="J286" s="65">
        <f>EFEITO!$J$286*EFEITO!$Y$241</f>
        <v>0</v>
      </c>
      <c r="K286" s="65">
        <f ca="1">EFEITO!$L$286*EFEITO!$Z$320</f>
        <v>3.0927866493336418</v>
      </c>
      <c r="L286" s="65">
        <f>EFEITO!$N$286*EFEITO!$AA$320</f>
        <v>1.3580626150990429</v>
      </c>
      <c r="M286" s="65">
        <f>$J$286-EFEITO!$K$286*EFEITO!$Y$286</f>
        <v>0</v>
      </c>
      <c r="N286" s="65">
        <f ca="1">$K$286-EFEITO!$M$286*EFEITO!$Z$286</f>
        <v>2.7139202847902708</v>
      </c>
      <c r="O286" s="65">
        <f>$L$286-EFEITO!$O$286*EFEITO!$AA$286</f>
        <v>1.1916999447494101</v>
      </c>
      <c r="P286" s="48"/>
      <c r="Q286" s="48"/>
      <c r="R286" s="48"/>
      <c r="S286" s="48"/>
      <c r="T286" s="48"/>
      <c r="U286" s="48"/>
      <c r="V286" s="48"/>
      <c r="W286" s="48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spans="1:36" ht="11.25" customHeight="1" x14ac:dyDescent="0.2">
      <c r="A287" s="44" t="s">
        <v>21</v>
      </c>
      <c r="B287" s="44" t="s">
        <v>22</v>
      </c>
      <c r="C287" s="44" t="s">
        <v>23</v>
      </c>
      <c r="D287" s="44" t="s">
        <v>24</v>
      </c>
      <c r="E287" s="44" t="s">
        <v>29</v>
      </c>
      <c r="F287" s="44" t="s">
        <v>25</v>
      </c>
      <c r="G287" s="44" t="s">
        <v>25</v>
      </c>
      <c r="H287" s="44" t="s">
        <v>25</v>
      </c>
      <c r="I287" s="64">
        <v>44621</v>
      </c>
      <c r="J287" s="65">
        <f>EFEITO!$J$287*EFEITO!$Y$241</f>
        <v>0</v>
      </c>
      <c r="K287" s="65">
        <f ca="1">EFEITO!$L$287*EFEITO!$Z$320</f>
        <v>723.71207594407213</v>
      </c>
      <c r="L287" s="65">
        <f>EFEITO!$N$287*EFEITO!$AA$320</f>
        <v>317.78665193317602</v>
      </c>
      <c r="M287" s="65">
        <f>$J$287-EFEITO!$K$287*EFEITO!$Y$287</f>
        <v>0</v>
      </c>
      <c r="N287" s="65">
        <f ca="1">$K$287-EFEITO!$M$287*EFEITO!$Z$287</f>
        <v>470.4128493636469</v>
      </c>
      <c r="O287" s="65">
        <f>$L$287-EFEITO!$O$287*EFEITO!$AA$287</f>
        <v>206.56132375656443</v>
      </c>
      <c r="P287" s="48"/>
      <c r="Q287" s="48"/>
      <c r="R287" s="48"/>
      <c r="S287" s="48"/>
      <c r="T287" s="48"/>
      <c r="U287" s="48"/>
      <c r="V287" s="48"/>
      <c r="W287" s="48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spans="1:36" ht="11.25" customHeight="1" x14ac:dyDescent="0.2">
      <c r="A288" s="44" t="s">
        <v>21</v>
      </c>
      <c r="B288" s="44" t="s">
        <v>22</v>
      </c>
      <c r="C288" s="44" t="s">
        <v>23</v>
      </c>
      <c r="D288" s="44" t="s">
        <v>24</v>
      </c>
      <c r="E288" s="44" t="s">
        <v>29</v>
      </c>
      <c r="F288" s="44" t="s">
        <v>25</v>
      </c>
      <c r="G288" s="44" t="s">
        <v>25</v>
      </c>
      <c r="H288" s="44" t="s">
        <v>25</v>
      </c>
      <c r="I288" s="64">
        <v>44652</v>
      </c>
      <c r="J288" s="65">
        <f>EFEITO!$J$288*EFEITO!$Y$241</f>
        <v>0</v>
      </c>
      <c r="K288" s="65">
        <f ca="1">EFEITO!$L$288*EFEITO!$Z$320</f>
        <v>1261.8569529281258</v>
      </c>
      <c r="L288" s="65">
        <f>EFEITO!$N$288*EFEITO!$AA$320</f>
        <v>554.08954696040951</v>
      </c>
      <c r="M288" s="65">
        <f>$J$288-EFEITO!$K$288*EFEITO!$Y$288</f>
        <v>0</v>
      </c>
      <c r="N288" s="65">
        <f ca="1">$K$288-EFEITO!$M$288*EFEITO!$Z$288</f>
        <v>820.20701940328172</v>
      </c>
      <c r="O288" s="65">
        <f>$L$288-EFEITO!$O$288*EFEITO!$AA$288</f>
        <v>360.15820552426618</v>
      </c>
      <c r="P288" s="48"/>
      <c r="Q288" s="48"/>
      <c r="R288" s="48"/>
      <c r="S288" s="48"/>
      <c r="T288" s="48"/>
      <c r="U288" s="48"/>
      <c r="V288" s="48"/>
      <c r="W288" s="48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spans="1:36" ht="11.25" customHeight="1" x14ac:dyDescent="0.2">
      <c r="A289" s="44" t="s">
        <v>21</v>
      </c>
      <c r="B289" s="44" t="s">
        <v>22</v>
      </c>
      <c r="C289" s="44" t="s">
        <v>23</v>
      </c>
      <c r="D289" s="44" t="s">
        <v>24</v>
      </c>
      <c r="E289" s="44" t="s">
        <v>29</v>
      </c>
      <c r="F289" s="44" t="s">
        <v>25</v>
      </c>
      <c r="G289" s="44" t="s">
        <v>25</v>
      </c>
      <c r="H289" s="44" t="s">
        <v>25</v>
      </c>
      <c r="I289" s="64">
        <v>44682</v>
      </c>
      <c r="J289" s="65">
        <f>EFEITO!$J$289*EFEITO!$Y$241</f>
        <v>0</v>
      </c>
      <c r="K289" s="65">
        <f ca="1">EFEITO!$L$289*EFEITO!$Z$320</f>
        <v>1280.4136728241274</v>
      </c>
      <c r="L289" s="65">
        <f>EFEITO!$N$289*EFEITO!$AA$320</f>
        <v>562.23792265100371</v>
      </c>
      <c r="M289" s="65">
        <f>$J$289-EFEITO!$K$289*EFEITO!$Y$289</f>
        <v>0</v>
      </c>
      <c r="N289" s="65">
        <f ca="1">$K$289-EFEITO!$M$289*EFEITO!$Z$289</f>
        <v>832.26888733568285</v>
      </c>
      <c r="O289" s="65">
        <f>$L$289-EFEITO!$O$289*EFEITO!$AA$289</f>
        <v>365.45464972315244</v>
      </c>
      <c r="P289" s="48"/>
      <c r="Q289" s="48"/>
      <c r="R289" s="48"/>
      <c r="S289" s="48"/>
      <c r="T289" s="48"/>
      <c r="U289" s="48"/>
      <c r="V289" s="48"/>
      <c r="W289" s="48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spans="1:36" ht="11.25" customHeight="1" x14ac:dyDescent="0.2">
      <c r="A290" s="44" t="s">
        <v>28</v>
      </c>
      <c r="B290" s="44" t="s">
        <v>22</v>
      </c>
      <c r="C290" s="44" t="s">
        <v>23</v>
      </c>
      <c r="D290" s="44" t="s">
        <v>24</v>
      </c>
      <c r="E290" s="44" t="s">
        <v>29</v>
      </c>
      <c r="F290" s="44" t="s">
        <v>25</v>
      </c>
      <c r="G290" s="44" t="s">
        <v>25</v>
      </c>
      <c r="H290" s="44" t="s">
        <v>25</v>
      </c>
      <c r="I290" s="64">
        <v>44682</v>
      </c>
      <c r="J290" s="65">
        <f>EFEITO!$J$290*EFEITO!$Y$241</f>
        <v>0</v>
      </c>
      <c r="K290" s="65">
        <f ca="1">EFEITO!$L$290*EFEITO!$Z$320</f>
        <v>3.4020653142670056</v>
      </c>
      <c r="L290" s="65">
        <f>EFEITO!$N$290*EFEITO!$AA$320</f>
        <v>1.4938688766089472</v>
      </c>
      <c r="M290" s="65">
        <f>$J$290-EFEITO!$K$290*EFEITO!$Y$290</f>
        <v>0</v>
      </c>
      <c r="N290" s="65">
        <f ca="1">$K$290-EFEITO!$M$290*EFEITO!$Z$290</f>
        <v>2.9853123132692976</v>
      </c>
      <c r="O290" s="65">
        <f>$L$290-EFEITO!$O$290*EFEITO!$AA$290</f>
        <v>1.3108699392243512</v>
      </c>
      <c r="P290" s="48"/>
      <c r="Q290" s="48"/>
      <c r="R290" s="48"/>
      <c r="S290" s="48"/>
      <c r="T290" s="48"/>
      <c r="U290" s="48"/>
      <c r="V290" s="48"/>
      <c r="W290" s="48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spans="1:36" ht="11.25" customHeight="1" x14ac:dyDescent="0.2">
      <c r="A291" s="44" t="s">
        <v>21</v>
      </c>
      <c r="B291" s="44" t="s">
        <v>22</v>
      </c>
      <c r="C291" s="44" t="s">
        <v>23</v>
      </c>
      <c r="D291" s="44" t="s">
        <v>24</v>
      </c>
      <c r="E291" s="44" t="s">
        <v>29</v>
      </c>
      <c r="F291" s="44" t="s">
        <v>25</v>
      </c>
      <c r="G291" s="44" t="s">
        <v>25</v>
      </c>
      <c r="H291" s="44" t="s">
        <v>25</v>
      </c>
      <c r="I291" s="64">
        <v>44713</v>
      </c>
      <c r="J291" s="65">
        <f>EFEITO!$J$291*EFEITO!$Y$241</f>
        <v>0</v>
      </c>
      <c r="K291" s="65">
        <f ca="1">EFEITO!$L$291*EFEITO!$Z$320</f>
        <v>1298.9703927201294</v>
      </c>
      <c r="L291" s="65">
        <f>EFEITO!$N$291*EFEITO!$AA$320</f>
        <v>570.38629834159804</v>
      </c>
      <c r="M291" s="65">
        <f>$J$291-EFEITO!$K$291*EFEITO!$Y$291</f>
        <v>0</v>
      </c>
      <c r="N291" s="65">
        <f ca="1">$K$291-EFEITO!$M$291*EFEITO!$Z$291</f>
        <v>844.3307552680842</v>
      </c>
      <c r="O291" s="65">
        <f>$L$291-EFEITO!$O$291*EFEITO!$AA$291</f>
        <v>370.75109392203876</v>
      </c>
      <c r="P291" s="48"/>
      <c r="Q291" s="48"/>
      <c r="R291" s="48"/>
      <c r="S291" s="48"/>
      <c r="T291" s="48"/>
      <c r="U291" s="48"/>
      <c r="V291" s="48"/>
      <c r="W291" s="48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spans="1:36" ht="11.25" customHeight="1" x14ac:dyDescent="0.2">
      <c r="A292" s="44" t="s">
        <v>28</v>
      </c>
      <c r="B292" s="44" t="s">
        <v>22</v>
      </c>
      <c r="C292" s="44" t="s">
        <v>23</v>
      </c>
      <c r="D292" s="44" t="s">
        <v>24</v>
      </c>
      <c r="E292" s="44" t="s">
        <v>29</v>
      </c>
      <c r="F292" s="44" t="s">
        <v>25</v>
      </c>
      <c r="G292" s="44" t="s">
        <v>25</v>
      </c>
      <c r="H292" s="44" t="s">
        <v>25</v>
      </c>
      <c r="I292" s="64">
        <v>44713</v>
      </c>
      <c r="J292" s="65">
        <f>EFEITO!$J$292*EFEITO!$Y$241</f>
        <v>0</v>
      </c>
      <c r="K292" s="65">
        <f ca="1">EFEITO!$L$292*EFEITO!$Z$320</f>
        <v>9.278359948000924</v>
      </c>
      <c r="L292" s="65">
        <f>EFEITO!$N$292*EFEITO!$AA$320</f>
        <v>4.0741878452971285</v>
      </c>
      <c r="M292" s="65">
        <f>$J$292-EFEITO!$K$292*EFEITO!$Y$292</f>
        <v>0</v>
      </c>
      <c r="N292" s="65">
        <f ca="1">$K$292-EFEITO!$M$292*EFEITO!$Z$292</f>
        <v>8.1417608543708102</v>
      </c>
      <c r="O292" s="65">
        <f>$L$292-EFEITO!$O$292*EFEITO!$AA$292</f>
        <v>3.5750998342482303</v>
      </c>
      <c r="P292" s="48"/>
      <c r="Q292" s="48"/>
      <c r="R292" s="48"/>
      <c r="S292" s="48"/>
      <c r="T292" s="48"/>
      <c r="U292" s="48"/>
      <c r="V292" s="48"/>
      <c r="W292" s="48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spans="1:36" ht="11.25" customHeight="1" x14ac:dyDescent="0.2">
      <c r="A293" s="44" t="s">
        <v>21</v>
      </c>
      <c r="B293" s="44" t="s">
        <v>22</v>
      </c>
      <c r="C293" s="44" t="s">
        <v>23</v>
      </c>
      <c r="D293" s="44" t="s">
        <v>24</v>
      </c>
      <c r="E293" s="44" t="s">
        <v>29</v>
      </c>
      <c r="F293" s="44" t="s">
        <v>25</v>
      </c>
      <c r="G293" s="44" t="s">
        <v>25</v>
      </c>
      <c r="H293" s="44" t="s">
        <v>25</v>
      </c>
      <c r="I293" s="64">
        <v>44743</v>
      </c>
      <c r="J293" s="65">
        <f>EFEITO!$J$293*EFEITO!$Y$241</f>
        <v>0</v>
      </c>
      <c r="K293" s="65">
        <f ca="1">EFEITO!$L$293*EFEITO!$Z$320</f>
        <v>1196.9084332921193</v>
      </c>
      <c r="L293" s="65">
        <f>EFEITO!$N$293*EFEITO!$AA$320</f>
        <v>525.57023204332961</v>
      </c>
      <c r="M293" s="65">
        <f>$J$293-EFEITO!$K$293*EFEITO!$Y$293</f>
        <v>0</v>
      </c>
      <c r="N293" s="65">
        <f ca="1">$K$293-EFEITO!$M$293*EFEITO!$Z$293</f>
        <v>777.99048163987754</v>
      </c>
      <c r="O293" s="65">
        <f>$L$293-EFEITO!$O$293*EFEITO!$AA$293</f>
        <v>341.62065082816423</v>
      </c>
      <c r="P293" s="48"/>
      <c r="Q293" s="48"/>
      <c r="R293" s="48"/>
      <c r="S293" s="48"/>
      <c r="T293" s="48"/>
      <c r="U293" s="48"/>
      <c r="V293" s="48"/>
      <c r="W293" s="48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spans="1:36" ht="11.25" customHeight="1" x14ac:dyDescent="0.2">
      <c r="A294" s="44" t="s">
        <v>28</v>
      </c>
      <c r="B294" s="44" t="s">
        <v>22</v>
      </c>
      <c r="C294" s="44" t="s">
        <v>23</v>
      </c>
      <c r="D294" s="44" t="s">
        <v>24</v>
      </c>
      <c r="E294" s="44" t="s">
        <v>29</v>
      </c>
      <c r="F294" s="44" t="s">
        <v>25</v>
      </c>
      <c r="G294" s="44" t="s">
        <v>25</v>
      </c>
      <c r="H294" s="44" t="s">
        <v>25</v>
      </c>
      <c r="I294" s="64">
        <v>44743</v>
      </c>
      <c r="J294" s="65">
        <f>EFEITO!$J$294*EFEITO!$Y$241</f>
        <v>0</v>
      </c>
      <c r="K294" s="65">
        <f ca="1">EFEITO!$L$294*EFEITO!$Z$320</f>
        <v>9.278359948000924</v>
      </c>
      <c r="L294" s="65">
        <f>EFEITO!$N$294*EFEITO!$AA$320</f>
        <v>4.0741878452971285</v>
      </c>
      <c r="M294" s="65">
        <f>$J$294-EFEITO!$K$294*EFEITO!$Y$294</f>
        <v>0</v>
      </c>
      <c r="N294" s="65">
        <f ca="1">$K$294-EFEITO!$M$294*EFEITO!$Z$294</f>
        <v>6.0309339662006005</v>
      </c>
      <c r="O294" s="65">
        <f>$L$294-EFEITO!$O$294*EFEITO!$AA$294</f>
        <v>2.6482220994431334</v>
      </c>
      <c r="P294" s="48"/>
      <c r="Q294" s="48"/>
      <c r="R294" s="48"/>
      <c r="S294" s="48"/>
      <c r="T294" s="48"/>
      <c r="U294" s="48"/>
      <c r="V294" s="48"/>
      <c r="W294" s="48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spans="1:36" ht="11.25" customHeight="1" x14ac:dyDescent="0.2">
      <c r="A295" s="44" t="s">
        <v>21</v>
      </c>
      <c r="B295" s="44" t="s">
        <v>22</v>
      </c>
      <c r="C295" s="44" t="s">
        <v>23</v>
      </c>
      <c r="D295" s="44" t="s">
        <v>24</v>
      </c>
      <c r="E295" s="44" t="s">
        <v>29</v>
      </c>
      <c r="F295" s="44" t="s">
        <v>25</v>
      </c>
      <c r="G295" s="44" t="s">
        <v>25</v>
      </c>
      <c r="H295" s="44" t="s">
        <v>25</v>
      </c>
      <c r="I295" s="64">
        <v>44774</v>
      </c>
      <c r="J295" s="65">
        <f>EFEITO!$J$295*EFEITO!$Y$241</f>
        <v>0</v>
      </c>
      <c r="K295" s="65">
        <f ca="1">EFEITO!$L$295*EFEITO!$Z$320</f>
        <v>1215.4651531881211</v>
      </c>
      <c r="L295" s="65">
        <f>EFEITO!$N$295*EFEITO!$AA$320</f>
        <v>533.71860773392393</v>
      </c>
      <c r="M295" s="65">
        <f>$J$295-EFEITO!$K$295*EFEITO!$Y$295</f>
        <v>0</v>
      </c>
      <c r="N295" s="65">
        <f ca="1">$K$295-EFEITO!$M$295*EFEITO!$Z$295</f>
        <v>790.05234957227867</v>
      </c>
      <c r="O295" s="65">
        <f>$L$295-EFEITO!$O$295*EFEITO!$AA$295</f>
        <v>346.91709502705055</v>
      </c>
      <c r="P295" s="48"/>
      <c r="Q295" s="48"/>
      <c r="R295" s="48"/>
      <c r="S295" s="48"/>
      <c r="T295" s="48"/>
      <c r="U295" s="48"/>
      <c r="V295" s="48"/>
      <c r="W295" s="48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spans="1:36" ht="11.25" customHeight="1" x14ac:dyDescent="0.2">
      <c r="A296" s="44" t="s">
        <v>21</v>
      </c>
      <c r="B296" s="44" t="s">
        <v>22</v>
      </c>
      <c r="C296" s="44" t="s">
        <v>23</v>
      </c>
      <c r="D296" s="44" t="s">
        <v>24</v>
      </c>
      <c r="E296" s="44" t="s">
        <v>30</v>
      </c>
      <c r="F296" s="44" t="s">
        <v>25</v>
      </c>
      <c r="G296" s="44" t="s">
        <v>25</v>
      </c>
      <c r="H296" s="44" t="s">
        <v>25</v>
      </c>
      <c r="I296" s="64">
        <v>44440</v>
      </c>
      <c r="J296" s="65">
        <f>EFEITO!$J$296*EFEITO!$Y$241</f>
        <v>0</v>
      </c>
      <c r="K296" s="65">
        <f ca="1">EFEITO!$L$296*EFEITO!$Z$320</f>
        <v>640.20683641206369</v>
      </c>
      <c r="L296" s="65">
        <f>EFEITO!$N$296*EFEITO!$AA$320</f>
        <v>281.11896132550186</v>
      </c>
      <c r="M296" s="65">
        <f>$J$296-EFEITO!$K$296*EFEITO!$Y$296</f>
        <v>0</v>
      </c>
      <c r="N296" s="65">
        <f ca="1">$K$296-EFEITO!$M$296*EFEITO!$Z$296</f>
        <v>256.08273456482544</v>
      </c>
      <c r="O296" s="65">
        <f>$L$296-EFEITO!$O$296*EFEITO!$AA$296</f>
        <v>112.44758453020074</v>
      </c>
      <c r="P296" s="48"/>
      <c r="Q296" s="48"/>
      <c r="R296" s="48"/>
      <c r="S296" s="48"/>
      <c r="T296" s="48"/>
      <c r="U296" s="48"/>
      <c r="V296" s="48"/>
      <c r="W296" s="48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spans="1:36" ht="11.25" customHeight="1" x14ac:dyDescent="0.2">
      <c r="A297" s="44" t="s">
        <v>21</v>
      </c>
      <c r="B297" s="44" t="s">
        <v>22</v>
      </c>
      <c r="C297" s="44" t="s">
        <v>23</v>
      </c>
      <c r="D297" s="44" t="s">
        <v>24</v>
      </c>
      <c r="E297" s="44" t="s">
        <v>30</v>
      </c>
      <c r="F297" s="44" t="s">
        <v>25</v>
      </c>
      <c r="G297" s="44" t="s">
        <v>25</v>
      </c>
      <c r="H297" s="44" t="s">
        <v>25</v>
      </c>
      <c r="I297" s="64">
        <v>44470</v>
      </c>
      <c r="J297" s="65">
        <f>EFEITO!$J$297*EFEITO!$Y$241</f>
        <v>0</v>
      </c>
      <c r="K297" s="65">
        <f ca="1">EFEITO!$L$297*EFEITO!$Z$320</f>
        <v>694.02132411046921</v>
      </c>
      <c r="L297" s="65">
        <f>EFEITO!$N$297*EFEITO!$AA$320</f>
        <v>304.74925082822523</v>
      </c>
      <c r="M297" s="65">
        <f>$J$297-EFEITO!$K$297*EFEITO!$Y$297</f>
        <v>0</v>
      </c>
      <c r="N297" s="65">
        <f ca="1">$K$297-EFEITO!$M$297*EFEITO!$Z$297</f>
        <v>277.60852964418768</v>
      </c>
      <c r="O297" s="65">
        <f>$L$297-EFEITO!$O$297*EFEITO!$AA$297</f>
        <v>121.89970033129009</v>
      </c>
      <c r="P297" s="48"/>
      <c r="Q297" s="48"/>
      <c r="R297" s="48"/>
      <c r="S297" s="48"/>
      <c r="T297" s="48"/>
      <c r="U297" s="48"/>
      <c r="V297" s="48"/>
      <c r="W297" s="48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spans="1:36" ht="11.25" customHeight="1" x14ac:dyDescent="0.2">
      <c r="A298" s="44" t="s">
        <v>21</v>
      </c>
      <c r="B298" s="44" t="s">
        <v>22</v>
      </c>
      <c r="C298" s="44" t="s">
        <v>23</v>
      </c>
      <c r="D298" s="44" t="s">
        <v>24</v>
      </c>
      <c r="E298" s="44" t="s">
        <v>30</v>
      </c>
      <c r="F298" s="44" t="s">
        <v>25</v>
      </c>
      <c r="G298" s="44" t="s">
        <v>25</v>
      </c>
      <c r="H298" s="44" t="s">
        <v>25</v>
      </c>
      <c r="I298" s="64">
        <v>44501</v>
      </c>
      <c r="J298" s="65">
        <f>EFEITO!$J$298*EFEITO!$Y$241</f>
        <v>0</v>
      </c>
      <c r="K298" s="65">
        <f ca="1">EFEITO!$L$298*EFEITO!$Z$320</f>
        <v>774.7430556580772</v>
      </c>
      <c r="L298" s="65">
        <f>EFEITO!$N$298*EFEITO!$AA$320</f>
        <v>340.19468508231023</v>
      </c>
      <c r="M298" s="65">
        <f>$J$298-EFEITO!$K$298*EFEITO!$Y$298</f>
        <v>0</v>
      </c>
      <c r="N298" s="65">
        <f ca="1">$K$298-EFEITO!$M$298*EFEITO!$Z$298</f>
        <v>309.8972222632309</v>
      </c>
      <c r="O298" s="65">
        <f>$L$298-EFEITO!$O$298*EFEITO!$AA$298</f>
        <v>136.07787403292409</v>
      </c>
      <c r="P298" s="48"/>
      <c r="Q298" s="48"/>
      <c r="R298" s="48"/>
      <c r="S298" s="48"/>
      <c r="T298" s="48"/>
      <c r="U298" s="48"/>
      <c r="V298" s="48"/>
      <c r="W298" s="48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spans="1:36" ht="11.25" customHeight="1" x14ac:dyDescent="0.2">
      <c r="A299" s="44" t="s">
        <v>21</v>
      </c>
      <c r="B299" s="44" t="s">
        <v>22</v>
      </c>
      <c r="C299" s="44" t="s">
        <v>23</v>
      </c>
      <c r="D299" s="44" t="s">
        <v>24</v>
      </c>
      <c r="E299" s="44" t="s">
        <v>30</v>
      </c>
      <c r="F299" s="44" t="s">
        <v>25</v>
      </c>
      <c r="G299" s="44" t="s">
        <v>25</v>
      </c>
      <c r="H299" s="44" t="s">
        <v>25</v>
      </c>
      <c r="I299" s="64">
        <v>44531</v>
      </c>
      <c r="J299" s="65">
        <f>EFEITO!$J$299*EFEITO!$Y$241</f>
        <v>0</v>
      </c>
      <c r="K299" s="65">
        <f ca="1">EFEITO!$L$299*EFEITO!$Z$320</f>
        <v>755.87705709714203</v>
      </c>
      <c r="L299" s="65">
        <f>EFEITO!$N$299*EFEITO!$AA$320</f>
        <v>331.91050313020605</v>
      </c>
      <c r="M299" s="65">
        <f>$J$299-EFEITO!$K$299*EFEITO!$Y$299</f>
        <v>0</v>
      </c>
      <c r="N299" s="65">
        <f ca="1">$K$299-EFEITO!$M$299*EFEITO!$Z$299</f>
        <v>302.35082283885686</v>
      </c>
      <c r="O299" s="65">
        <f>$L$299-EFEITO!$O$299*EFEITO!$AA$299</f>
        <v>132.76420125208242</v>
      </c>
      <c r="P299" s="48"/>
      <c r="Q299" s="48"/>
      <c r="R299" s="48"/>
      <c r="S299" s="48"/>
      <c r="T299" s="48"/>
      <c r="U299" s="48"/>
      <c r="V299" s="48"/>
      <c r="W299" s="48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spans="1:36" ht="11.25" customHeight="1" x14ac:dyDescent="0.2">
      <c r="A300" s="44" t="s">
        <v>21</v>
      </c>
      <c r="B300" s="44" t="s">
        <v>22</v>
      </c>
      <c r="C300" s="44" t="s">
        <v>23</v>
      </c>
      <c r="D300" s="44" t="s">
        <v>24</v>
      </c>
      <c r="E300" s="44" t="s">
        <v>30</v>
      </c>
      <c r="F300" s="44" t="s">
        <v>25</v>
      </c>
      <c r="G300" s="44" t="s">
        <v>25</v>
      </c>
      <c r="H300" s="44" t="s">
        <v>25</v>
      </c>
      <c r="I300" s="64">
        <v>44562</v>
      </c>
      <c r="J300" s="65">
        <f>EFEITO!$J$300*EFEITO!$Y$241</f>
        <v>0</v>
      </c>
      <c r="K300" s="65">
        <f ca="1">EFEITO!$L$300*EFEITO!$Z$320</f>
        <v>780.31007162687786</v>
      </c>
      <c r="L300" s="65">
        <f>EFEITO!$N$300*EFEITO!$AA$320</f>
        <v>342.63919778948855</v>
      </c>
      <c r="M300" s="65">
        <f>$J$300-EFEITO!$K$300*EFEITO!$Y$300</f>
        <v>0</v>
      </c>
      <c r="N300" s="65">
        <f ca="1">$K$300-EFEITO!$M$300*EFEITO!$Z$300</f>
        <v>312.1240286507512</v>
      </c>
      <c r="O300" s="65">
        <f>$L$300-EFEITO!$O$300*EFEITO!$AA$300</f>
        <v>137.05567911579544</v>
      </c>
      <c r="P300" s="48"/>
      <c r="Q300" s="48"/>
      <c r="R300" s="48"/>
      <c r="S300" s="48"/>
      <c r="T300" s="48"/>
      <c r="U300" s="48"/>
      <c r="V300" s="48"/>
      <c r="W300" s="48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spans="1:36" ht="11.25" customHeight="1" x14ac:dyDescent="0.2">
      <c r="A301" s="44" t="s">
        <v>21</v>
      </c>
      <c r="B301" s="44" t="s">
        <v>22</v>
      </c>
      <c r="C301" s="44" t="s">
        <v>23</v>
      </c>
      <c r="D301" s="44" t="s">
        <v>24</v>
      </c>
      <c r="E301" s="44" t="s">
        <v>30</v>
      </c>
      <c r="F301" s="44" t="s">
        <v>25</v>
      </c>
      <c r="G301" s="44" t="s">
        <v>25</v>
      </c>
      <c r="H301" s="44" t="s">
        <v>25</v>
      </c>
      <c r="I301" s="64">
        <v>44593</v>
      </c>
      <c r="J301" s="65">
        <f>EFEITO!$J$301*EFEITO!$Y$241</f>
        <v>0</v>
      </c>
      <c r="K301" s="65">
        <f ca="1">EFEITO!$L$301*EFEITO!$Z$320</f>
        <v>1477.7334610516139</v>
      </c>
      <c r="L301" s="65">
        <f>EFEITO!$N$301*EFEITO!$AA$320</f>
        <v>648.88231749432259</v>
      </c>
      <c r="M301" s="65">
        <f>$J$301-EFEITO!$K$301*EFEITO!$Y$301</f>
        <v>0</v>
      </c>
      <c r="N301" s="65">
        <f ca="1">$K$301-EFEITO!$M$301*EFEITO!$Z$301</f>
        <v>591.09338442064563</v>
      </c>
      <c r="O301" s="65">
        <f>$L$301-EFEITO!$O$301*EFEITO!$AA$301</f>
        <v>259.552926997729</v>
      </c>
      <c r="P301" s="48"/>
      <c r="Q301" s="48"/>
      <c r="R301" s="48"/>
      <c r="S301" s="48"/>
      <c r="T301" s="48"/>
      <c r="U301" s="48"/>
      <c r="V301" s="48"/>
      <c r="W301" s="48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spans="1:36" ht="11.25" customHeight="1" x14ac:dyDescent="0.2">
      <c r="A302" s="44" t="s">
        <v>21</v>
      </c>
      <c r="B302" s="44" t="s">
        <v>22</v>
      </c>
      <c r="C302" s="44" t="s">
        <v>23</v>
      </c>
      <c r="D302" s="44" t="s">
        <v>24</v>
      </c>
      <c r="E302" s="44" t="s">
        <v>30</v>
      </c>
      <c r="F302" s="44" t="s">
        <v>25</v>
      </c>
      <c r="G302" s="44" t="s">
        <v>25</v>
      </c>
      <c r="H302" s="44" t="s">
        <v>25</v>
      </c>
      <c r="I302" s="64">
        <v>44621</v>
      </c>
      <c r="J302" s="65">
        <f>EFEITO!$J$302*EFEITO!$Y$241</f>
        <v>0</v>
      </c>
      <c r="K302" s="65">
        <f ca="1">EFEITO!$L$302*EFEITO!$Z$320</f>
        <v>1498.145852937216</v>
      </c>
      <c r="L302" s="65">
        <f>EFEITO!$N$302*EFEITO!$AA$320</f>
        <v>657.84553075397639</v>
      </c>
      <c r="M302" s="65">
        <f>$J$302-EFEITO!$K$302*EFEITO!$Y$302</f>
        <v>0</v>
      </c>
      <c r="N302" s="65">
        <f ca="1">$K$302-EFEITO!$M$302*EFEITO!$Z$302</f>
        <v>599.25834117488637</v>
      </c>
      <c r="O302" s="65">
        <f>$L$302-EFEITO!$O$302*EFEITO!$AA$302</f>
        <v>263.13821230159056</v>
      </c>
      <c r="P302" s="48"/>
      <c r="Q302" s="48"/>
      <c r="R302" s="48"/>
      <c r="S302" s="48"/>
      <c r="T302" s="48"/>
      <c r="U302" s="48"/>
      <c r="V302" s="48"/>
      <c r="W302" s="48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spans="1:36" ht="11.25" customHeight="1" x14ac:dyDescent="0.2">
      <c r="A303" s="44" t="s">
        <v>21</v>
      </c>
      <c r="B303" s="44" t="s">
        <v>22</v>
      </c>
      <c r="C303" s="44" t="s">
        <v>23</v>
      </c>
      <c r="D303" s="44" t="s">
        <v>24</v>
      </c>
      <c r="E303" s="44" t="s">
        <v>30</v>
      </c>
      <c r="F303" s="44" t="s">
        <v>25</v>
      </c>
      <c r="G303" s="44" t="s">
        <v>25</v>
      </c>
      <c r="H303" s="44" t="s">
        <v>25</v>
      </c>
      <c r="I303" s="64">
        <v>44652</v>
      </c>
      <c r="J303" s="65">
        <f>EFEITO!$J$303*EFEITO!$Y$241</f>
        <v>0</v>
      </c>
      <c r="K303" s="65">
        <f ca="1">EFEITO!$L$303*EFEITO!$Z$320</f>
        <v>2507.6314152797167</v>
      </c>
      <c r="L303" s="65">
        <f>EFEITO!$N$303*EFEITO!$AA$320</f>
        <v>1101.117168322304</v>
      </c>
      <c r="M303" s="65">
        <f>$J$303-EFEITO!$K$303*EFEITO!$Y$303</f>
        <v>0</v>
      </c>
      <c r="N303" s="65">
        <f ca="1">$K$303-EFEITO!$M$303*EFEITO!$Z$303</f>
        <v>1003.0525661118868</v>
      </c>
      <c r="O303" s="65">
        <f>$L$303-EFEITO!$O$303*EFEITO!$AA$303</f>
        <v>440.4468673289216</v>
      </c>
      <c r="P303" s="48"/>
      <c r="Q303" s="48"/>
      <c r="R303" s="48"/>
      <c r="S303" s="48"/>
      <c r="T303" s="48"/>
      <c r="U303" s="48"/>
      <c r="V303" s="48"/>
      <c r="W303" s="48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spans="1:36" ht="11.25" customHeight="1" x14ac:dyDescent="0.2">
      <c r="A304" s="44" t="s">
        <v>21</v>
      </c>
      <c r="B304" s="44" t="s">
        <v>22</v>
      </c>
      <c r="C304" s="44" t="s">
        <v>23</v>
      </c>
      <c r="D304" s="44" t="s">
        <v>24</v>
      </c>
      <c r="E304" s="44" t="s">
        <v>30</v>
      </c>
      <c r="F304" s="44" t="s">
        <v>25</v>
      </c>
      <c r="G304" s="44" t="s">
        <v>25</v>
      </c>
      <c r="H304" s="44" t="s">
        <v>25</v>
      </c>
      <c r="I304" s="64">
        <v>44682</v>
      </c>
      <c r="J304" s="65">
        <f>EFEITO!$J$304*EFEITO!$Y$241</f>
        <v>0</v>
      </c>
      <c r="K304" s="65">
        <f ca="1">EFEITO!$L$304*EFEITO!$Z$320</f>
        <v>2527.7345285003853</v>
      </c>
      <c r="L304" s="65">
        <f>EFEITO!$N$304*EFEITO!$AA$320</f>
        <v>1109.9445753204477</v>
      </c>
      <c r="M304" s="65">
        <f>$J$304-EFEITO!$K$304*EFEITO!$Y$304</f>
        <v>0</v>
      </c>
      <c r="N304" s="65">
        <f ca="1">$K$304-EFEITO!$M$304*EFEITO!$Z$304</f>
        <v>1011.0938114001542</v>
      </c>
      <c r="O304" s="65">
        <f>$L$304-EFEITO!$O$304*EFEITO!$AA$304</f>
        <v>443.97783012817911</v>
      </c>
      <c r="P304" s="48"/>
      <c r="Q304" s="48"/>
      <c r="R304" s="48"/>
      <c r="S304" s="48"/>
      <c r="T304" s="48"/>
      <c r="U304" s="48"/>
      <c r="V304" s="48"/>
      <c r="W304" s="48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spans="1:36" ht="11.25" customHeight="1" x14ac:dyDescent="0.2">
      <c r="A305" s="44" t="s">
        <v>21</v>
      </c>
      <c r="B305" s="44" t="s">
        <v>22</v>
      </c>
      <c r="C305" s="44" t="s">
        <v>23</v>
      </c>
      <c r="D305" s="44" t="s">
        <v>24</v>
      </c>
      <c r="E305" s="44" t="s">
        <v>30</v>
      </c>
      <c r="F305" s="44" t="s">
        <v>25</v>
      </c>
      <c r="G305" s="44" t="s">
        <v>25</v>
      </c>
      <c r="H305" s="44" t="s">
        <v>25</v>
      </c>
      <c r="I305" s="64">
        <v>44713</v>
      </c>
      <c r="J305" s="65">
        <f>EFEITO!$J$305*EFEITO!$Y$241</f>
        <v>0</v>
      </c>
      <c r="K305" s="65">
        <f ca="1">EFEITO!$L$305*EFEITO!$Z$320</f>
        <v>2569.4871482663893</v>
      </c>
      <c r="L305" s="65">
        <f>EFEITO!$N$305*EFEITO!$AA$320</f>
        <v>1128.2784206242848</v>
      </c>
      <c r="M305" s="65">
        <f>$J$305-EFEITO!$K$305*EFEITO!$Y$305</f>
        <v>0</v>
      </c>
      <c r="N305" s="65">
        <f ca="1">$K$305-EFEITO!$M$305*EFEITO!$Z$305</f>
        <v>1027.7948593065557</v>
      </c>
      <c r="O305" s="65">
        <f>$L$305-EFEITO!$O$305*EFEITO!$AA$305</f>
        <v>451.31136824971395</v>
      </c>
      <c r="P305" s="48"/>
      <c r="Q305" s="48"/>
      <c r="R305" s="48"/>
      <c r="S305" s="48"/>
      <c r="T305" s="48"/>
      <c r="U305" s="48"/>
      <c r="V305" s="48"/>
      <c r="W305" s="48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spans="1:36" ht="11.25" customHeight="1" x14ac:dyDescent="0.2">
      <c r="A306" s="44" t="s">
        <v>21</v>
      </c>
      <c r="B306" s="44" t="s">
        <v>22</v>
      </c>
      <c r="C306" s="44" t="s">
        <v>23</v>
      </c>
      <c r="D306" s="44" t="s">
        <v>24</v>
      </c>
      <c r="E306" s="44" t="s">
        <v>30</v>
      </c>
      <c r="F306" s="44" t="s">
        <v>25</v>
      </c>
      <c r="G306" s="44" t="s">
        <v>25</v>
      </c>
      <c r="H306" s="44" t="s">
        <v>25</v>
      </c>
      <c r="I306" s="64">
        <v>44743</v>
      </c>
      <c r="J306" s="65">
        <f>EFEITO!$J$306*EFEITO!$Y$241</f>
        <v>0</v>
      </c>
      <c r="K306" s="65">
        <f ca="1">EFEITO!$L$306*EFEITO!$Z$320</f>
        <v>2277.8373672342273</v>
      </c>
      <c r="L306" s="65">
        <f>EFEITO!$N$306*EFEITO!$AA$320</f>
        <v>1000.2131160204451</v>
      </c>
      <c r="M306" s="65">
        <f>$J$306-EFEITO!$K$306*EFEITO!$Y$306</f>
        <v>0</v>
      </c>
      <c r="N306" s="65">
        <f ca="1">$K$306-EFEITO!$M$306*EFEITO!$Z$306</f>
        <v>911.13494689369099</v>
      </c>
      <c r="O306" s="65">
        <f>$L$306-EFEITO!$O$306*EFEITO!$AA$306</f>
        <v>400.08524640817802</v>
      </c>
      <c r="P306" s="48"/>
      <c r="Q306" s="48"/>
      <c r="R306" s="48"/>
      <c r="S306" s="48"/>
      <c r="T306" s="48"/>
      <c r="U306" s="48"/>
      <c r="V306" s="48"/>
      <c r="W306" s="48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spans="1:36" ht="11.25" customHeight="1" x14ac:dyDescent="0.2">
      <c r="A307" s="44" t="s">
        <v>21</v>
      </c>
      <c r="B307" s="44" t="s">
        <v>22</v>
      </c>
      <c r="C307" s="44" t="s">
        <v>23</v>
      </c>
      <c r="D307" s="44" t="s">
        <v>24</v>
      </c>
      <c r="E307" s="44" t="s">
        <v>30</v>
      </c>
      <c r="F307" s="44" t="s">
        <v>25</v>
      </c>
      <c r="G307" s="44" t="s">
        <v>25</v>
      </c>
      <c r="H307" s="44" t="s">
        <v>25</v>
      </c>
      <c r="I307" s="64">
        <v>44774</v>
      </c>
      <c r="J307" s="65">
        <f>EFEITO!$J$307*EFEITO!$Y$241</f>
        <v>0</v>
      </c>
      <c r="K307" s="65">
        <f ca="1">EFEITO!$L$307*EFEITO!$Z$320</f>
        <v>2342.1673295403671</v>
      </c>
      <c r="L307" s="65">
        <f>EFEITO!$N$307*EFEITO!$AA$320</f>
        <v>1028.4608184145052</v>
      </c>
      <c r="M307" s="65">
        <f>$J$307-EFEITO!$K$307*EFEITO!$Y$307</f>
        <v>0</v>
      </c>
      <c r="N307" s="65">
        <f ca="1">$K$307-EFEITO!$M$307*EFEITO!$Z$307</f>
        <v>936.86693181614692</v>
      </c>
      <c r="O307" s="65">
        <f>$L$307-EFEITO!$O$307*EFEITO!$AA$307</f>
        <v>411.38432736580205</v>
      </c>
      <c r="P307" s="48"/>
      <c r="Q307" s="48"/>
      <c r="R307" s="48"/>
      <c r="S307" s="48"/>
      <c r="T307" s="48"/>
      <c r="U307" s="48"/>
      <c r="V307" s="48"/>
      <c r="W307" s="48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spans="1:36" ht="11.25" customHeight="1" x14ac:dyDescent="0.2">
      <c r="A308" s="44" t="s">
        <v>21</v>
      </c>
      <c r="B308" s="44" t="s">
        <v>22</v>
      </c>
      <c r="C308" s="44" t="s">
        <v>23</v>
      </c>
      <c r="D308" s="44" t="s">
        <v>24</v>
      </c>
      <c r="E308" s="44" t="s">
        <v>31</v>
      </c>
      <c r="F308" s="44" t="s">
        <v>25</v>
      </c>
      <c r="G308" s="44" t="s">
        <v>25</v>
      </c>
      <c r="H308" s="44" t="s">
        <v>25</v>
      </c>
      <c r="I308" s="64">
        <v>44440</v>
      </c>
      <c r="J308" s="65">
        <f>EFEITO!$J$308*EFEITO!$Y$241</f>
        <v>0</v>
      </c>
      <c r="K308" s="65">
        <f ca="1">EFEITO!$L$308*EFEITO!$Z$320</f>
        <v>647.32024570553119</v>
      </c>
      <c r="L308" s="65">
        <f>EFEITO!$N$308*EFEITO!$AA$320</f>
        <v>284.24250534022968</v>
      </c>
      <c r="M308" s="65">
        <f>$J$308-EFEITO!$K$308*EFEITO!$Y$308</f>
        <v>0</v>
      </c>
      <c r="N308" s="65">
        <f ca="1">$K$308-EFEITO!$M$308*EFEITO!$Z$308</f>
        <v>64.732024570553108</v>
      </c>
      <c r="O308" s="65">
        <f>$L$308-EFEITO!$O$308*EFEITO!$AA$308</f>
        <v>28.424250534022974</v>
      </c>
      <c r="P308" s="48"/>
      <c r="Q308" s="48"/>
      <c r="R308" s="48"/>
      <c r="S308" s="48"/>
      <c r="T308" s="48"/>
      <c r="U308" s="48"/>
      <c r="V308" s="48"/>
      <c r="W308" s="48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spans="1:36" ht="11.25" customHeight="1" x14ac:dyDescent="0.2">
      <c r="A309" s="44" t="s">
        <v>21</v>
      </c>
      <c r="B309" s="44" t="s">
        <v>22</v>
      </c>
      <c r="C309" s="44" t="s">
        <v>23</v>
      </c>
      <c r="D309" s="44" t="s">
        <v>24</v>
      </c>
      <c r="E309" s="44" t="s">
        <v>31</v>
      </c>
      <c r="F309" s="44" t="s">
        <v>25</v>
      </c>
      <c r="G309" s="44" t="s">
        <v>25</v>
      </c>
      <c r="H309" s="44" t="s">
        <v>25</v>
      </c>
      <c r="I309" s="64">
        <v>44470</v>
      </c>
      <c r="J309" s="65">
        <f>EFEITO!$J$309*EFEITO!$Y$241</f>
        <v>0</v>
      </c>
      <c r="K309" s="65">
        <f ca="1">EFEITO!$L$309*EFEITO!$Z$320</f>
        <v>681.03162018326782</v>
      </c>
      <c r="L309" s="65">
        <f>EFEITO!$N$309*EFEITO!$AA$320</f>
        <v>299.04538784480923</v>
      </c>
      <c r="M309" s="65">
        <f>$J$309-EFEITO!$K$309*EFEITO!$Y$309</f>
        <v>0</v>
      </c>
      <c r="N309" s="65">
        <f ca="1">$K$309-EFEITO!$M$309*EFEITO!$Z$309</f>
        <v>68.103162018326771</v>
      </c>
      <c r="O309" s="65">
        <f>$L$309-EFEITO!$O$309*EFEITO!$AA$309</f>
        <v>29.904538784480906</v>
      </c>
      <c r="P309" s="48"/>
      <c r="Q309" s="48"/>
      <c r="R309" s="48"/>
      <c r="S309" s="48"/>
      <c r="T309" s="48"/>
      <c r="U309" s="48"/>
      <c r="V309" s="48"/>
      <c r="W309" s="48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spans="1:36" ht="11.25" customHeight="1" x14ac:dyDescent="0.2">
      <c r="A310" s="44" t="s">
        <v>21</v>
      </c>
      <c r="B310" s="44" t="s">
        <v>22</v>
      </c>
      <c r="C310" s="44" t="s">
        <v>23</v>
      </c>
      <c r="D310" s="44" t="s">
        <v>24</v>
      </c>
      <c r="E310" s="44" t="s">
        <v>31</v>
      </c>
      <c r="F310" s="44" t="s">
        <v>25</v>
      </c>
      <c r="G310" s="44" t="s">
        <v>25</v>
      </c>
      <c r="H310" s="44" t="s">
        <v>25</v>
      </c>
      <c r="I310" s="64">
        <v>44501</v>
      </c>
      <c r="J310" s="65">
        <f>EFEITO!$J$310*EFEITO!$Y$241</f>
        <v>0</v>
      </c>
      <c r="K310" s="65">
        <f ca="1">EFEITO!$L$310*EFEITO!$Z$320</f>
        <v>697.11411075980277</v>
      </c>
      <c r="L310" s="65">
        <f>EFEITO!$N$310*EFEITO!$AA$320</f>
        <v>306.10731344332424</v>
      </c>
      <c r="M310" s="65">
        <f>$J$310-EFEITO!$K$310*EFEITO!$Y$310</f>
        <v>0</v>
      </c>
      <c r="N310" s="65">
        <f ca="1">$K$310-EFEITO!$M$310*EFEITO!$Z$310</f>
        <v>69.711411075980209</v>
      </c>
      <c r="O310" s="65">
        <f>$L$310-EFEITO!$O$310*EFEITO!$AA$310</f>
        <v>30.610731344332407</v>
      </c>
      <c r="P310" s="48"/>
      <c r="Q310" s="48"/>
      <c r="R310" s="48"/>
      <c r="S310" s="48"/>
      <c r="T310" s="48"/>
      <c r="U310" s="48"/>
      <c r="V310" s="48"/>
      <c r="W310" s="48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spans="1:36" ht="11.25" customHeight="1" x14ac:dyDescent="0.2">
      <c r="A311" s="44" t="s">
        <v>21</v>
      </c>
      <c r="B311" s="44" t="s">
        <v>22</v>
      </c>
      <c r="C311" s="44" t="s">
        <v>23</v>
      </c>
      <c r="D311" s="44" t="s">
        <v>24</v>
      </c>
      <c r="E311" s="44" t="s">
        <v>31</v>
      </c>
      <c r="F311" s="44" t="s">
        <v>25</v>
      </c>
      <c r="G311" s="44" t="s">
        <v>25</v>
      </c>
      <c r="H311" s="44" t="s">
        <v>25</v>
      </c>
      <c r="I311" s="64">
        <v>44531</v>
      </c>
      <c r="J311" s="65">
        <f>EFEITO!$J$311*EFEITO!$Y$241</f>
        <v>0</v>
      </c>
      <c r="K311" s="65">
        <f ca="1">EFEITO!$L$311*EFEITO!$Z$320</f>
        <v>804.43380749168011</v>
      </c>
      <c r="L311" s="65">
        <f>EFEITO!$N$311*EFEITO!$AA$320</f>
        <v>353.23208618726107</v>
      </c>
      <c r="M311" s="65">
        <f>$J$311-EFEITO!$K$311*EFEITO!$Y$311</f>
        <v>0</v>
      </c>
      <c r="N311" s="65">
        <f ca="1">$K$311-EFEITO!$M$311*EFEITO!$Z$311</f>
        <v>80.443380749168</v>
      </c>
      <c r="O311" s="65">
        <f>$L$311-EFEITO!$O$311*EFEITO!$AA$311</f>
        <v>35.323208618726142</v>
      </c>
      <c r="P311" s="48"/>
      <c r="Q311" s="48"/>
      <c r="R311" s="48"/>
      <c r="S311" s="48"/>
      <c r="T311" s="48"/>
      <c r="U311" s="48"/>
      <c r="V311" s="48"/>
      <c r="W311" s="48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spans="1:36" ht="11.25" customHeight="1" x14ac:dyDescent="0.2">
      <c r="A312" s="44" t="s">
        <v>21</v>
      </c>
      <c r="B312" s="44" t="s">
        <v>22</v>
      </c>
      <c r="C312" s="44" t="s">
        <v>23</v>
      </c>
      <c r="D312" s="44" t="s">
        <v>24</v>
      </c>
      <c r="E312" s="44" t="s">
        <v>31</v>
      </c>
      <c r="F312" s="44" t="s">
        <v>25</v>
      </c>
      <c r="G312" s="44" t="s">
        <v>25</v>
      </c>
      <c r="H312" s="44" t="s">
        <v>25</v>
      </c>
      <c r="I312" s="64">
        <v>44562</v>
      </c>
      <c r="J312" s="65">
        <f>EFEITO!$J$312*EFEITO!$Y$241</f>
        <v>0</v>
      </c>
      <c r="K312" s="65">
        <f ca="1">EFEITO!$L$312*EFEITO!$Z$320</f>
        <v>771.65026900874363</v>
      </c>
      <c r="L312" s="65">
        <f>EFEITO!$N$312*EFEITO!$AA$320</f>
        <v>338.83662246721121</v>
      </c>
      <c r="M312" s="65">
        <f>$J$312-EFEITO!$K$312*EFEITO!$Y$312</f>
        <v>0</v>
      </c>
      <c r="N312" s="65">
        <f ca="1">$K$312-EFEITO!$M$312*EFEITO!$Z$312</f>
        <v>77.165026900874409</v>
      </c>
      <c r="O312" s="65">
        <f>$L$312-EFEITO!$O$312*EFEITO!$AA$312</f>
        <v>33.883662246721087</v>
      </c>
      <c r="P312" s="48"/>
      <c r="Q312" s="48"/>
      <c r="R312" s="48"/>
      <c r="S312" s="48"/>
      <c r="T312" s="48"/>
      <c r="U312" s="48"/>
      <c r="V312" s="48"/>
      <c r="W312" s="48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spans="1:36" ht="11.25" customHeight="1" x14ac:dyDescent="0.2">
      <c r="A313" s="44" t="s">
        <v>21</v>
      </c>
      <c r="B313" s="44" t="s">
        <v>22</v>
      </c>
      <c r="C313" s="44" t="s">
        <v>23</v>
      </c>
      <c r="D313" s="44" t="s">
        <v>24</v>
      </c>
      <c r="E313" s="44" t="s">
        <v>31</v>
      </c>
      <c r="F313" s="44" t="s">
        <v>25</v>
      </c>
      <c r="G313" s="44" t="s">
        <v>25</v>
      </c>
      <c r="H313" s="44" t="s">
        <v>25</v>
      </c>
      <c r="I313" s="64">
        <v>44593</v>
      </c>
      <c r="J313" s="65">
        <f>EFEITO!$J$313*EFEITO!$Y$241</f>
        <v>0</v>
      </c>
      <c r="K313" s="65">
        <f ca="1">EFEITO!$L$313*EFEITO!$Z$320</f>
        <v>1314.4343259667976</v>
      </c>
      <c r="L313" s="65">
        <f>EFEITO!$N$313*EFEITO!$AA$320</f>
        <v>577.17661141709323</v>
      </c>
      <c r="M313" s="65">
        <f>$J$313-EFEITO!$K$313*EFEITO!$Y$313</f>
        <v>0</v>
      </c>
      <c r="N313" s="65">
        <f ca="1">$K$313-EFEITO!$M$313*EFEITO!$Z$313</f>
        <v>131.44343259667971</v>
      </c>
      <c r="O313" s="65">
        <f>$L$313-EFEITO!$O$313*EFEITO!$AA$313</f>
        <v>57.7176611417093</v>
      </c>
      <c r="P313" s="48"/>
      <c r="Q313" s="48"/>
      <c r="R313" s="48"/>
      <c r="S313" s="48"/>
      <c r="T313" s="48"/>
      <c r="U313" s="48"/>
      <c r="V313" s="48"/>
      <c r="W313" s="48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spans="1:36" ht="11.25" customHeight="1" x14ac:dyDescent="0.2">
      <c r="A314" s="44" t="s">
        <v>21</v>
      </c>
      <c r="B314" s="44" t="s">
        <v>22</v>
      </c>
      <c r="C314" s="44" t="s">
        <v>23</v>
      </c>
      <c r="D314" s="44" t="s">
        <v>24</v>
      </c>
      <c r="E314" s="44" t="s">
        <v>31</v>
      </c>
      <c r="F314" s="44" t="s">
        <v>25</v>
      </c>
      <c r="G314" s="44" t="s">
        <v>25</v>
      </c>
      <c r="H314" s="44" t="s">
        <v>25</v>
      </c>
      <c r="I314" s="64">
        <v>44621</v>
      </c>
      <c r="J314" s="65">
        <f>EFEITO!$J$314*EFEITO!$Y$241</f>
        <v>0</v>
      </c>
      <c r="K314" s="65">
        <f ca="1">EFEITO!$L$314*EFEITO!$Z$320</f>
        <v>1304.2281300239965</v>
      </c>
      <c r="L314" s="65">
        <f>EFEITO!$N$314*EFEITO!$AA$320</f>
        <v>572.69500478726638</v>
      </c>
      <c r="M314" s="65">
        <f>$J$314-EFEITO!$K$314*EFEITO!$Y$314</f>
        <v>0</v>
      </c>
      <c r="N314" s="65">
        <f ca="1">$K$314-EFEITO!$M$314*EFEITO!$Z$314</f>
        <v>130.42281300239961</v>
      </c>
      <c r="O314" s="65">
        <f>$L$314-EFEITO!$O$314*EFEITO!$AA$314</f>
        <v>57.269500478726627</v>
      </c>
      <c r="P314" s="48"/>
      <c r="Q314" s="48"/>
      <c r="R314" s="48"/>
      <c r="S314" s="48"/>
      <c r="T314" s="48"/>
      <c r="U314" s="48"/>
      <c r="V314" s="48"/>
      <c r="W314" s="48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spans="1:36" ht="11.25" customHeight="1" x14ac:dyDescent="0.2">
      <c r="A315" s="44" t="s">
        <v>21</v>
      </c>
      <c r="B315" s="44" t="s">
        <v>22</v>
      </c>
      <c r="C315" s="44" t="s">
        <v>23</v>
      </c>
      <c r="D315" s="44" t="s">
        <v>24</v>
      </c>
      <c r="E315" s="44" t="s">
        <v>31</v>
      </c>
      <c r="F315" s="44" t="s">
        <v>25</v>
      </c>
      <c r="G315" s="44" t="s">
        <v>25</v>
      </c>
      <c r="H315" s="44" t="s">
        <v>25</v>
      </c>
      <c r="I315" s="64">
        <v>44652</v>
      </c>
      <c r="J315" s="65">
        <f>EFEITO!$J$315*EFEITO!$Y$241</f>
        <v>0</v>
      </c>
      <c r="K315" s="65">
        <f ca="1">EFEITO!$L$315*EFEITO!$Z$320</f>
        <v>2466.8066315085125</v>
      </c>
      <c r="L315" s="65">
        <f>EFEITO!$N$315*EFEITO!$AA$320</f>
        <v>1083.1907418029966</v>
      </c>
      <c r="M315" s="65">
        <f>$J$315-EFEITO!$K$315*EFEITO!$Y$315</f>
        <v>0</v>
      </c>
      <c r="N315" s="65">
        <f ca="1">$K$315-EFEITO!$M$315*EFEITO!$Z$315</f>
        <v>246.68066315085116</v>
      </c>
      <c r="O315" s="65">
        <f>$L$315-EFEITO!$O$315*EFEITO!$AA$315</f>
        <v>108.31907418029971</v>
      </c>
      <c r="P315" s="48"/>
      <c r="Q315" s="48"/>
      <c r="R315" s="48"/>
      <c r="S315" s="48"/>
      <c r="T315" s="48"/>
      <c r="U315" s="48"/>
      <c r="V315" s="48"/>
      <c r="W315" s="48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spans="1:36" ht="11.25" customHeight="1" x14ac:dyDescent="0.2">
      <c r="A316" s="44" t="s">
        <v>21</v>
      </c>
      <c r="B316" s="44" t="s">
        <v>22</v>
      </c>
      <c r="C316" s="44" t="s">
        <v>23</v>
      </c>
      <c r="D316" s="44" t="s">
        <v>24</v>
      </c>
      <c r="E316" s="44" t="s">
        <v>31</v>
      </c>
      <c r="F316" s="44" t="s">
        <v>25</v>
      </c>
      <c r="G316" s="44" t="s">
        <v>25</v>
      </c>
      <c r="H316" s="44" t="s">
        <v>25</v>
      </c>
      <c r="I316" s="64">
        <v>44682</v>
      </c>
      <c r="J316" s="65">
        <f>EFEITO!$J$316*EFEITO!$Y$241</f>
        <v>0</v>
      </c>
      <c r="K316" s="65">
        <f ca="1">EFEITO!$L$316*EFEITO!$Z$320</f>
        <v>2447.6313542826438</v>
      </c>
      <c r="L316" s="65">
        <f>EFEITO!$N$316*EFEITO!$AA$320</f>
        <v>1074.7707535893826</v>
      </c>
      <c r="M316" s="65">
        <f>$J$316-EFEITO!$K$316*EFEITO!$Y$316</f>
        <v>0</v>
      </c>
      <c r="N316" s="65">
        <f ca="1">$K$316-EFEITO!$M$316*EFEITO!$Z$316</f>
        <v>244.76313542826438</v>
      </c>
      <c r="O316" s="65">
        <f>$L$316-EFEITO!$O$316*EFEITO!$AA$316</f>
        <v>107.47707535893835</v>
      </c>
      <c r="P316" s="48"/>
      <c r="Q316" s="48"/>
      <c r="R316" s="48"/>
      <c r="S316" s="48"/>
      <c r="T316" s="48"/>
      <c r="U316" s="48"/>
      <c r="V316" s="48"/>
      <c r="W316" s="48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spans="1:36" ht="11.25" customHeight="1" x14ac:dyDescent="0.2">
      <c r="A317" s="44" t="s">
        <v>21</v>
      </c>
      <c r="B317" s="44" t="s">
        <v>22</v>
      </c>
      <c r="C317" s="44" t="s">
        <v>23</v>
      </c>
      <c r="D317" s="44" t="s">
        <v>24</v>
      </c>
      <c r="E317" s="44" t="s">
        <v>31</v>
      </c>
      <c r="F317" s="44" t="s">
        <v>25</v>
      </c>
      <c r="G317" s="44" t="s">
        <v>25</v>
      </c>
      <c r="H317" s="44" t="s">
        <v>25</v>
      </c>
      <c r="I317" s="64">
        <v>44713</v>
      </c>
      <c r="J317" s="65">
        <f>EFEITO!$J$317*EFEITO!$Y$241</f>
        <v>0</v>
      </c>
      <c r="K317" s="65">
        <f ca="1">EFEITO!$L$317*EFEITO!$Z$320</f>
        <v>2451.6519769267775</v>
      </c>
      <c r="L317" s="65">
        <f>EFEITO!$N$317*EFEITO!$AA$320</f>
        <v>1076.5362349890113</v>
      </c>
      <c r="M317" s="65">
        <f>$J$317-EFEITO!$K$317*EFEITO!$Y$317</f>
        <v>0</v>
      </c>
      <c r="N317" s="65">
        <f ca="1">$K$317-EFEITO!$M$317*EFEITO!$Z$317</f>
        <v>245.16519769267779</v>
      </c>
      <c r="O317" s="65">
        <f>$L$317-EFEITO!$O$317*EFEITO!$AA$317</f>
        <v>107.6536234989012</v>
      </c>
      <c r="P317" s="48"/>
      <c r="Q317" s="48"/>
      <c r="R317" s="48"/>
      <c r="S317" s="48"/>
      <c r="T317" s="48"/>
      <c r="U317" s="48"/>
      <c r="V317" s="48"/>
      <c r="W317" s="48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spans="1:36" ht="11.25" customHeight="1" x14ac:dyDescent="0.2">
      <c r="A318" s="44" t="s">
        <v>21</v>
      </c>
      <c r="B318" s="44" t="s">
        <v>22</v>
      </c>
      <c r="C318" s="44" t="s">
        <v>23</v>
      </c>
      <c r="D318" s="44" t="s">
        <v>24</v>
      </c>
      <c r="E318" s="44" t="s">
        <v>31</v>
      </c>
      <c r="F318" s="44" t="s">
        <v>25</v>
      </c>
      <c r="G318" s="44" t="s">
        <v>25</v>
      </c>
      <c r="H318" s="44" t="s">
        <v>25</v>
      </c>
      <c r="I318" s="64">
        <v>44743</v>
      </c>
      <c r="J318" s="65">
        <f>EFEITO!$J$318*EFEITO!$Y$241</f>
        <v>0</v>
      </c>
      <c r="K318" s="65">
        <f ca="1">EFEITO!$L$318*EFEITO!$Z$320</f>
        <v>2380.2086053271705</v>
      </c>
      <c r="L318" s="65">
        <f>EFEITO!$N$318*EFEITO!$AA$320</f>
        <v>1045.1649885802233</v>
      </c>
      <c r="M318" s="65">
        <f>$J$318-EFEITO!$K$318*EFEITO!$Y$318</f>
        <v>0</v>
      </c>
      <c r="N318" s="65">
        <f ca="1">$K$318-EFEITO!$M$318*EFEITO!$Z$318</f>
        <v>238.02086053271705</v>
      </c>
      <c r="O318" s="65">
        <f>$L$318-EFEITO!$O$318*EFEITO!$AA$318</f>
        <v>104.51649885802226</v>
      </c>
      <c r="P318" s="48"/>
      <c r="Q318" s="48"/>
      <c r="R318" s="48"/>
      <c r="S318" s="48"/>
      <c r="T318" s="48"/>
      <c r="U318" s="48"/>
      <c r="V318" s="48"/>
      <c r="W318" s="48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spans="1:36" ht="11.25" customHeight="1" x14ac:dyDescent="0.2">
      <c r="A319" s="44" t="s">
        <v>21</v>
      </c>
      <c r="B319" s="44" t="s">
        <v>22</v>
      </c>
      <c r="C319" s="44" t="s">
        <v>23</v>
      </c>
      <c r="D319" s="44" t="s">
        <v>24</v>
      </c>
      <c r="E319" s="44" t="s">
        <v>31</v>
      </c>
      <c r="F319" s="44" t="s">
        <v>25</v>
      </c>
      <c r="G319" s="44" t="s">
        <v>25</v>
      </c>
      <c r="H319" s="44" t="s">
        <v>25</v>
      </c>
      <c r="I319" s="64">
        <v>44774</v>
      </c>
      <c r="J319" s="65">
        <f>EFEITO!$J$319*EFEITO!$Y$241</f>
        <v>0</v>
      </c>
      <c r="K319" s="65">
        <f ca="1">EFEITO!$L$319*EFEITO!$Z$320</f>
        <v>2241.9610421019565</v>
      </c>
      <c r="L319" s="65">
        <f>EFEITO!$N$319*EFEITO!$AA$320</f>
        <v>984.45958968529612</v>
      </c>
      <c r="M319" s="65">
        <f>$J$319-EFEITO!$K$319*EFEITO!$Y$319</f>
        <v>0</v>
      </c>
      <c r="N319" s="65">
        <f ca="1">$K$319-EFEITO!$M$319*EFEITO!$Z$319</f>
        <v>224.19610421019547</v>
      </c>
      <c r="O319" s="65">
        <f>$L$319-EFEITO!$O$319*EFEITO!$AA$319</f>
        <v>98.445958968529567</v>
      </c>
      <c r="P319" s="48"/>
      <c r="Q319" s="48"/>
      <c r="R319" s="48"/>
      <c r="S319" s="48"/>
      <c r="T319" s="48"/>
      <c r="U319" s="48"/>
      <c r="V319" s="48"/>
      <c r="W319" s="48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spans="1:36" ht="11.25" customHeight="1" x14ac:dyDescent="0.2">
      <c r="A320" s="44" t="s">
        <v>21</v>
      </c>
      <c r="B320" s="44" t="s">
        <v>22</v>
      </c>
      <c r="C320" s="44" t="s">
        <v>23</v>
      </c>
      <c r="D320" s="44" t="s">
        <v>24</v>
      </c>
      <c r="E320" s="44" t="s">
        <v>32</v>
      </c>
      <c r="F320" s="44" t="s">
        <v>25</v>
      </c>
      <c r="G320" s="44" t="s">
        <v>25</v>
      </c>
      <c r="H320" s="44" t="s">
        <v>25</v>
      </c>
      <c r="I320" s="64">
        <v>44440</v>
      </c>
      <c r="J320" s="65">
        <f>EFEITO!$J$320*EFEITO!$Y$241</f>
        <v>0</v>
      </c>
      <c r="K320" s="65">
        <f ca="1">EFEITO!$L$320*EFEITO!$Z$320</f>
        <v>180.61874032108466</v>
      </c>
      <c r="L320" s="65">
        <f>EFEITO!$N$320*EFEITO!$AA$320</f>
        <v>79.310856721784106</v>
      </c>
      <c r="M320" s="65">
        <f>$J$320-EFEITO!$K$320*EFEITO!$Y$320</f>
        <v>0</v>
      </c>
      <c r="N320" s="65">
        <f ca="1">$K$320-EFEITO!$M$320*EFEITO!$Z$320</f>
        <v>0</v>
      </c>
      <c r="O320" s="65">
        <f>$L$320-EFEITO!$O$320*EFEITO!$AA$320</f>
        <v>0</v>
      </c>
      <c r="P320" s="48"/>
      <c r="Q320" s="48"/>
      <c r="R320" s="48"/>
      <c r="S320" s="48"/>
      <c r="T320" s="48"/>
      <c r="U320" s="48"/>
      <c r="V320" s="48"/>
      <c r="W320" s="48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spans="1:36" ht="11.25" customHeight="1" x14ac:dyDescent="0.2">
      <c r="A321" s="44" t="s">
        <v>21</v>
      </c>
      <c r="B321" s="44" t="s">
        <v>22</v>
      </c>
      <c r="C321" s="44" t="s">
        <v>23</v>
      </c>
      <c r="D321" s="44" t="s">
        <v>24</v>
      </c>
      <c r="E321" s="44" t="s">
        <v>32</v>
      </c>
      <c r="F321" s="44" t="s">
        <v>25</v>
      </c>
      <c r="G321" s="44" t="s">
        <v>25</v>
      </c>
      <c r="H321" s="44" t="s">
        <v>25</v>
      </c>
      <c r="I321" s="64">
        <v>44470</v>
      </c>
      <c r="J321" s="65">
        <f>EFEITO!$J$321*EFEITO!$Y$241</f>
        <v>0</v>
      </c>
      <c r="K321" s="65">
        <f ca="1">EFEITO!$L$321*EFEITO!$Z$320</f>
        <v>185.87647762495186</v>
      </c>
      <c r="L321" s="65">
        <f>EFEITO!$N$321*EFEITO!$AA$320</f>
        <v>81.619563167452469</v>
      </c>
      <c r="M321" s="65">
        <f>$J$321-EFEITO!$K$321*EFEITO!$Y$321</f>
        <v>0</v>
      </c>
      <c r="N321" s="65">
        <f ca="1">$K$321-EFEITO!$M$321*EFEITO!$Z$321</f>
        <v>0</v>
      </c>
      <c r="O321" s="65">
        <f>$L$321-EFEITO!$O$321*EFEITO!$AA$321</f>
        <v>0</v>
      </c>
      <c r="P321" s="48"/>
      <c r="Q321" s="48"/>
      <c r="R321" s="48"/>
      <c r="S321" s="48"/>
      <c r="T321" s="48"/>
      <c r="U321" s="48"/>
      <c r="V321" s="48"/>
      <c r="W321" s="48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spans="1:36" ht="11.25" customHeight="1" x14ac:dyDescent="0.2">
      <c r="A322" s="44" t="s">
        <v>21</v>
      </c>
      <c r="B322" s="44" t="s">
        <v>22</v>
      </c>
      <c r="C322" s="44" t="s">
        <v>23</v>
      </c>
      <c r="D322" s="44" t="s">
        <v>24</v>
      </c>
      <c r="E322" s="44" t="s">
        <v>32</v>
      </c>
      <c r="F322" s="44" t="s">
        <v>25</v>
      </c>
      <c r="G322" s="44" t="s">
        <v>25</v>
      </c>
      <c r="H322" s="44" t="s">
        <v>25</v>
      </c>
      <c r="I322" s="64">
        <v>44501</v>
      </c>
      <c r="J322" s="65">
        <f>EFEITO!$J$322*EFEITO!$Y$241</f>
        <v>0</v>
      </c>
      <c r="K322" s="65">
        <f ca="1">EFEITO!$L$322*EFEITO!$Z$320</f>
        <v>207.52598417028736</v>
      </c>
      <c r="L322" s="65">
        <f>EFEITO!$N$322*EFEITO!$AA$320</f>
        <v>91.126001473145777</v>
      </c>
      <c r="M322" s="65">
        <f>$J$322-EFEITO!$K$322*EFEITO!$Y$322</f>
        <v>0</v>
      </c>
      <c r="N322" s="65">
        <f ca="1">$K$322-EFEITO!$M$322*EFEITO!$Z$322</f>
        <v>0</v>
      </c>
      <c r="O322" s="65">
        <f>$L$322-EFEITO!$O$322*EFEITO!$AA$322</f>
        <v>0</v>
      </c>
      <c r="P322" s="48"/>
      <c r="Q322" s="48"/>
      <c r="R322" s="48"/>
      <c r="S322" s="48"/>
      <c r="T322" s="48"/>
      <c r="U322" s="48"/>
      <c r="V322" s="48"/>
      <c r="W322" s="48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spans="1:36" ht="11.25" customHeight="1" x14ac:dyDescent="0.2">
      <c r="A323" s="44" t="s">
        <v>21</v>
      </c>
      <c r="B323" s="44" t="s">
        <v>22</v>
      </c>
      <c r="C323" s="44" t="s">
        <v>23</v>
      </c>
      <c r="D323" s="44" t="s">
        <v>24</v>
      </c>
      <c r="E323" s="44" t="s">
        <v>32</v>
      </c>
      <c r="F323" s="44" t="s">
        <v>25</v>
      </c>
      <c r="G323" s="44" t="s">
        <v>25</v>
      </c>
      <c r="H323" s="44" t="s">
        <v>25</v>
      </c>
      <c r="I323" s="64">
        <v>44531</v>
      </c>
      <c r="J323" s="65">
        <f>EFEITO!$J$323*EFEITO!$Y$241</f>
        <v>0</v>
      </c>
      <c r="K323" s="65">
        <f ca="1">EFEITO!$L$323*EFEITO!$Z$320</f>
        <v>396.80452710950618</v>
      </c>
      <c r="L323" s="65">
        <f>EFEITO!$N$323*EFEITO!$AA$320</f>
        <v>174.2394335172072</v>
      </c>
      <c r="M323" s="65">
        <f>$J$323-EFEITO!$K$323*EFEITO!$Y$323</f>
        <v>0</v>
      </c>
      <c r="N323" s="65">
        <f ca="1">$K$323-EFEITO!$M$323*EFEITO!$Z$323</f>
        <v>0</v>
      </c>
      <c r="O323" s="65">
        <f>$L$323-EFEITO!$O$323*EFEITO!$AA$323</f>
        <v>0</v>
      </c>
      <c r="P323" s="48"/>
      <c r="Q323" s="48"/>
      <c r="R323" s="48"/>
      <c r="S323" s="48"/>
      <c r="T323" s="48"/>
      <c r="U323" s="48"/>
      <c r="V323" s="48"/>
      <c r="W323" s="48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spans="1:36" ht="11.25" customHeight="1" x14ac:dyDescent="0.2">
      <c r="A324" s="44" t="s">
        <v>21</v>
      </c>
      <c r="B324" s="44" t="s">
        <v>22</v>
      </c>
      <c r="C324" s="44" t="s">
        <v>23</v>
      </c>
      <c r="D324" s="44" t="s">
        <v>24</v>
      </c>
      <c r="E324" s="44" t="s">
        <v>32</v>
      </c>
      <c r="F324" s="44" t="s">
        <v>25</v>
      </c>
      <c r="G324" s="44" t="s">
        <v>25</v>
      </c>
      <c r="H324" s="44" t="s">
        <v>25</v>
      </c>
      <c r="I324" s="64">
        <v>44562</v>
      </c>
      <c r="J324" s="65">
        <f>EFEITO!$J$324*EFEITO!$Y$241</f>
        <v>0</v>
      </c>
      <c r="K324" s="65">
        <f ca="1">EFEITO!$L$324*EFEITO!$Z$320</f>
        <v>340.82508875656731</v>
      </c>
      <c r="L324" s="65">
        <f>EFEITO!$N$324*EFEITO!$AA$320</f>
        <v>149.65850018391453</v>
      </c>
      <c r="M324" s="65">
        <f>$J$324-EFEITO!$K$324*EFEITO!$Y$324</f>
        <v>0</v>
      </c>
      <c r="N324" s="65">
        <f ca="1">$K$324-EFEITO!$M$324*EFEITO!$Z$324</f>
        <v>0</v>
      </c>
      <c r="O324" s="65">
        <f>$L$324-EFEITO!$O$324*EFEITO!$AA$324</f>
        <v>0</v>
      </c>
      <c r="P324" s="48"/>
      <c r="Q324" s="48"/>
      <c r="R324" s="48"/>
      <c r="S324" s="48"/>
      <c r="T324" s="48"/>
      <c r="U324" s="48"/>
      <c r="V324" s="48"/>
      <c r="W324" s="48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spans="1:36" ht="11.25" customHeight="1" x14ac:dyDescent="0.2">
      <c r="A325" s="44" t="s">
        <v>21</v>
      </c>
      <c r="B325" s="44" t="s">
        <v>22</v>
      </c>
      <c r="C325" s="44" t="s">
        <v>23</v>
      </c>
      <c r="D325" s="44" t="s">
        <v>24</v>
      </c>
      <c r="E325" s="44" t="s">
        <v>32</v>
      </c>
      <c r="F325" s="44" t="s">
        <v>25</v>
      </c>
      <c r="G325" s="44" t="s">
        <v>25</v>
      </c>
      <c r="H325" s="44" t="s">
        <v>25</v>
      </c>
      <c r="I325" s="64">
        <v>44593</v>
      </c>
      <c r="J325" s="65">
        <f>EFEITO!$J$325*EFEITO!$Y$241</f>
        <v>0</v>
      </c>
      <c r="K325" s="65">
        <f ca="1">EFEITO!$L$325*EFEITO!$Z$320</f>
        <v>457.11386677151222</v>
      </c>
      <c r="L325" s="65">
        <f>EFEITO!$N$325*EFEITO!$AA$320</f>
        <v>200.72165451163855</v>
      </c>
      <c r="M325" s="65">
        <f>$J$325-EFEITO!$K$325*EFEITO!$Y$325</f>
        <v>0</v>
      </c>
      <c r="N325" s="65">
        <f ca="1">$K$325-EFEITO!$M$325*EFEITO!$Z$325</f>
        <v>0</v>
      </c>
      <c r="O325" s="65">
        <f>$L$325-EFEITO!$O$325*EFEITO!$AA$325</f>
        <v>0</v>
      </c>
      <c r="P325" s="48"/>
      <c r="Q325" s="48"/>
      <c r="R325" s="48"/>
      <c r="S325" s="48"/>
      <c r="T325" s="48"/>
      <c r="U325" s="48"/>
      <c r="V325" s="48"/>
      <c r="W325" s="48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spans="1:36" ht="11.25" customHeight="1" x14ac:dyDescent="0.2">
      <c r="A326" s="44" t="s">
        <v>21</v>
      </c>
      <c r="B326" s="44" t="s">
        <v>22</v>
      </c>
      <c r="C326" s="44" t="s">
        <v>23</v>
      </c>
      <c r="D326" s="44" t="s">
        <v>24</v>
      </c>
      <c r="E326" s="44" t="s">
        <v>32</v>
      </c>
      <c r="F326" s="44" t="s">
        <v>25</v>
      </c>
      <c r="G326" s="44" t="s">
        <v>25</v>
      </c>
      <c r="H326" s="44" t="s">
        <v>25</v>
      </c>
      <c r="I326" s="64">
        <v>44621</v>
      </c>
      <c r="J326" s="65">
        <f>EFEITO!$J$326*EFEITO!$Y$241</f>
        <v>0</v>
      </c>
      <c r="K326" s="65">
        <f ca="1">EFEITO!$L$326*EFEITO!$Z$320</f>
        <v>658.45427764313229</v>
      </c>
      <c r="L326" s="65">
        <f>EFEITO!$N$326*EFEITO!$AA$320</f>
        <v>289.13153075458621</v>
      </c>
      <c r="M326" s="65">
        <f>$J$326-EFEITO!$K$326*EFEITO!$Y$326</f>
        <v>0</v>
      </c>
      <c r="N326" s="65">
        <f ca="1">$K$326-EFEITO!$M$326*EFEITO!$Z$326</f>
        <v>0</v>
      </c>
      <c r="O326" s="65">
        <f>$L$326-EFEITO!$O$326*EFEITO!$AA$326</f>
        <v>0</v>
      </c>
      <c r="P326" s="48"/>
      <c r="Q326" s="48"/>
      <c r="R326" s="48"/>
      <c r="S326" s="48"/>
      <c r="T326" s="48"/>
      <c r="U326" s="48"/>
      <c r="V326" s="48"/>
      <c r="W326" s="48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spans="1:36" ht="11.25" customHeight="1" x14ac:dyDescent="0.2">
      <c r="A327" s="44" t="s">
        <v>21</v>
      </c>
      <c r="B327" s="44" t="s">
        <v>22</v>
      </c>
      <c r="C327" s="44" t="s">
        <v>23</v>
      </c>
      <c r="D327" s="44" t="s">
        <v>24</v>
      </c>
      <c r="E327" s="44" t="s">
        <v>32</v>
      </c>
      <c r="F327" s="44" t="s">
        <v>25</v>
      </c>
      <c r="G327" s="44" t="s">
        <v>25</v>
      </c>
      <c r="H327" s="44" t="s">
        <v>25</v>
      </c>
      <c r="I327" s="64">
        <v>44652</v>
      </c>
      <c r="J327" s="65">
        <f>EFEITO!$J$327*EFEITO!$Y$241</f>
        <v>0</v>
      </c>
      <c r="K327" s="65">
        <f ca="1">EFEITO!$L$327*EFEITO!$Z$320</f>
        <v>943.91848537662736</v>
      </c>
      <c r="L327" s="65">
        <f>EFEITO!$N$327*EFEITO!$AA$320</f>
        <v>414.48071012822788</v>
      </c>
      <c r="M327" s="65">
        <f>$J$327-EFEITO!$K$327*EFEITO!$Y$327</f>
        <v>0</v>
      </c>
      <c r="N327" s="65">
        <f ca="1">$K$327-EFEITO!$M$327*EFEITO!$Z$327</f>
        <v>0</v>
      </c>
      <c r="O327" s="65">
        <f>$L$327-EFEITO!$O$327*EFEITO!$AA$327</f>
        <v>0</v>
      </c>
      <c r="P327" s="48"/>
      <c r="Q327" s="48"/>
      <c r="R327" s="48"/>
      <c r="S327" s="48"/>
      <c r="T327" s="48"/>
      <c r="U327" s="48"/>
      <c r="V327" s="48"/>
      <c r="W327" s="48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spans="1:36" ht="11.25" customHeight="1" x14ac:dyDescent="0.2">
      <c r="A328" s="44" t="s">
        <v>21</v>
      </c>
      <c r="B328" s="44" t="s">
        <v>22</v>
      </c>
      <c r="C328" s="44" t="s">
        <v>23</v>
      </c>
      <c r="D328" s="44" t="s">
        <v>24</v>
      </c>
      <c r="E328" s="44" t="s">
        <v>32</v>
      </c>
      <c r="F328" s="44" t="s">
        <v>25</v>
      </c>
      <c r="G328" s="44" t="s">
        <v>25</v>
      </c>
      <c r="H328" s="44" t="s">
        <v>25</v>
      </c>
      <c r="I328" s="64">
        <v>44682</v>
      </c>
      <c r="J328" s="65">
        <f>EFEITO!$J$328*EFEITO!$Y$241</f>
        <v>0</v>
      </c>
      <c r="K328" s="65">
        <f ca="1">EFEITO!$L$328*EFEITO!$Z$320</f>
        <v>813.71216743968102</v>
      </c>
      <c r="L328" s="65">
        <f>EFEITO!$N$328*EFEITO!$AA$320</f>
        <v>357.30627403255818</v>
      </c>
      <c r="M328" s="65">
        <f>$J$328-EFEITO!$K$328*EFEITO!$Y$328</f>
        <v>0</v>
      </c>
      <c r="N328" s="65">
        <f ca="1">$K$328-EFEITO!$M$328*EFEITO!$Z$328</f>
        <v>0</v>
      </c>
      <c r="O328" s="65">
        <f>$L$328-EFEITO!$O$328*EFEITO!$AA$328</f>
        <v>0</v>
      </c>
      <c r="P328" s="48"/>
      <c r="Q328" s="48"/>
      <c r="R328" s="48"/>
      <c r="S328" s="48"/>
      <c r="T328" s="48"/>
      <c r="U328" s="48"/>
      <c r="V328" s="48"/>
      <c r="W328" s="48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spans="1:36" ht="11.25" customHeight="1" x14ac:dyDescent="0.2">
      <c r="A329" s="44" t="s">
        <v>21</v>
      </c>
      <c r="B329" s="44" t="s">
        <v>22</v>
      </c>
      <c r="C329" s="44" t="s">
        <v>23</v>
      </c>
      <c r="D329" s="44" t="s">
        <v>24</v>
      </c>
      <c r="E329" s="44" t="s">
        <v>32</v>
      </c>
      <c r="F329" s="44" t="s">
        <v>25</v>
      </c>
      <c r="G329" s="44" t="s">
        <v>25</v>
      </c>
      <c r="H329" s="44" t="s">
        <v>25</v>
      </c>
      <c r="I329" s="64">
        <v>44713</v>
      </c>
      <c r="J329" s="65">
        <f>EFEITO!$J$329*EFEITO!$Y$241</f>
        <v>0</v>
      </c>
      <c r="K329" s="65">
        <f ca="1">EFEITO!$L$329*EFEITO!$Z$320</f>
        <v>1177.4238774013172</v>
      </c>
      <c r="L329" s="65">
        <f>EFEITO!$N$329*EFEITO!$AA$320</f>
        <v>517.01443756820561</v>
      </c>
      <c r="M329" s="65">
        <f>$J$329-EFEITO!$K$329*EFEITO!$Y$329</f>
        <v>0</v>
      </c>
      <c r="N329" s="65">
        <f ca="1">$K$329-EFEITO!$M$329*EFEITO!$Z$329</f>
        <v>0</v>
      </c>
      <c r="O329" s="65">
        <f>$L$329-EFEITO!$O$329*EFEITO!$AA$329</f>
        <v>0</v>
      </c>
      <c r="P329" s="48"/>
      <c r="Q329" s="48"/>
      <c r="R329" s="48"/>
      <c r="S329" s="48"/>
      <c r="T329" s="48"/>
      <c r="U329" s="48"/>
      <c r="V329" s="48"/>
      <c r="W329" s="48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 spans="1:36" ht="11.25" customHeight="1" x14ac:dyDescent="0.2">
      <c r="A330" s="44" t="s">
        <v>21</v>
      </c>
      <c r="B330" s="44" t="s">
        <v>22</v>
      </c>
      <c r="C330" s="44" t="s">
        <v>23</v>
      </c>
      <c r="D330" s="44" t="s">
        <v>24</v>
      </c>
      <c r="E330" s="44" t="s">
        <v>32</v>
      </c>
      <c r="F330" s="44" t="s">
        <v>25</v>
      </c>
      <c r="G330" s="44" t="s">
        <v>25</v>
      </c>
      <c r="H330" s="44" t="s">
        <v>25</v>
      </c>
      <c r="I330" s="64">
        <v>44743</v>
      </c>
      <c r="J330" s="65">
        <f>EFEITO!$J$330*EFEITO!$Y$241</f>
        <v>0</v>
      </c>
      <c r="K330" s="65">
        <f ca="1">EFEITO!$L$330*EFEITO!$Z$320</f>
        <v>720.00073196487176</v>
      </c>
      <c r="L330" s="65">
        <f>EFEITO!$N$330*EFEITO!$AA$320</f>
        <v>316.15697679505718</v>
      </c>
      <c r="M330" s="65">
        <f>$J$330-EFEITO!$K$330*EFEITO!$Y$330</f>
        <v>0</v>
      </c>
      <c r="N330" s="65">
        <f ca="1">$K$330-EFEITO!$M$330*EFEITO!$Z$330</f>
        <v>0</v>
      </c>
      <c r="O330" s="65">
        <f>$L$330-EFEITO!$O$330*EFEITO!$AA$330</f>
        <v>0</v>
      </c>
      <c r="P330" s="48"/>
      <c r="Q330" s="48"/>
      <c r="R330" s="48"/>
      <c r="S330" s="48"/>
      <c r="T330" s="48"/>
      <c r="U330" s="48"/>
      <c r="V330" s="48"/>
      <c r="W330" s="48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spans="1:36" ht="11.25" customHeight="1" x14ac:dyDescent="0.2">
      <c r="A331" s="44" t="s">
        <v>27</v>
      </c>
      <c r="B331" s="44" t="s">
        <v>22</v>
      </c>
      <c r="C331" s="44" t="s">
        <v>23</v>
      </c>
      <c r="D331" s="44" t="s">
        <v>24</v>
      </c>
      <c r="E331" s="44" t="s">
        <v>32</v>
      </c>
      <c r="F331" s="44" t="s">
        <v>25</v>
      </c>
      <c r="G331" s="44" t="s">
        <v>25</v>
      </c>
      <c r="H331" s="44" t="s">
        <v>25</v>
      </c>
      <c r="I331" s="64">
        <v>44743</v>
      </c>
      <c r="J331" s="65">
        <f>EFEITO!$J$331*EFEITO!$Y$241</f>
        <v>0</v>
      </c>
      <c r="K331" s="65">
        <f ca="1">EFEITO!$L$331*EFEITO!$Z$320</f>
        <v>26.597965184269317</v>
      </c>
      <c r="L331" s="65">
        <f>EFEITO!$N$331*EFEITO!$AA$320</f>
        <v>11.679338489851768</v>
      </c>
      <c r="M331" s="65">
        <f>$J$331-EFEITO!$K$331*EFEITO!$Y$331</f>
        <v>0</v>
      </c>
      <c r="N331" s="65">
        <f ca="1">$K$331-EFEITO!$M$331*EFEITO!$Z$331</f>
        <v>0</v>
      </c>
      <c r="O331" s="65">
        <f>$L$331-EFEITO!$O$331*EFEITO!$AA$331</f>
        <v>0</v>
      </c>
      <c r="P331" s="48"/>
      <c r="Q331" s="48"/>
      <c r="R331" s="48"/>
      <c r="S331" s="48"/>
      <c r="T331" s="48"/>
      <c r="U331" s="48"/>
      <c r="V331" s="48"/>
      <c r="W331" s="48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spans="1:36" ht="11.25" customHeight="1" x14ac:dyDescent="0.2">
      <c r="A332" s="44" t="s">
        <v>21</v>
      </c>
      <c r="B332" s="44" t="s">
        <v>22</v>
      </c>
      <c r="C332" s="44" t="s">
        <v>23</v>
      </c>
      <c r="D332" s="44" t="s">
        <v>24</v>
      </c>
      <c r="E332" s="44" t="s">
        <v>32</v>
      </c>
      <c r="F332" s="44" t="s">
        <v>25</v>
      </c>
      <c r="G332" s="44" t="s">
        <v>25</v>
      </c>
      <c r="H332" s="44" t="s">
        <v>25</v>
      </c>
      <c r="I332" s="64">
        <v>44774</v>
      </c>
      <c r="J332" s="65">
        <f>EFEITO!$J$332*EFEITO!$Y$241</f>
        <v>0</v>
      </c>
      <c r="K332" s="65">
        <f ca="1">EFEITO!$L$332*EFEITO!$Z$320</f>
        <v>827.01115003181576</v>
      </c>
      <c r="L332" s="65">
        <f>EFEITO!$N$332*EFEITO!$AA$320</f>
        <v>363.14594327748404</v>
      </c>
      <c r="M332" s="65">
        <f>$J$332-EFEITO!$K$332*EFEITO!$Y$332</f>
        <v>0</v>
      </c>
      <c r="N332" s="65">
        <f ca="1">$K$332-EFEITO!$M$332*EFEITO!$Z$332</f>
        <v>0</v>
      </c>
      <c r="O332" s="65">
        <f>$L$332-EFEITO!$O$332*EFEITO!$AA$332</f>
        <v>0</v>
      </c>
      <c r="P332" s="48"/>
      <c r="Q332" s="48"/>
      <c r="R332" s="48"/>
      <c r="S332" s="48"/>
      <c r="T332" s="48"/>
      <c r="U332" s="48"/>
      <c r="V332" s="48"/>
      <c r="W332" s="48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spans="1:36" ht="11.25" customHeight="1" x14ac:dyDescent="0.2">
      <c r="A333" s="44" t="s">
        <v>21</v>
      </c>
      <c r="B333" s="44" t="s">
        <v>40</v>
      </c>
      <c r="C333" s="44" t="s">
        <v>23</v>
      </c>
      <c r="D333" s="44" t="s">
        <v>41</v>
      </c>
      <c r="E333" s="44" t="s">
        <v>49</v>
      </c>
      <c r="F333" s="44" t="s">
        <v>50</v>
      </c>
      <c r="G333" s="44" t="s">
        <v>25</v>
      </c>
      <c r="H333" s="44" t="s">
        <v>25</v>
      </c>
      <c r="I333" s="64">
        <v>44440</v>
      </c>
      <c r="J333" s="65">
        <f>EFEITO!$J$333*EFEITO!$Y$241</f>
        <v>0</v>
      </c>
      <c r="K333" s="65">
        <f ca="1">EFEITO!$L$333*EFEITO!$Z$241</f>
        <v>1745.4172361681503</v>
      </c>
      <c r="L333" s="65">
        <f>EFEITO!$N$333*EFEITO!$AA$241</f>
        <v>570.25049208008807</v>
      </c>
      <c r="M333" s="65">
        <f>$J$333-EFEITO!$K$333*EFEITO!$Y$333</f>
        <v>0</v>
      </c>
      <c r="N333" s="65">
        <f ca="1">$K$333-EFEITO!$M$333*EFEITO!$Z$333</f>
        <v>104.7250341700892</v>
      </c>
      <c r="O333" s="65">
        <f>$L$333-EFEITO!$O$333*EFEITO!$AA$333</f>
        <v>34.215029524805345</v>
      </c>
      <c r="P333" s="48"/>
      <c r="Q333" s="48"/>
      <c r="R333" s="48"/>
      <c r="S333" s="48"/>
      <c r="T333" s="48"/>
      <c r="U333" s="48"/>
      <c r="V333" s="48"/>
      <c r="W333" s="48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spans="1:36" ht="11.25" customHeight="1" x14ac:dyDescent="0.2">
      <c r="A334" s="44" t="s">
        <v>28</v>
      </c>
      <c r="B334" s="44" t="s">
        <v>40</v>
      </c>
      <c r="C334" s="44" t="s">
        <v>23</v>
      </c>
      <c r="D334" s="44" t="s">
        <v>41</v>
      </c>
      <c r="E334" s="44" t="s">
        <v>49</v>
      </c>
      <c r="F334" s="44" t="s">
        <v>50</v>
      </c>
      <c r="G334" s="44" t="s">
        <v>25</v>
      </c>
      <c r="H334" s="44" t="s">
        <v>25</v>
      </c>
      <c r="I334" s="64">
        <v>44440</v>
      </c>
      <c r="J334" s="65">
        <f>EFEITO!$J$334*EFEITO!$Y$241</f>
        <v>0</v>
      </c>
      <c r="K334" s="65">
        <f ca="1">EFEITO!$L$334*EFEITO!$Z$241</f>
        <v>95.189461081806726</v>
      </c>
      <c r="L334" s="65">
        <f>EFEITO!$N$334*EFEITO!$AA$241</f>
        <v>31.099633885768082</v>
      </c>
      <c r="M334" s="65">
        <f>$J$334-EFEITO!$K$334*EFEITO!$Y$334</f>
        <v>0</v>
      </c>
      <c r="N334" s="65">
        <f ca="1">$K$334-EFEITO!$M$334*EFEITO!$Z$334</f>
        <v>5.7113676649084084</v>
      </c>
      <c r="O334" s="65">
        <f>$L$334-EFEITO!$O$334*EFEITO!$AA$334</f>
        <v>1.8659780331460851</v>
      </c>
      <c r="P334" s="48"/>
      <c r="Q334" s="48"/>
      <c r="R334" s="48"/>
      <c r="S334" s="48"/>
      <c r="T334" s="48"/>
      <c r="U334" s="48"/>
      <c r="V334" s="48"/>
      <c r="W334" s="48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spans="1:36" ht="11.25" customHeight="1" x14ac:dyDescent="0.2">
      <c r="A335" s="44" t="s">
        <v>21</v>
      </c>
      <c r="B335" s="44" t="s">
        <v>40</v>
      </c>
      <c r="C335" s="44" t="s">
        <v>23</v>
      </c>
      <c r="D335" s="44" t="s">
        <v>41</v>
      </c>
      <c r="E335" s="44" t="s">
        <v>49</v>
      </c>
      <c r="F335" s="44" t="s">
        <v>50</v>
      </c>
      <c r="G335" s="44" t="s">
        <v>25</v>
      </c>
      <c r="H335" s="44" t="s">
        <v>25</v>
      </c>
      <c r="I335" s="64">
        <v>44470</v>
      </c>
      <c r="J335" s="65">
        <f>EFEITO!$J$335*EFEITO!$Y$241</f>
        <v>0</v>
      </c>
      <c r="K335" s="65">
        <f ca="1">EFEITO!$L$335*EFEITO!$Z$241</f>
        <v>1246.6078331193817</v>
      </c>
      <c r="L335" s="65">
        <f>EFEITO!$N$335*EFEITO!$AA$241</f>
        <v>407.28297826820295</v>
      </c>
      <c r="M335" s="65">
        <f>$J$335-EFEITO!$K$335*EFEITO!$Y$335</f>
        <v>0</v>
      </c>
      <c r="N335" s="65">
        <f ca="1">$K$335-EFEITO!$M$335*EFEITO!$Z$335</f>
        <v>74.796469987163164</v>
      </c>
      <c r="O335" s="65">
        <f>$L$335-EFEITO!$O$335*EFEITO!$AA$335</f>
        <v>24.436978696092183</v>
      </c>
      <c r="P335" s="48"/>
      <c r="Q335" s="48"/>
      <c r="R335" s="48"/>
      <c r="S335" s="48"/>
      <c r="T335" s="48"/>
      <c r="U335" s="48"/>
      <c r="V335" s="48"/>
      <c r="W335" s="48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spans="1:36" ht="11.25" customHeight="1" x14ac:dyDescent="0.2">
      <c r="A336" s="44" t="s">
        <v>28</v>
      </c>
      <c r="B336" s="44" t="s">
        <v>40</v>
      </c>
      <c r="C336" s="44" t="s">
        <v>23</v>
      </c>
      <c r="D336" s="44" t="s">
        <v>41</v>
      </c>
      <c r="E336" s="44" t="s">
        <v>49</v>
      </c>
      <c r="F336" s="44" t="s">
        <v>50</v>
      </c>
      <c r="G336" s="44" t="s">
        <v>25</v>
      </c>
      <c r="H336" s="44" t="s">
        <v>25</v>
      </c>
      <c r="I336" s="64">
        <v>44470</v>
      </c>
      <c r="J336" s="65">
        <f>EFEITO!$J$336*EFEITO!$Y$241</f>
        <v>0</v>
      </c>
      <c r="K336" s="65">
        <f ca="1">EFEITO!$L$336*EFEITO!$Z$241</f>
        <v>86.875971030993909</v>
      </c>
      <c r="L336" s="65">
        <f>EFEITO!$N$336*EFEITO!$AA$241</f>
        <v>28.383508655569994</v>
      </c>
      <c r="M336" s="65">
        <f>$J$336-EFEITO!$K$336*EFEITO!$Y$336</f>
        <v>0</v>
      </c>
      <c r="N336" s="65">
        <f ca="1">$K$336-EFEITO!$M$336*EFEITO!$Z$336</f>
        <v>5.2125582618596411</v>
      </c>
      <c r="O336" s="65">
        <f>$L$336-EFEITO!$O$336*EFEITO!$AA$336</f>
        <v>1.7030105193341996</v>
      </c>
      <c r="P336" s="48"/>
      <c r="Q336" s="48"/>
      <c r="R336" s="48"/>
      <c r="S336" s="48"/>
      <c r="T336" s="48"/>
      <c r="U336" s="48"/>
      <c r="V336" s="48"/>
      <c r="W336" s="48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spans="1:36" ht="11.25" customHeight="1" x14ac:dyDescent="0.2">
      <c r="A337" s="44" t="s">
        <v>21</v>
      </c>
      <c r="B337" s="44" t="s">
        <v>40</v>
      </c>
      <c r="C337" s="44" t="s">
        <v>23</v>
      </c>
      <c r="D337" s="44" t="s">
        <v>41</v>
      </c>
      <c r="E337" s="44" t="s">
        <v>49</v>
      </c>
      <c r="F337" s="44" t="s">
        <v>50</v>
      </c>
      <c r="G337" s="44" t="s">
        <v>25</v>
      </c>
      <c r="H337" s="44" t="s">
        <v>25</v>
      </c>
      <c r="I337" s="64">
        <v>44501</v>
      </c>
      <c r="J337" s="65">
        <f>EFEITO!$J$337*EFEITO!$Y$241</f>
        <v>0</v>
      </c>
      <c r="K337" s="65">
        <f ca="1">EFEITO!$L$337*EFEITO!$Z$241</f>
        <v>1387.9371639831993</v>
      </c>
      <c r="L337" s="65">
        <f>EFEITO!$N$337*EFEITO!$AA$241</f>
        <v>453.45710718157039</v>
      </c>
      <c r="M337" s="65">
        <f>$J$337-EFEITO!$K$337*EFEITO!$Y$337</f>
        <v>0</v>
      </c>
      <c r="N337" s="65">
        <f ca="1">$K$337-EFEITO!$M$337*EFEITO!$Z$337</f>
        <v>83.276229838992094</v>
      </c>
      <c r="O337" s="65">
        <f>$L$337-EFEITO!$O$337*EFEITO!$AA$337</f>
        <v>27.207426430894202</v>
      </c>
      <c r="P337" s="48"/>
      <c r="Q337" s="48"/>
      <c r="R337" s="48"/>
      <c r="S337" s="48"/>
      <c r="T337" s="48"/>
      <c r="U337" s="48"/>
      <c r="V337" s="48"/>
      <c r="W337" s="48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spans="1:36" ht="11.25" customHeight="1" x14ac:dyDescent="0.2">
      <c r="A338" s="44" t="s">
        <v>28</v>
      </c>
      <c r="B338" s="44" t="s">
        <v>40</v>
      </c>
      <c r="C338" s="44" t="s">
        <v>23</v>
      </c>
      <c r="D338" s="44" t="s">
        <v>41</v>
      </c>
      <c r="E338" s="44" t="s">
        <v>49</v>
      </c>
      <c r="F338" s="44" t="s">
        <v>50</v>
      </c>
      <c r="G338" s="44" t="s">
        <v>25</v>
      </c>
      <c r="H338" s="44" t="s">
        <v>25</v>
      </c>
      <c r="I338" s="64">
        <v>44501</v>
      </c>
      <c r="J338" s="65">
        <f>EFEITO!$J$338*EFEITO!$Y$241</f>
        <v>0</v>
      </c>
      <c r="K338" s="65">
        <f ca="1">EFEITO!$L$338*EFEITO!$Z$241</f>
        <v>81.472202497965583</v>
      </c>
      <c r="L338" s="65">
        <f>EFEITO!$N$338*EFEITO!$AA$241</f>
        <v>26.618027255941243</v>
      </c>
      <c r="M338" s="65">
        <f>$J$338-EFEITO!$K$338*EFEITO!$Y$338</f>
        <v>0</v>
      </c>
      <c r="N338" s="65">
        <f ca="1">$K$338-EFEITO!$M$338*EFEITO!$Z$338</f>
        <v>4.8883321498779395</v>
      </c>
      <c r="O338" s="65">
        <f>$L$338-EFEITO!$O$338*EFEITO!$AA$338</f>
        <v>1.5970816353564778</v>
      </c>
      <c r="P338" s="48"/>
      <c r="Q338" s="48"/>
      <c r="R338" s="48"/>
      <c r="S338" s="48"/>
      <c r="T338" s="48"/>
      <c r="U338" s="48"/>
      <c r="V338" s="48"/>
      <c r="W338" s="48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spans="1:36" ht="11.25" customHeight="1" x14ac:dyDescent="0.2">
      <c r="A339" s="44" t="s">
        <v>21</v>
      </c>
      <c r="B339" s="44" t="s">
        <v>40</v>
      </c>
      <c r="C339" s="44" t="s">
        <v>23</v>
      </c>
      <c r="D339" s="44" t="s">
        <v>41</v>
      </c>
      <c r="E339" s="44" t="s">
        <v>49</v>
      </c>
      <c r="F339" s="44" t="s">
        <v>50</v>
      </c>
      <c r="G339" s="44" t="s">
        <v>25</v>
      </c>
      <c r="H339" s="44" t="s">
        <v>25</v>
      </c>
      <c r="I339" s="64">
        <v>44531</v>
      </c>
      <c r="J339" s="65">
        <f>EFEITO!$J$339*EFEITO!$Y$241</f>
        <v>0</v>
      </c>
      <c r="K339" s="65">
        <f ca="1">EFEITO!$L$339*EFEITO!$Z$241</f>
        <v>1194.6485203018015</v>
      </c>
      <c r="L339" s="65">
        <f>EFEITO!$N$339*EFEITO!$AA$241</f>
        <v>390.30719557946492</v>
      </c>
      <c r="M339" s="65">
        <f>$J$339-EFEITO!$K$339*EFEITO!$Y$339</f>
        <v>0</v>
      </c>
      <c r="N339" s="65">
        <f ca="1">$K$339-EFEITO!$M$339*EFEITO!$Z$339</f>
        <v>71.678911218108169</v>
      </c>
      <c r="O339" s="65">
        <f>$L$339-EFEITO!$O$339*EFEITO!$AA$339</f>
        <v>23.418431734767864</v>
      </c>
      <c r="P339" s="48"/>
      <c r="Q339" s="48"/>
      <c r="R339" s="48"/>
      <c r="S339" s="48"/>
      <c r="T339" s="48"/>
      <c r="U339" s="48"/>
      <c r="V339" s="48"/>
      <c r="W339" s="48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spans="1:36" ht="11.25" customHeight="1" x14ac:dyDescent="0.2">
      <c r="A340" s="44" t="s">
        <v>28</v>
      </c>
      <c r="B340" s="44" t="s">
        <v>40</v>
      </c>
      <c r="C340" s="44" t="s">
        <v>23</v>
      </c>
      <c r="D340" s="44" t="s">
        <v>41</v>
      </c>
      <c r="E340" s="44" t="s">
        <v>49</v>
      </c>
      <c r="F340" s="44" t="s">
        <v>50</v>
      </c>
      <c r="G340" s="44" t="s">
        <v>25</v>
      </c>
      <c r="H340" s="44" t="s">
        <v>25</v>
      </c>
      <c r="I340" s="64">
        <v>44531</v>
      </c>
      <c r="J340" s="65">
        <f>EFEITO!$J$340*EFEITO!$Y$241</f>
        <v>0</v>
      </c>
      <c r="K340" s="65">
        <f ca="1">EFEITO!$L$340*EFEITO!$Z$241</f>
        <v>358.31142119003232</v>
      </c>
      <c r="L340" s="65">
        <f>EFEITO!$N$340*EFEITO!$AA$241</f>
        <v>117.0649974215375</v>
      </c>
      <c r="M340" s="65">
        <f>$J$340-EFEITO!$K$340*EFEITO!$Y$340</f>
        <v>0</v>
      </c>
      <c r="N340" s="65">
        <f ca="1">$K$340-EFEITO!$M$340*EFEITO!$Z$340</f>
        <v>21.498685271401996</v>
      </c>
      <c r="O340" s="65">
        <f>$L$340-EFEITO!$O$340*EFEITO!$AA$340</f>
        <v>7.023899845292263</v>
      </c>
      <c r="P340" s="48"/>
      <c r="Q340" s="48"/>
      <c r="R340" s="48"/>
      <c r="S340" s="48"/>
      <c r="T340" s="48"/>
      <c r="U340" s="48"/>
      <c r="V340" s="48"/>
      <c r="W340" s="48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spans="1:36" ht="11.25" customHeight="1" x14ac:dyDescent="0.2">
      <c r="A341" s="44" t="s">
        <v>21</v>
      </c>
      <c r="B341" s="44" t="s">
        <v>40</v>
      </c>
      <c r="C341" s="44" t="s">
        <v>23</v>
      </c>
      <c r="D341" s="44" t="s">
        <v>41</v>
      </c>
      <c r="E341" s="44" t="s">
        <v>49</v>
      </c>
      <c r="F341" s="44" t="s">
        <v>50</v>
      </c>
      <c r="G341" s="44" t="s">
        <v>25</v>
      </c>
      <c r="H341" s="44" t="s">
        <v>25</v>
      </c>
      <c r="I341" s="64">
        <v>44562</v>
      </c>
      <c r="J341" s="65">
        <f>EFEITO!$J$341*EFEITO!$Y$241</f>
        <v>0</v>
      </c>
      <c r="K341" s="65">
        <f ca="1">EFEITO!$L$341*EFEITO!$Z$241</f>
        <v>1784.0749649044299</v>
      </c>
      <c r="L341" s="65">
        <f>EFEITO!$N$341*EFEITO!$AA$241</f>
        <v>582.88047440050923</v>
      </c>
      <c r="M341" s="65">
        <f>$J$341-EFEITO!$K$341*EFEITO!$Y$341</f>
        <v>0</v>
      </c>
      <c r="N341" s="65">
        <f ca="1">$K$341-EFEITO!$M$341*EFEITO!$Z$341</f>
        <v>107.04449789426576</v>
      </c>
      <c r="O341" s="65">
        <f>$L$341-EFEITO!$O$341*EFEITO!$AA$341</f>
        <v>34.972828464030613</v>
      </c>
      <c r="P341" s="48"/>
      <c r="Q341" s="48"/>
      <c r="R341" s="48"/>
      <c r="S341" s="48"/>
      <c r="T341" s="48"/>
      <c r="U341" s="48"/>
      <c r="V341" s="48"/>
      <c r="W341" s="48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spans="1:36" ht="11.25" customHeight="1" x14ac:dyDescent="0.2">
      <c r="A342" s="44" t="s">
        <v>28</v>
      </c>
      <c r="B342" s="44" t="s">
        <v>40</v>
      </c>
      <c r="C342" s="44" t="s">
        <v>23</v>
      </c>
      <c r="D342" s="44" t="s">
        <v>41</v>
      </c>
      <c r="E342" s="44" t="s">
        <v>49</v>
      </c>
      <c r="F342" s="44" t="s">
        <v>50</v>
      </c>
      <c r="G342" s="44" t="s">
        <v>25</v>
      </c>
      <c r="H342" s="44" t="s">
        <v>25</v>
      </c>
      <c r="I342" s="64">
        <v>44562</v>
      </c>
      <c r="J342" s="65">
        <f>EFEITO!$J$342*EFEITO!$Y$241</f>
        <v>0</v>
      </c>
      <c r="K342" s="65">
        <f ca="1">EFEITO!$L$342*EFEITO!$Z$241</f>
        <v>184.5594791280445</v>
      </c>
      <c r="L342" s="65">
        <f>EFEITO!$N$342*EFEITO!$AA$241</f>
        <v>60.297980110397503</v>
      </c>
      <c r="M342" s="65">
        <f>$J$342-EFEITO!$K$342*EFEITO!$Y$342</f>
        <v>0</v>
      </c>
      <c r="N342" s="65">
        <f ca="1">$K$342-EFEITO!$M$342*EFEITO!$Z$342</f>
        <v>11.073568747682685</v>
      </c>
      <c r="O342" s="65">
        <f>$L$342-EFEITO!$O$342*EFEITO!$AA$342</f>
        <v>3.6178788066238496</v>
      </c>
      <c r="P342" s="48"/>
      <c r="Q342" s="48"/>
      <c r="R342" s="48"/>
      <c r="S342" s="48"/>
      <c r="T342" s="48"/>
      <c r="U342" s="48"/>
      <c r="V342" s="48"/>
      <c r="W342" s="48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spans="1:36" ht="11.25" customHeight="1" x14ac:dyDescent="0.2">
      <c r="A343" s="44" t="s">
        <v>21</v>
      </c>
      <c r="B343" s="44" t="s">
        <v>40</v>
      </c>
      <c r="C343" s="44" t="s">
        <v>23</v>
      </c>
      <c r="D343" s="44" t="s">
        <v>41</v>
      </c>
      <c r="E343" s="44" t="s">
        <v>49</v>
      </c>
      <c r="F343" s="44" t="s">
        <v>50</v>
      </c>
      <c r="G343" s="44" t="s">
        <v>25</v>
      </c>
      <c r="H343" s="44" t="s">
        <v>25</v>
      </c>
      <c r="I343" s="64">
        <v>44593</v>
      </c>
      <c r="J343" s="65">
        <f>EFEITO!$J$343*EFEITO!$Y$241</f>
        <v>0</v>
      </c>
      <c r="K343" s="65">
        <f ca="1">EFEITO!$L$343*EFEITO!$Z$241</f>
        <v>1850.5828853109326</v>
      </c>
      <c r="L343" s="65">
        <f>EFEITO!$N$343*EFEITO!$AA$241</f>
        <v>604.60947624209393</v>
      </c>
      <c r="M343" s="65">
        <f>$J$343-EFEITO!$K$343*EFEITO!$Y$343</f>
        <v>0</v>
      </c>
      <c r="N343" s="65">
        <f ca="1">$K$343-EFEITO!$M$343*EFEITO!$Z$343</f>
        <v>111.03497311865613</v>
      </c>
      <c r="O343" s="65">
        <f>$L$343-EFEITO!$O$343*EFEITO!$AA$343</f>
        <v>36.276568574525754</v>
      </c>
      <c r="P343" s="48"/>
      <c r="Q343" s="48"/>
      <c r="R343" s="48"/>
      <c r="S343" s="48"/>
      <c r="T343" s="48"/>
      <c r="U343" s="48"/>
      <c r="V343" s="48"/>
      <c r="W343" s="48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spans="1:36" ht="11.25" customHeight="1" x14ac:dyDescent="0.2">
      <c r="A344" s="44" t="s">
        <v>28</v>
      </c>
      <c r="B344" s="44" t="s">
        <v>40</v>
      </c>
      <c r="C344" s="44" t="s">
        <v>23</v>
      </c>
      <c r="D344" s="44" t="s">
        <v>41</v>
      </c>
      <c r="E344" s="44" t="s">
        <v>49</v>
      </c>
      <c r="F344" s="44" t="s">
        <v>50</v>
      </c>
      <c r="G344" s="44" t="s">
        <v>25</v>
      </c>
      <c r="H344" s="44" t="s">
        <v>25</v>
      </c>
      <c r="I344" s="64">
        <v>44593</v>
      </c>
      <c r="J344" s="65">
        <f>EFEITO!$J$344*EFEITO!$Y$241</f>
        <v>0</v>
      </c>
      <c r="K344" s="65">
        <f ca="1">EFEITO!$L$344*EFEITO!$Z$241</f>
        <v>140.49798185873658</v>
      </c>
      <c r="L344" s="65">
        <f>EFEITO!$N$344*EFEITO!$AA$241</f>
        <v>45.90251639034765</v>
      </c>
      <c r="M344" s="65">
        <f>$J$344-EFEITO!$K$344*EFEITO!$Y$344</f>
        <v>0</v>
      </c>
      <c r="N344" s="65">
        <f ca="1">$K$344-EFEITO!$M$344*EFEITO!$Z$344</f>
        <v>8.429878911524213</v>
      </c>
      <c r="O344" s="65">
        <f>$L$344-EFEITO!$O$344*EFEITO!$AA$344</f>
        <v>2.7541509834208568</v>
      </c>
      <c r="P344" s="48"/>
      <c r="Q344" s="48"/>
      <c r="R344" s="48"/>
      <c r="S344" s="48"/>
      <c r="T344" s="48"/>
      <c r="U344" s="48"/>
      <c r="V344" s="48"/>
      <c r="W344" s="48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spans="1:36" ht="11.25" customHeight="1" x14ac:dyDescent="0.2">
      <c r="A345" s="44" t="s">
        <v>21</v>
      </c>
      <c r="B345" s="44" t="s">
        <v>40</v>
      </c>
      <c r="C345" s="44" t="s">
        <v>23</v>
      </c>
      <c r="D345" s="44" t="s">
        <v>41</v>
      </c>
      <c r="E345" s="44" t="s">
        <v>49</v>
      </c>
      <c r="F345" s="44" t="s">
        <v>50</v>
      </c>
      <c r="G345" s="44" t="s">
        <v>25</v>
      </c>
      <c r="H345" s="44" t="s">
        <v>25</v>
      </c>
      <c r="I345" s="64">
        <v>44621</v>
      </c>
      <c r="J345" s="65">
        <f>EFEITO!$J$345*EFEITO!$Y$241</f>
        <v>0</v>
      </c>
      <c r="K345" s="65">
        <f ca="1">EFEITO!$L$345*EFEITO!$Z$241</f>
        <v>1536.7486358927488</v>
      </c>
      <c r="L345" s="65">
        <f>EFEITO!$N$345*EFEITO!$AA$241</f>
        <v>502.07574880211615</v>
      </c>
      <c r="M345" s="65">
        <f>$J$345-EFEITO!$K$345*EFEITO!$Y$345</f>
        <v>0</v>
      </c>
      <c r="N345" s="65">
        <f ca="1">$K$345-EFEITO!$M$345*EFEITO!$Z$345</f>
        <v>92.204918153565131</v>
      </c>
      <c r="O345" s="65">
        <f>$L$345-EFEITO!$O$345*EFEITO!$AA$345</f>
        <v>30.124544928126966</v>
      </c>
      <c r="P345" s="48"/>
      <c r="Q345" s="48"/>
      <c r="R345" s="48"/>
      <c r="S345" s="48"/>
      <c r="T345" s="48"/>
      <c r="U345" s="48"/>
      <c r="V345" s="48"/>
      <c r="W345" s="48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spans="1:36" ht="11.25" customHeight="1" x14ac:dyDescent="0.2">
      <c r="A346" s="44" t="s">
        <v>28</v>
      </c>
      <c r="B346" s="44" t="s">
        <v>40</v>
      </c>
      <c r="C346" s="44" t="s">
        <v>23</v>
      </c>
      <c r="D346" s="44" t="s">
        <v>41</v>
      </c>
      <c r="E346" s="44" t="s">
        <v>49</v>
      </c>
      <c r="F346" s="44" t="s">
        <v>50</v>
      </c>
      <c r="G346" s="44" t="s">
        <v>25</v>
      </c>
      <c r="H346" s="44" t="s">
        <v>25</v>
      </c>
      <c r="I346" s="64">
        <v>44621</v>
      </c>
      <c r="J346" s="65">
        <f>EFEITO!$J$346*EFEITO!$Y$241</f>
        <v>0</v>
      </c>
      <c r="K346" s="65">
        <f ca="1">EFEITO!$L$346*EFEITO!$Z$241</f>
        <v>155.46226395019963</v>
      </c>
      <c r="L346" s="65">
        <f>EFEITO!$N$346*EFEITO!$AA$241</f>
        <v>50.791541804704202</v>
      </c>
      <c r="M346" s="65">
        <f>$J$346-EFEITO!$K$346*EFEITO!$Y$346</f>
        <v>0</v>
      </c>
      <c r="N346" s="65">
        <f ca="1">$K$346-EFEITO!$M$346*EFEITO!$Z$346</f>
        <v>9.3277358370119998</v>
      </c>
      <c r="O346" s="65">
        <f>$L$346-EFEITO!$O$346*EFEITO!$AA$346</f>
        <v>3.0474925082822537</v>
      </c>
      <c r="P346" s="48"/>
      <c r="Q346" s="48"/>
      <c r="R346" s="48"/>
      <c r="S346" s="48"/>
      <c r="T346" s="48"/>
      <c r="U346" s="48"/>
      <c r="V346" s="48"/>
      <c r="W346" s="48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spans="1:36" ht="11.25" customHeight="1" x14ac:dyDescent="0.2">
      <c r="A347" s="44" t="s">
        <v>21</v>
      </c>
      <c r="B347" s="44" t="s">
        <v>40</v>
      </c>
      <c r="C347" s="44" t="s">
        <v>23</v>
      </c>
      <c r="D347" s="44" t="s">
        <v>41</v>
      </c>
      <c r="E347" s="44" t="s">
        <v>49</v>
      </c>
      <c r="F347" s="44" t="s">
        <v>50</v>
      </c>
      <c r="G347" s="44" t="s">
        <v>25</v>
      </c>
      <c r="H347" s="44" t="s">
        <v>25</v>
      </c>
      <c r="I347" s="64">
        <v>44652</v>
      </c>
      <c r="J347" s="65">
        <f>EFEITO!$J$347*EFEITO!$Y$241</f>
        <v>0</v>
      </c>
      <c r="K347" s="65">
        <f ca="1">EFEITO!$L$347*EFEITO!$Z$241</f>
        <v>1282.7715148404172</v>
      </c>
      <c r="L347" s="65">
        <f>EFEITO!$N$347*EFEITO!$AA$241</f>
        <v>419.09812301956464</v>
      </c>
      <c r="M347" s="65">
        <f>$J$347-EFEITO!$K$347*EFEITO!$Y$347</f>
        <v>0</v>
      </c>
      <c r="N347" s="65">
        <f ca="1">$K$347-EFEITO!$M$347*EFEITO!$Z$347</f>
        <v>76.966290890425171</v>
      </c>
      <c r="O347" s="65">
        <f>$L$347-EFEITO!$O$347*EFEITO!$AA$347</f>
        <v>25.145887381173907</v>
      </c>
      <c r="P347" s="48"/>
      <c r="Q347" s="48"/>
      <c r="R347" s="48"/>
      <c r="S347" s="48"/>
      <c r="T347" s="48"/>
      <c r="U347" s="48"/>
      <c r="V347" s="48"/>
      <c r="W347" s="48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spans="1:36" ht="11.25" customHeight="1" x14ac:dyDescent="0.2">
      <c r="A348" s="44" t="s">
        <v>28</v>
      </c>
      <c r="B348" s="44" t="s">
        <v>40</v>
      </c>
      <c r="C348" s="44" t="s">
        <v>23</v>
      </c>
      <c r="D348" s="44" t="s">
        <v>41</v>
      </c>
      <c r="E348" s="44" t="s">
        <v>49</v>
      </c>
      <c r="F348" s="44" t="s">
        <v>50</v>
      </c>
      <c r="G348" s="44" t="s">
        <v>25</v>
      </c>
      <c r="H348" s="44" t="s">
        <v>25</v>
      </c>
      <c r="I348" s="64">
        <v>44652</v>
      </c>
      <c r="J348" s="65">
        <f>EFEITO!$J$348*EFEITO!$Y$241</f>
        <v>0</v>
      </c>
      <c r="K348" s="65">
        <f ca="1">EFEITO!$L$348*EFEITO!$Z$241</f>
        <v>98.514857102131842</v>
      </c>
      <c r="L348" s="65">
        <f>EFEITO!$N$348*EFEITO!$AA$241</f>
        <v>32.186083977847318</v>
      </c>
      <c r="M348" s="65">
        <f>$J$348-EFEITO!$K$348*EFEITO!$Y$348</f>
        <v>0</v>
      </c>
      <c r="N348" s="65">
        <f ca="1">$K$348-EFEITO!$M$348*EFEITO!$Z$348</f>
        <v>5.9108914261279182</v>
      </c>
      <c r="O348" s="65">
        <f>$L$348-EFEITO!$O$348*EFEITO!$AA$348</f>
        <v>1.9311650386708443</v>
      </c>
      <c r="P348" s="48"/>
      <c r="Q348" s="48"/>
      <c r="R348" s="48"/>
      <c r="S348" s="48"/>
      <c r="T348" s="48"/>
      <c r="U348" s="48"/>
      <c r="V348" s="48"/>
      <c r="W348" s="48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spans="1:36" ht="11.25" customHeight="1" x14ac:dyDescent="0.2">
      <c r="A349" s="44" t="s">
        <v>21</v>
      </c>
      <c r="B349" s="44" t="s">
        <v>40</v>
      </c>
      <c r="C349" s="44" t="s">
        <v>23</v>
      </c>
      <c r="D349" s="44" t="s">
        <v>41</v>
      </c>
      <c r="E349" s="44" t="s">
        <v>49</v>
      </c>
      <c r="F349" s="44" t="s">
        <v>50</v>
      </c>
      <c r="G349" s="44" t="s">
        <v>25</v>
      </c>
      <c r="H349" s="44" t="s">
        <v>25</v>
      </c>
      <c r="I349" s="64">
        <v>44682</v>
      </c>
      <c r="J349" s="65">
        <f>EFEITO!$J$349*EFEITO!$Y$241</f>
        <v>0</v>
      </c>
      <c r="K349" s="65">
        <f ca="1">EFEITO!$L$349*EFEITO!$Z$241</f>
        <v>903.26069402081237</v>
      </c>
      <c r="L349" s="65">
        <f>EFEITO!$N$349*EFEITO!$AA$241</f>
        <v>295.10700626102204</v>
      </c>
      <c r="M349" s="65">
        <f>$J$349-EFEITO!$K$349*EFEITO!$Y$349</f>
        <v>0</v>
      </c>
      <c r="N349" s="65">
        <f ca="1">$K$349-EFEITO!$M$349*EFEITO!$Z$349</f>
        <v>54.195641641248812</v>
      </c>
      <c r="O349" s="65">
        <f>$L$349-EFEITO!$O$349*EFEITO!$AA$349</f>
        <v>17.706420375661367</v>
      </c>
      <c r="P349" s="48"/>
      <c r="Q349" s="48"/>
      <c r="R349" s="48"/>
      <c r="S349" s="48"/>
      <c r="T349" s="48"/>
      <c r="U349" s="48"/>
      <c r="V349" s="48"/>
      <c r="W349" s="48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 spans="1:36" ht="11.25" customHeight="1" x14ac:dyDescent="0.2">
      <c r="A350" s="44" t="s">
        <v>28</v>
      </c>
      <c r="B350" s="44" t="s">
        <v>40</v>
      </c>
      <c r="C350" s="44" t="s">
        <v>23</v>
      </c>
      <c r="D350" s="44" t="s">
        <v>41</v>
      </c>
      <c r="E350" s="44" t="s">
        <v>49</v>
      </c>
      <c r="F350" s="44" t="s">
        <v>50</v>
      </c>
      <c r="G350" s="44" t="s">
        <v>25</v>
      </c>
      <c r="H350" s="44" t="s">
        <v>25</v>
      </c>
      <c r="I350" s="64">
        <v>44682</v>
      </c>
      <c r="J350" s="65">
        <f>EFEITO!$J$350*EFEITO!$Y$241</f>
        <v>0</v>
      </c>
      <c r="K350" s="65">
        <f ca="1">EFEITO!$L$350*EFEITO!$Z$241</f>
        <v>142.16067986889914</v>
      </c>
      <c r="L350" s="65">
        <f>EFEITO!$N$350*EFEITO!$AA$241</f>
        <v>46.445741436387273</v>
      </c>
      <c r="M350" s="65">
        <f>$J$350-EFEITO!$K$350*EFEITO!$Y$350</f>
        <v>0</v>
      </c>
      <c r="N350" s="65">
        <f ca="1">$K$350-EFEITO!$M$350*EFEITO!$Z$350</f>
        <v>8.5296407921339608</v>
      </c>
      <c r="O350" s="65">
        <f>$L$350-EFEITO!$O$350*EFEITO!$AA$350</f>
        <v>2.7867444861832382</v>
      </c>
      <c r="P350" s="48"/>
      <c r="Q350" s="48"/>
      <c r="R350" s="48"/>
      <c r="S350" s="48"/>
      <c r="T350" s="48"/>
      <c r="U350" s="48"/>
      <c r="V350" s="48"/>
      <c r="W350" s="48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spans="1:36" ht="11.25" customHeight="1" x14ac:dyDescent="0.2">
      <c r="A351" s="44" t="s">
        <v>21</v>
      </c>
      <c r="B351" s="44" t="s">
        <v>40</v>
      </c>
      <c r="C351" s="44" t="s">
        <v>23</v>
      </c>
      <c r="D351" s="44" t="s">
        <v>41</v>
      </c>
      <c r="E351" s="44" t="s">
        <v>49</v>
      </c>
      <c r="F351" s="44" t="s">
        <v>50</v>
      </c>
      <c r="G351" s="44" t="s">
        <v>25</v>
      </c>
      <c r="H351" s="44" t="s">
        <v>25</v>
      </c>
      <c r="I351" s="64">
        <v>44713</v>
      </c>
      <c r="J351" s="65">
        <f>EFEITO!$J$351*EFEITO!$Y$241</f>
        <v>0</v>
      </c>
      <c r="K351" s="65">
        <f ca="1">EFEITO!$L$351*EFEITO!$Z$241</f>
        <v>1284.8498873531205</v>
      </c>
      <c r="L351" s="65">
        <f>EFEITO!$N$351*EFEITO!$AA$241</f>
        <v>419.7771543271142</v>
      </c>
      <c r="M351" s="65">
        <f>$J$351-EFEITO!$K$351*EFEITO!$Y$351</f>
        <v>0</v>
      </c>
      <c r="N351" s="65">
        <f ca="1">$K$351-EFEITO!$M$351*EFEITO!$Z$351</f>
        <v>77.090993241187334</v>
      </c>
      <c r="O351" s="65">
        <f>$L$351-EFEITO!$O$351*EFEITO!$AA$351</f>
        <v>25.186629259626898</v>
      </c>
      <c r="P351" s="48"/>
      <c r="Q351" s="48"/>
      <c r="R351" s="48"/>
      <c r="S351" s="48"/>
      <c r="T351" s="48"/>
      <c r="U351" s="48"/>
      <c r="V351" s="48"/>
      <c r="W351" s="48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spans="1:36" ht="11.25" customHeight="1" x14ac:dyDescent="0.2">
      <c r="A352" s="44" t="s">
        <v>21</v>
      </c>
      <c r="B352" s="44" t="s">
        <v>40</v>
      </c>
      <c r="C352" s="44" t="s">
        <v>23</v>
      </c>
      <c r="D352" s="44" t="s">
        <v>41</v>
      </c>
      <c r="E352" s="44" t="s">
        <v>49</v>
      </c>
      <c r="F352" s="44" t="s">
        <v>50</v>
      </c>
      <c r="G352" s="44" t="s">
        <v>25</v>
      </c>
      <c r="H352" s="44" t="s">
        <v>25</v>
      </c>
      <c r="I352" s="64">
        <v>44743</v>
      </c>
      <c r="J352" s="65">
        <f>EFEITO!$J$352*EFEITO!$Y$241</f>
        <v>0</v>
      </c>
      <c r="K352" s="65">
        <f ca="1">EFEITO!$L$352*EFEITO!$Z$241</f>
        <v>1155.5751170629812</v>
      </c>
      <c r="L352" s="65">
        <f>EFEITO!$N$352*EFEITO!$AA$241</f>
        <v>377.5414069975339</v>
      </c>
      <c r="M352" s="65">
        <f>$J$352-EFEITO!$K$352*EFEITO!$Y$352</f>
        <v>0</v>
      </c>
      <c r="N352" s="65">
        <f ca="1">$K$352-EFEITO!$M$352*EFEITO!$Z$352</f>
        <v>69.334507023778997</v>
      </c>
      <c r="O352" s="65">
        <f>$L$352-EFEITO!$O$352*EFEITO!$AA$352</f>
        <v>22.652484419852044</v>
      </c>
      <c r="P352" s="48"/>
      <c r="Q352" s="48"/>
      <c r="R352" s="48"/>
      <c r="S352" s="48"/>
      <c r="T352" s="48"/>
      <c r="U352" s="48"/>
      <c r="V352" s="48"/>
      <c r="W352" s="48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spans="1:36" ht="11.25" customHeight="1" x14ac:dyDescent="0.2">
      <c r="A353" s="44" t="s">
        <v>27</v>
      </c>
      <c r="B353" s="44" t="s">
        <v>40</v>
      </c>
      <c r="C353" s="44" t="s">
        <v>23</v>
      </c>
      <c r="D353" s="44" t="s">
        <v>41</v>
      </c>
      <c r="E353" s="44" t="s">
        <v>49</v>
      </c>
      <c r="F353" s="44" t="s">
        <v>50</v>
      </c>
      <c r="G353" s="44" t="s">
        <v>25</v>
      </c>
      <c r="H353" s="44" t="s">
        <v>25</v>
      </c>
      <c r="I353" s="64">
        <v>44743</v>
      </c>
      <c r="J353" s="65">
        <f>EFEITO!$J$353*EFEITO!$Y$241</f>
        <v>0</v>
      </c>
      <c r="K353" s="65">
        <f ca="1">EFEITO!$L$353*EFEITO!$Z$241</f>
        <v>-108.07537066056659</v>
      </c>
      <c r="L353" s="65">
        <f>EFEITO!$N$353*EFEITO!$AA$241</f>
        <v>-35.309627992575116</v>
      </c>
      <c r="M353" s="65">
        <f>$J$353-EFEITO!$K$353*EFEITO!$Y$353</f>
        <v>0</v>
      </c>
      <c r="N353" s="65">
        <f ca="1">$K$353-EFEITO!$M$353*EFEITO!$Z$353</f>
        <v>-6.4845222396340034</v>
      </c>
      <c r="O353" s="65">
        <f>$L$353-EFEITO!$O$353*EFEITO!$AA$353</f>
        <v>-2.1185776795545053</v>
      </c>
      <c r="P353" s="48"/>
      <c r="Q353" s="48"/>
      <c r="R353" s="48"/>
      <c r="S353" s="48"/>
      <c r="T353" s="48"/>
      <c r="U353" s="48"/>
      <c r="V353" s="48"/>
      <c r="W353" s="48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spans="1:36" ht="11.25" customHeight="1" x14ac:dyDescent="0.2">
      <c r="A354" s="44" t="s">
        <v>28</v>
      </c>
      <c r="B354" s="44" t="s">
        <v>40</v>
      </c>
      <c r="C354" s="44" t="s">
        <v>23</v>
      </c>
      <c r="D354" s="44" t="s">
        <v>41</v>
      </c>
      <c r="E354" s="44" t="s">
        <v>49</v>
      </c>
      <c r="F354" s="44" t="s">
        <v>50</v>
      </c>
      <c r="G354" s="44" t="s">
        <v>25</v>
      </c>
      <c r="H354" s="44" t="s">
        <v>25</v>
      </c>
      <c r="I354" s="64">
        <v>44743</v>
      </c>
      <c r="J354" s="65">
        <f>EFEITO!$J$354*EFEITO!$Y$241</f>
        <v>0</v>
      </c>
      <c r="K354" s="65">
        <f ca="1">EFEITO!$L$354*EFEITO!$Z$241</f>
        <v>41.567450254064077</v>
      </c>
      <c r="L354" s="65">
        <f>EFEITO!$N$354*EFEITO!$AA$241</f>
        <v>13.58062615099043</v>
      </c>
      <c r="M354" s="65">
        <f>$J$354-EFEITO!$K$354*EFEITO!$Y$354</f>
        <v>0</v>
      </c>
      <c r="N354" s="65">
        <f ca="1">$K$354-EFEITO!$M$354*EFEITO!$Z$354</f>
        <v>2.4940470152438508</v>
      </c>
      <c r="O354" s="65">
        <f>$L$354-EFEITO!$O$354*EFEITO!$AA$354</f>
        <v>0.81483756905942606</v>
      </c>
      <c r="P354" s="48"/>
      <c r="Q354" s="48"/>
      <c r="R354" s="48"/>
      <c r="S354" s="48"/>
      <c r="T354" s="48"/>
      <c r="U354" s="48"/>
      <c r="V354" s="48"/>
      <c r="W354" s="48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spans="1:36" ht="11.25" customHeight="1" x14ac:dyDescent="0.2">
      <c r="A355" s="44" t="s">
        <v>21</v>
      </c>
      <c r="B355" s="44" t="s">
        <v>40</v>
      </c>
      <c r="C355" s="44" t="s">
        <v>23</v>
      </c>
      <c r="D355" s="44" t="s">
        <v>41</v>
      </c>
      <c r="E355" s="44" t="s">
        <v>49</v>
      </c>
      <c r="F355" s="44" t="s">
        <v>50</v>
      </c>
      <c r="G355" s="44" t="s">
        <v>25</v>
      </c>
      <c r="H355" s="44" t="s">
        <v>25</v>
      </c>
      <c r="I355" s="64">
        <v>44774</v>
      </c>
      <c r="J355" s="65">
        <f>EFEITO!$J$355*EFEITO!$Y$241</f>
        <v>0</v>
      </c>
      <c r="K355" s="65">
        <f ca="1">EFEITO!$L$355*EFEITO!$Z$241</f>
        <v>1167.2140031341191</v>
      </c>
      <c r="L355" s="65">
        <f>EFEITO!$N$355*EFEITO!$AA$241</f>
        <v>381.34398231981123</v>
      </c>
      <c r="M355" s="65">
        <f>$J$355-EFEITO!$K$355*EFEITO!$Y$355</f>
        <v>0</v>
      </c>
      <c r="N355" s="65">
        <f ca="1">$K$355-EFEITO!$M$355*EFEITO!$Z$355</f>
        <v>70.032840188047203</v>
      </c>
      <c r="O355" s="65">
        <f>$L$355-EFEITO!$O$355*EFEITO!$AA$355</f>
        <v>22.880638939188714</v>
      </c>
      <c r="P355" s="48"/>
      <c r="Q355" s="48"/>
      <c r="R355" s="48"/>
      <c r="S355" s="48"/>
      <c r="T355" s="48"/>
      <c r="U355" s="48"/>
      <c r="V355" s="48"/>
      <c r="W355" s="48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spans="1:36" ht="11.25" customHeight="1" x14ac:dyDescent="0.2">
      <c r="A356" s="44" t="s">
        <v>28</v>
      </c>
      <c r="B356" s="44" t="s">
        <v>40</v>
      </c>
      <c r="C356" s="44" t="s">
        <v>23</v>
      </c>
      <c r="D356" s="44" t="s">
        <v>41</v>
      </c>
      <c r="E356" s="44" t="s">
        <v>49</v>
      </c>
      <c r="F356" s="44" t="s">
        <v>50</v>
      </c>
      <c r="G356" s="44" t="s">
        <v>25</v>
      </c>
      <c r="H356" s="44" t="s">
        <v>25</v>
      </c>
      <c r="I356" s="64">
        <v>44774</v>
      </c>
      <c r="J356" s="65">
        <f>EFEITO!$J$356*EFEITO!$Y$241</f>
        <v>0</v>
      </c>
      <c r="K356" s="65">
        <f ca="1">EFEITO!$L$356*EFEITO!$Z$241</f>
        <v>41.567450254064077</v>
      </c>
      <c r="L356" s="65">
        <f>EFEITO!$N$356*EFEITO!$AA$241</f>
        <v>13.58062615099043</v>
      </c>
      <c r="M356" s="65">
        <f>$J$356-EFEITO!$K$356*EFEITO!$Y$356</f>
        <v>0</v>
      </c>
      <c r="N356" s="65">
        <f ca="1">$K$356-EFEITO!$M$356*EFEITO!$Z$356</f>
        <v>2.4940470152438508</v>
      </c>
      <c r="O356" s="65">
        <f>$L$356-EFEITO!$O$356*EFEITO!$AA$356</f>
        <v>0.81483756905942606</v>
      </c>
      <c r="P356" s="48"/>
      <c r="Q356" s="48"/>
      <c r="R356" s="48"/>
      <c r="S356" s="48"/>
      <c r="T356" s="48"/>
      <c r="U356" s="48"/>
      <c r="V356" s="48"/>
      <c r="W356" s="48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spans="1:36" ht="11.25" customHeight="1" x14ac:dyDescent="0.2">
      <c r="A357" s="44" t="s">
        <v>21</v>
      </c>
      <c r="B357" s="44" t="s">
        <v>40</v>
      </c>
      <c r="C357" s="44" t="s">
        <v>23</v>
      </c>
      <c r="D357" s="44" t="s">
        <v>41</v>
      </c>
      <c r="E357" s="44" t="s">
        <v>49</v>
      </c>
      <c r="F357" s="44" t="s">
        <v>51</v>
      </c>
      <c r="G357" s="44" t="s">
        <v>25</v>
      </c>
      <c r="H357" s="44" t="s">
        <v>25</v>
      </c>
      <c r="I357" s="64">
        <v>44440</v>
      </c>
      <c r="J357" s="65">
        <f>EFEITO!$J$357*EFEITO!$Y$241</f>
        <v>0</v>
      </c>
      <c r="K357" s="65">
        <f ca="1">EFEITO!$L$357*EFEITO!$Z$241</f>
        <v>1862.2217713820708</v>
      </c>
      <c r="L357" s="65">
        <f>EFEITO!$N$357*EFEITO!$AA$241</f>
        <v>608.41205156437127</v>
      </c>
      <c r="M357" s="65">
        <f>$J$357-EFEITO!$K$357*EFEITO!$Y$357</f>
        <v>0</v>
      </c>
      <c r="N357" s="65">
        <f ca="1">$K$357-EFEITO!$M$357*EFEITO!$Z$357</f>
        <v>1162.0263853424121</v>
      </c>
      <c r="O357" s="65">
        <f>$L$357-EFEITO!$O$357*EFEITO!$AA$357</f>
        <v>379.64912017616768</v>
      </c>
      <c r="P357" s="48"/>
      <c r="Q357" s="48"/>
      <c r="R357" s="48"/>
      <c r="S357" s="48"/>
      <c r="T357" s="48"/>
      <c r="U357" s="48"/>
      <c r="V357" s="48"/>
      <c r="W357" s="48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spans="1:36" ht="11.25" customHeight="1" x14ac:dyDescent="0.2">
      <c r="A358" s="44" t="s">
        <v>28</v>
      </c>
      <c r="B358" s="44" t="s">
        <v>40</v>
      </c>
      <c r="C358" s="44" t="s">
        <v>23</v>
      </c>
      <c r="D358" s="44" t="s">
        <v>41</v>
      </c>
      <c r="E358" s="44" t="s">
        <v>49</v>
      </c>
      <c r="F358" s="44" t="s">
        <v>51</v>
      </c>
      <c r="G358" s="44" t="s">
        <v>25</v>
      </c>
      <c r="H358" s="44" t="s">
        <v>25</v>
      </c>
      <c r="I358" s="64">
        <v>44440</v>
      </c>
      <c r="J358" s="65">
        <f>EFEITO!$J$358*EFEITO!$Y$241</f>
        <v>0</v>
      </c>
      <c r="K358" s="65">
        <f ca="1">EFEITO!$L$358*EFEITO!$Z$241</f>
        <v>2.4940470152438445</v>
      </c>
      <c r="L358" s="65">
        <f>EFEITO!$N$358*EFEITO!$AA$241</f>
        <v>0.81483756905942573</v>
      </c>
      <c r="M358" s="65">
        <f>$J$358-EFEITO!$K$358*EFEITO!$Y$358</f>
        <v>0</v>
      </c>
      <c r="N358" s="65">
        <f ca="1">$K$358-EFEITO!$M$358*EFEITO!$Z$358</f>
        <v>1.5562853375121593</v>
      </c>
      <c r="O358" s="65">
        <f>$L$358-EFEITO!$O$358*EFEITO!$AA$358</f>
        <v>0.50845864309308175</v>
      </c>
      <c r="P358" s="48"/>
      <c r="Q358" s="48"/>
      <c r="R358" s="48"/>
      <c r="S358" s="48"/>
      <c r="T358" s="48"/>
      <c r="U358" s="48"/>
      <c r="V358" s="48"/>
      <c r="W358" s="48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spans="1:36" ht="11.25" customHeight="1" x14ac:dyDescent="0.2">
      <c r="A359" s="44" t="s">
        <v>21</v>
      </c>
      <c r="B359" s="44" t="s">
        <v>40</v>
      </c>
      <c r="C359" s="44" t="s">
        <v>23</v>
      </c>
      <c r="D359" s="44" t="s">
        <v>41</v>
      </c>
      <c r="E359" s="44" t="s">
        <v>49</v>
      </c>
      <c r="F359" s="44" t="s">
        <v>51</v>
      </c>
      <c r="G359" s="44" t="s">
        <v>25</v>
      </c>
      <c r="H359" s="44" t="s">
        <v>25</v>
      </c>
      <c r="I359" s="64">
        <v>44470</v>
      </c>
      <c r="J359" s="65">
        <f>EFEITO!$J$359*EFEITO!$Y$241</f>
        <v>0</v>
      </c>
      <c r="K359" s="65">
        <f ca="1">EFEITO!$L$359*EFEITO!$Z$241</f>
        <v>773.57024922813241</v>
      </c>
      <c r="L359" s="65">
        <f>EFEITO!$N$359*EFEITO!$AA$241</f>
        <v>252.73545266993187</v>
      </c>
      <c r="M359" s="65">
        <f>$J$359-EFEITO!$K$359*EFEITO!$Y$359</f>
        <v>0</v>
      </c>
      <c r="N359" s="65">
        <f ca="1">$K$359-EFEITO!$M$359*EFEITO!$Z$359</f>
        <v>482.70783551835467</v>
      </c>
      <c r="O359" s="65">
        <f>$L$359-EFEITO!$O$359*EFEITO!$AA$359</f>
        <v>157.7069224660375</v>
      </c>
      <c r="P359" s="48"/>
      <c r="Q359" s="48"/>
      <c r="R359" s="48"/>
      <c r="S359" s="48"/>
      <c r="T359" s="48"/>
      <c r="U359" s="48"/>
      <c r="V359" s="48"/>
      <c r="W359" s="48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spans="1:36" ht="11.25" customHeight="1" x14ac:dyDescent="0.2">
      <c r="A360" s="44" t="s">
        <v>28</v>
      </c>
      <c r="B360" s="44" t="s">
        <v>40</v>
      </c>
      <c r="C360" s="44" t="s">
        <v>23</v>
      </c>
      <c r="D360" s="44" t="s">
        <v>41</v>
      </c>
      <c r="E360" s="44" t="s">
        <v>49</v>
      </c>
      <c r="F360" s="44" t="s">
        <v>51</v>
      </c>
      <c r="G360" s="44" t="s">
        <v>25</v>
      </c>
      <c r="H360" s="44" t="s">
        <v>25</v>
      </c>
      <c r="I360" s="64">
        <v>44470</v>
      </c>
      <c r="J360" s="65">
        <f>EFEITO!$J$360*EFEITO!$Y$241</f>
        <v>0</v>
      </c>
      <c r="K360" s="65">
        <f ca="1">EFEITO!$L$360*EFEITO!$Z$241</f>
        <v>2.0783725127032038</v>
      </c>
      <c r="L360" s="65">
        <f>EFEITO!$N$360*EFEITO!$AA$241</f>
        <v>0.67903130754952146</v>
      </c>
      <c r="M360" s="65">
        <f>$J$360-EFEITO!$K$360*EFEITO!$Y$360</f>
        <v>0</v>
      </c>
      <c r="N360" s="65">
        <f ca="1">$K$360-EFEITO!$M$360*EFEITO!$Z$360</f>
        <v>1.2969044479267993</v>
      </c>
      <c r="O360" s="65">
        <f>$L$360-EFEITO!$O$360*EFEITO!$AA$360</f>
        <v>0.42371553591090139</v>
      </c>
      <c r="P360" s="48"/>
      <c r="Q360" s="48"/>
      <c r="R360" s="48"/>
      <c r="S360" s="48"/>
      <c r="T360" s="48"/>
      <c r="U360" s="48"/>
      <c r="V360" s="48"/>
      <c r="W360" s="48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spans="1:36" ht="11.25" customHeight="1" x14ac:dyDescent="0.2">
      <c r="A361" s="44" t="s">
        <v>21</v>
      </c>
      <c r="B361" s="44" t="s">
        <v>40</v>
      </c>
      <c r="C361" s="44" t="s">
        <v>23</v>
      </c>
      <c r="D361" s="44" t="s">
        <v>41</v>
      </c>
      <c r="E361" s="44" t="s">
        <v>49</v>
      </c>
      <c r="F361" s="44" t="s">
        <v>51</v>
      </c>
      <c r="G361" s="44" t="s">
        <v>25</v>
      </c>
      <c r="H361" s="44" t="s">
        <v>25</v>
      </c>
      <c r="I361" s="64">
        <v>44501</v>
      </c>
      <c r="J361" s="65">
        <f>EFEITO!$J$361*EFEITO!$Y$241</f>
        <v>0</v>
      </c>
      <c r="K361" s="65">
        <f ca="1">EFEITO!$L$361*EFEITO!$Z$241</f>
        <v>1094.8866396920475</v>
      </c>
      <c r="L361" s="65">
        <f>EFEITO!$N$361*EFEITO!$AA$241</f>
        <v>357.71369281708786</v>
      </c>
      <c r="M361" s="65">
        <f>$J$361-EFEITO!$K$361*EFEITO!$Y$361</f>
        <v>0</v>
      </c>
      <c r="N361" s="65">
        <f ca="1">$K$361-EFEITO!$M$361*EFEITO!$Z$361</f>
        <v>683.20926316783766</v>
      </c>
      <c r="O361" s="65">
        <f>$L$361-EFEITO!$O$361*EFEITO!$AA$361</f>
        <v>223.21334431786281</v>
      </c>
      <c r="P361" s="48"/>
      <c r="Q361" s="48"/>
      <c r="R361" s="48"/>
      <c r="S361" s="48"/>
      <c r="T361" s="48"/>
      <c r="U361" s="48"/>
      <c r="V361" s="48"/>
      <c r="W361" s="48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spans="1:36" ht="11.25" customHeight="1" x14ac:dyDescent="0.2">
      <c r="A362" s="44" t="s">
        <v>28</v>
      </c>
      <c r="B362" s="44" t="s">
        <v>40</v>
      </c>
      <c r="C362" s="44" t="s">
        <v>23</v>
      </c>
      <c r="D362" s="44" t="s">
        <v>41</v>
      </c>
      <c r="E362" s="44" t="s">
        <v>49</v>
      </c>
      <c r="F362" s="44" t="s">
        <v>51</v>
      </c>
      <c r="G362" s="44" t="s">
        <v>25</v>
      </c>
      <c r="H362" s="44" t="s">
        <v>25</v>
      </c>
      <c r="I362" s="64">
        <v>44501</v>
      </c>
      <c r="J362" s="65">
        <f>EFEITO!$J$362*EFEITO!$Y$241</f>
        <v>0</v>
      </c>
      <c r="K362" s="65">
        <f ca="1">EFEITO!$L$362*EFEITO!$Z$241</f>
        <v>1.662698010162563</v>
      </c>
      <c r="L362" s="65">
        <f>EFEITO!$N$362*EFEITO!$AA$241</f>
        <v>0.54322504603961719</v>
      </c>
      <c r="M362" s="65">
        <f>$J$362-EFEITO!$K$362*EFEITO!$Y$362</f>
        <v>0</v>
      </c>
      <c r="N362" s="65">
        <f ca="1">$K$362-EFEITO!$M$362*EFEITO!$Z$362</f>
        <v>1.0375235583414395</v>
      </c>
      <c r="O362" s="65">
        <f>$L$362-EFEITO!$O$362*EFEITO!$AA$362</f>
        <v>0.33897242872872113</v>
      </c>
      <c r="P362" s="48"/>
      <c r="Q362" s="48"/>
      <c r="R362" s="48"/>
      <c r="S362" s="48"/>
      <c r="T362" s="48"/>
      <c r="U362" s="48"/>
      <c r="V362" s="48"/>
      <c r="W362" s="48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spans="1:36" ht="11.25" customHeight="1" x14ac:dyDescent="0.2">
      <c r="A363" s="44" t="s">
        <v>21</v>
      </c>
      <c r="B363" s="44" t="s">
        <v>40</v>
      </c>
      <c r="C363" s="44" t="s">
        <v>23</v>
      </c>
      <c r="D363" s="44" t="s">
        <v>41</v>
      </c>
      <c r="E363" s="44" t="s">
        <v>49</v>
      </c>
      <c r="F363" s="44" t="s">
        <v>51</v>
      </c>
      <c r="G363" s="44" t="s">
        <v>25</v>
      </c>
      <c r="H363" s="44" t="s">
        <v>25</v>
      </c>
      <c r="I363" s="64">
        <v>44531</v>
      </c>
      <c r="J363" s="65">
        <f>EFEITO!$J$363*EFEITO!$Y$241</f>
        <v>0</v>
      </c>
      <c r="K363" s="65">
        <f ca="1">EFEITO!$L$363*EFEITO!$Z$241</f>
        <v>1922.9102487530042</v>
      </c>
      <c r="L363" s="65">
        <f>EFEITO!$N$363*EFEITO!$AA$241</f>
        <v>628.2397657448173</v>
      </c>
      <c r="M363" s="65">
        <f>$J$363-EFEITO!$K$363*EFEITO!$Y$363</f>
        <v>0</v>
      </c>
      <c r="N363" s="65">
        <f ca="1">$K$363-EFEITO!$M$363*EFEITO!$Z$363</f>
        <v>1199.8959952218747</v>
      </c>
      <c r="O363" s="65">
        <f>$L$363-EFEITO!$O$363*EFEITO!$AA$363</f>
        <v>392.02161382476606</v>
      </c>
      <c r="P363" s="48"/>
      <c r="Q363" s="48"/>
      <c r="R363" s="48"/>
      <c r="S363" s="48"/>
      <c r="T363" s="48"/>
      <c r="U363" s="48"/>
      <c r="V363" s="48"/>
      <c r="W363" s="48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spans="1:36" ht="11.25" customHeight="1" x14ac:dyDescent="0.2">
      <c r="A364" s="44" t="s">
        <v>28</v>
      </c>
      <c r="B364" s="44" t="s">
        <v>40</v>
      </c>
      <c r="C364" s="44" t="s">
        <v>23</v>
      </c>
      <c r="D364" s="44" t="s">
        <v>41</v>
      </c>
      <c r="E364" s="44" t="s">
        <v>49</v>
      </c>
      <c r="F364" s="44" t="s">
        <v>51</v>
      </c>
      <c r="G364" s="44" t="s">
        <v>25</v>
      </c>
      <c r="H364" s="44" t="s">
        <v>25</v>
      </c>
      <c r="I364" s="64">
        <v>44531</v>
      </c>
      <c r="J364" s="65">
        <f>EFEITO!$J$364*EFEITO!$Y$241</f>
        <v>0</v>
      </c>
      <c r="K364" s="65">
        <f ca="1">EFEITO!$L$364*EFEITO!$Z$241</f>
        <v>162.52873049339053</v>
      </c>
      <c r="L364" s="65">
        <f>EFEITO!$N$364*EFEITO!$AA$241</f>
        <v>53.10024825037258</v>
      </c>
      <c r="M364" s="65">
        <f>$J$364-EFEITO!$K$364*EFEITO!$Y$364</f>
        <v>0</v>
      </c>
      <c r="N364" s="65">
        <f ca="1">$K$364-EFEITO!$M$364*EFEITO!$Z$364</f>
        <v>101.41792782787569</v>
      </c>
      <c r="O364" s="65">
        <f>$L$364-EFEITO!$O$364*EFEITO!$AA$364</f>
        <v>33.134554908232488</v>
      </c>
      <c r="P364" s="48"/>
      <c r="Q364" s="48"/>
      <c r="R364" s="48"/>
      <c r="S364" s="48"/>
      <c r="T364" s="48"/>
      <c r="U364" s="48"/>
      <c r="V364" s="48"/>
      <c r="W364" s="48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spans="1:36" ht="11.25" customHeight="1" x14ac:dyDescent="0.2">
      <c r="A365" s="44" t="s">
        <v>21</v>
      </c>
      <c r="B365" s="44" t="s">
        <v>40</v>
      </c>
      <c r="C365" s="44" t="s">
        <v>23</v>
      </c>
      <c r="D365" s="44" t="s">
        <v>41</v>
      </c>
      <c r="E365" s="44" t="s">
        <v>49</v>
      </c>
      <c r="F365" s="44" t="s">
        <v>51</v>
      </c>
      <c r="G365" s="44" t="s">
        <v>25</v>
      </c>
      <c r="H365" s="44" t="s">
        <v>25</v>
      </c>
      <c r="I365" s="64">
        <v>44562</v>
      </c>
      <c r="J365" s="65">
        <f>EFEITO!$J$365*EFEITO!$Y$241</f>
        <v>0</v>
      </c>
      <c r="K365" s="65">
        <f ca="1">EFEITO!$L$365*EFEITO!$Z$241</f>
        <v>3296.2988051472807</v>
      </c>
      <c r="L365" s="65">
        <f>EFEITO!$N$365*EFEITO!$AA$241</f>
        <v>1076.943653773541</v>
      </c>
      <c r="M365" s="65">
        <f>$J$365-EFEITO!$K$365*EFEITO!$Y$365</f>
        <v>0</v>
      </c>
      <c r="N365" s="65">
        <f ca="1">$K$365-EFEITO!$M$365*EFEITO!$Z$365</f>
        <v>2056.8904544119032</v>
      </c>
      <c r="O365" s="65">
        <f>$L$365-EFEITO!$O$365*EFEITO!$AA$365</f>
        <v>672.01283995468953</v>
      </c>
      <c r="P365" s="48"/>
      <c r="Q365" s="48"/>
      <c r="R365" s="48"/>
      <c r="S365" s="48"/>
      <c r="T365" s="48"/>
      <c r="U365" s="48"/>
      <c r="V365" s="48"/>
      <c r="W365" s="48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spans="1:36" ht="11.25" customHeight="1" x14ac:dyDescent="0.2">
      <c r="A366" s="44" t="s">
        <v>28</v>
      </c>
      <c r="B366" s="44" t="s">
        <v>40</v>
      </c>
      <c r="C366" s="44" t="s">
        <v>23</v>
      </c>
      <c r="D366" s="44" t="s">
        <v>41</v>
      </c>
      <c r="E366" s="44" t="s">
        <v>49</v>
      </c>
      <c r="F366" s="44" t="s">
        <v>51</v>
      </c>
      <c r="G366" s="44" t="s">
        <v>25</v>
      </c>
      <c r="H366" s="44" t="s">
        <v>25</v>
      </c>
      <c r="I366" s="64">
        <v>44562</v>
      </c>
      <c r="J366" s="65">
        <f>EFEITO!$J$366*EFEITO!$Y$241</f>
        <v>0</v>
      </c>
      <c r="K366" s="65">
        <f ca="1">EFEITO!$L$366*EFEITO!$Z$241</f>
        <v>361.2211427078168</v>
      </c>
      <c r="L366" s="65">
        <f>EFEITO!$N$366*EFEITO!$AA$241</f>
        <v>118.01564125210683</v>
      </c>
      <c r="M366" s="65">
        <f>$J$366-EFEITO!$K$366*EFEITO!$Y$366</f>
        <v>0</v>
      </c>
      <c r="N366" s="65">
        <f ca="1">$K$366-EFEITO!$M$366*EFEITO!$Z$366</f>
        <v>225.40199304967769</v>
      </c>
      <c r="O366" s="65">
        <f>$L$366-EFEITO!$O$366*EFEITO!$AA$366</f>
        <v>73.641760141314663</v>
      </c>
      <c r="P366" s="48"/>
      <c r="Q366" s="48"/>
      <c r="R366" s="48"/>
      <c r="S366" s="48"/>
      <c r="T366" s="48"/>
      <c r="U366" s="48"/>
      <c r="V366" s="48"/>
      <c r="W366" s="48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 spans="1:36" ht="11.25" customHeight="1" x14ac:dyDescent="0.2">
      <c r="A367" s="44" t="s">
        <v>21</v>
      </c>
      <c r="B367" s="44" t="s">
        <v>40</v>
      </c>
      <c r="C367" s="44" t="s">
        <v>23</v>
      </c>
      <c r="D367" s="44" t="s">
        <v>41</v>
      </c>
      <c r="E367" s="44" t="s">
        <v>49</v>
      </c>
      <c r="F367" s="44" t="s">
        <v>51</v>
      </c>
      <c r="G367" s="44" t="s">
        <v>25</v>
      </c>
      <c r="H367" s="44" t="s">
        <v>25</v>
      </c>
      <c r="I367" s="64">
        <v>44593</v>
      </c>
      <c r="J367" s="65">
        <f>EFEITO!$J$367*EFEITO!$Y$241</f>
        <v>0</v>
      </c>
      <c r="K367" s="65">
        <f ca="1">EFEITO!$L$367*EFEITO!$Z$241</f>
        <v>1887.1622415345089</v>
      </c>
      <c r="L367" s="65">
        <f>EFEITO!$N$367*EFEITO!$AA$241</f>
        <v>616.56042725496548</v>
      </c>
      <c r="M367" s="65">
        <f>$J$367-EFEITO!$K$367*EFEITO!$Y$367</f>
        <v>0</v>
      </c>
      <c r="N367" s="65">
        <f ca="1">$K$367-EFEITO!$M$367*EFEITO!$Z$367</f>
        <v>1177.5892387175336</v>
      </c>
      <c r="O367" s="65">
        <f>$L$367-EFEITO!$O$367*EFEITO!$AA$367</f>
        <v>384.7337066070985</v>
      </c>
      <c r="P367" s="48"/>
      <c r="Q367" s="48"/>
      <c r="R367" s="48"/>
      <c r="S367" s="48"/>
      <c r="T367" s="48"/>
      <c r="U367" s="48"/>
      <c r="V367" s="48"/>
      <c r="W367" s="48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spans="1:36" ht="11.25" customHeight="1" x14ac:dyDescent="0.2">
      <c r="A368" s="44" t="s">
        <v>28</v>
      </c>
      <c r="B368" s="44" t="s">
        <v>40</v>
      </c>
      <c r="C368" s="44" t="s">
        <v>23</v>
      </c>
      <c r="D368" s="44" t="s">
        <v>41</v>
      </c>
      <c r="E368" s="44" t="s">
        <v>49</v>
      </c>
      <c r="F368" s="44" t="s">
        <v>51</v>
      </c>
      <c r="G368" s="44" t="s">
        <v>25</v>
      </c>
      <c r="H368" s="44" t="s">
        <v>25</v>
      </c>
      <c r="I368" s="64">
        <v>44593</v>
      </c>
      <c r="J368" s="65">
        <f>EFEITO!$J$368*EFEITO!$Y$241</f>
        <v>0</v>
      </c>
      <c r="K368" s="65">
        <f ca="1">EFEITO!$L$368*EFEITO!$Z$241</f>
        <v>56.947406848067786</v>
      </c>
      <c r="L368" s="65">
        <f>EFEITO!$N$368*EFEITO!$AA$241</f>
        <v>18.605457826856888</v>
      </c>
      <c r="M368" s="65">
        <f>$J$368-EFEITO!$K$368*EFEITO!$Y$368</f>
        <v>0</v>
      </c>
      <c r="N368" s="65">
        <f ca="1">$K$368-EFEITO!$M$368*EFEITO!$Z$368</f>
        <v>35.535181873194304</v>
      </c>
      <c r="O368" s="65">
        <f>$L$368-EFEITO!$O$368*EFEITO!$AA$368</f>
        <v>11.609805683958697</v>
      </c>
      <c r="P368" s="48"/>
      <c r="Q368" s="48"/>
      <c r="R368" s="48"/>
      <c r="S368" s="48"/>
      <c r="T368" s="48"/>
      <c r="U368" s="48"/>
      <c r="V368" s="48"/>
      <c r="W368" s="48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spans="1:36" ht="11.25" customHeight="1" x14ac:dyDescent="0.2">
      <c r="A369" s="44" t="s">
        <v>21</v>
      </c>
      <c r="B369" s="44" t="s">
        <v>40</v>
      </c>
      <c r="C369" s="44" t="s">
        <v>23</v>
      </c>
      <c r="D369" s="44" t="s">
        <v>41</v>
      </c>
      <c r="E369" s="44" t="s">
        <v>49</v>
      </c>
      <c r="F369" s="44" t="s">
        <v>51</v>
      </c>
      <c r="G369" s="44" t="s">
        <v>25</v>
      </c>
      <c r="H369" s="44" t="s">
        <v>25</v>
      </c>
      <c r="I369" s="64">
        <v>44621</v>
      </c>
      <c r="J369" s="65">
        <f>EFEITO!$J$369*EFEITO!$Y$241</f>
        <v>0</v>
      </c>
      <c r="K369" s="65">
        <f ca="1">EFEITO!$L$369*EFEITO!$Z$241</f>
        <v>1384.6117679628742</v>
      </c>
      <c r="L369" s="65">
        <f>EFEITO!$N$369*EFEITO!$AA$241</f>
        <v>452.3706570894912</v>
      </c>
      <c r="M369" s="65">
        <f>$J$369-EFEITO!$K$369*EFEITO!$Y$369</f>
        <v>0</v>
      </c>
      <c r="N369" s="65">
        <f ca="1">$K$369-EFEITO!$M$369*EFEITO!$Z$369</f>
        <v>863.99774320883353</v>
      </c>
      <c r="O369" s="65">
        <f>$L$369-EFEITO!$O$369*EFEITO!$AA$369</f>
        <v>282.27929002384252</v>
      </c>
      <c r="P369" s="48"/>
      <c r="Q369" s="48"/>
      <c r="R369" s="48"/>
      <c r="S369" s="48"/>
      <c r="T369" s="48"/>
      <c r="U369" s="48"/>
      <c r="V369" s="48"/>
      <c r="W369" s="48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spans="1:36" ht="11.25" customHeight="1" x14ac:dyDescent="0.2">
      <c r="A370" s="44" t="s">
        <v>28</v>
      </c>
      <c r="B370" s="44" t="s">
        <v>40</v>
      </c>
      <c r="C370" s="44" t="s">
        <v>23</v>
      </c>
      <c r="D370" s="44" t="s">
        <v>41</v>
      </c>
      <c r="E370" s="44" t="s">
        <v>49</v>
      </c>
      <c r="F370" s="44" t="s">
        <v>51</v>
      </c>
      <c r="G370" s="44" t="s">
        <v>25</v>
      </c>
      <c r="H370" s="44" t="s">
        <v>25</v>
      </c>
      <c r="I370" s="64">
        <v>44621</v>
      </c>
      <c r="J370" s="65">
        <f>EFEITO!$J$370*EFEITO!$Y$241</f>
        <v>0</v>
      </c>
      <c r="K370" s="65">
        <f ca="1">EFEITO!$L$370*EFEITO!$Z$241</f>
        <v>102.25592762499763</v>
      </c>
      <c r="L370" s="65">
        <f>EFEITO!$N$370*EFEITO!$AA$241</f>
        <v>33.408340331436456</v>
      </c>
      <c r="M370" s="65">
        <f>$J$370-EFEITO!$K$370*EFEITO!$Y$370</f>
        <v>0</v>
      </c>
      <c r="N370" s="65">
        <f ca="1">$K$370-EFEITO!$M$370*EFEITO!$Z$370</f>
        <v>63.807698837998522</v>
      </c>
      <c r="O370" s="65">
        <f>$L$370-EFEITO!$O$370*EFEITO!$AA$370</f>
        <v>20.84680436681635</v>
      </c>
      <c r="P370" s="48"/>
      <c r="Q370" s="48"/>
      <c r="R370" s="48"/>
      <c r="S370" s="48"/>
      <c r="T370" s="48"/>
      <c r="U370" s="48"/>
      <c r="V370" s="48"/>
      <c r="W370" s="48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spans="1:36" ht="11.25" customHeight="1" x14ac:dyDescent="0.2">
      <c r="A371" s="44" t="s">
        <v>21</v>
      </c>
      <c r="B371" s="44" t="s">
        <v>40</v>
      </c>
      <c r="C371" s="44" t="s">
        <v>23</v>
      </c>
      <c r="D371" s="44" t="s">
        <v>41</v>
      </c>
      <c r="E371" s="44" t="s">
        <v>49</v>
      </c>
      <c r="F371" s="44" t="s">
        <v>51</v>
      </c>
      <c r="G371" s="44" t="s">
        <v>25</v>
      </c>
      <c r="H371" s="44" t="s">
        <v>25</v>
      </c>
      <c r="I371" s="64">
        <v>44652</v>
      </c>
      <c r="J371" s="65">
        <f>EFEITO!$J$371*EFEITO!$Y$241</f>
        <v>0</v>
      </c>
      <c r="K371" s="65">
        <f ca="1">EFEITO!$L$371*EFEITO!$Z$241</f>
        <v>630.99389485669269</v>
      </c>
      <c r="L371" s="65">
        <f>EFEITO!$N$371*EFEITO!$AA$241</f>
        <v>206.15390497203472</v>
      </c>
      <c r="M371" s="65">
        <f>$J$371-EFEITO!$K$371*EFEITO!$Y$371</f>
        <v>0</v>
      </c>
      <c r="N371" s="65">
        <f ca="1">$K$371-EFEITO!$M$371*EFEITO!$Z$371</f>
        <v>393.74019039057629</v>
      </c>
      <c r="O371" s="65">
        <f>$L$371-EFEITO!$O$371*EFEITO!$AA$371</f>
        <v>128.64003670254968</v>
      </c>
      <c r="P371" s="48"/>
      <c r="Q371" s="48"/>
      <c r="R371" s="48"/>
      <c r="S371" s="48"/>
      <c r="T371" s="48"/>
      <c r="U371" s="48"/>
      <c r="V371" s="48"/>
      <c r="W371" s="48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spans="1:36" ht="11.25" customHeight="1" x14ac:dyDescent="0.2">
      <c r="A372" s="44" t="s">
        <v>28</v>
      </c>
      <c r="B372" s="44" t="s">
        <v>40</v>
      </c>
      <c r="C372" s="44" t="s">
        <v>23</v>
      </c>
      <c r="D372" s="44" t="s">
        <v>41</v>
      </c>
      <c r="E372" s="44" t="s">
        <v>49</v>
      </c>
      <c r="F372" s="44" t="s">
        <v>51</v>
      </c>
      <c r="G372" s="44" t="s">
        <v>25</v>
      </c>
      <c r="H372" s="44" t="s">
        <v>25</v>
      </c>
      <c r="I372" s="64">
        <v>44652</v>
      </c>
      <c r="J372" s="65">
        <f>EFEITO!$J$372*EFEITO!$Y$241</f>
        <v>0</v>
      </c>
      <c r="K372" s="65">
        <f ca="1">EFEITO!$L$372*EFEITO!$Z$241</f>
        <v>19.536701619410113</v>
      </c>
      <c r="L372" s="65">
        <f>EFEITO!$N$372*EFEITO!$AA$241</f>
        <v>6.3828942909655018</v>
      </c>
      <c r="M372" s="65">
        <f>$J$372-EFEITO!$K$372*EFEITO!$Y$372</f>
        <v>0</v>
      </c>
      <c r="N372" s="65">
        <f ca="1">$K$372-EFEITO!$M$372*EFEITO!$Z$372</f>
        <v>12.19090181051191</v>
      </c>
      <c r="O372" s="65">
        <f>$L$372-EFEITO!$O$372*EFEITO!$AA$372</f>
        <v>3.9829260375624731</v>
      </c>
      <c r="P372" s="48"/>
      <c r="Q372" s="48"/>
      <c r="R372" s="48"/>
      <c r="S372" s="48"/>
      <c r="T372" s="48"/>
      <c r="U372" s="48"/>
      <c r="V372" s="48"/>
      <c r="W372" s="48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spans="1:36" ht="11.25" customHeight="1" x14ac:dyDescent="0.2">
      <c r="A373" s="44" t="s">
        <v>21</v>
      </c>
      <c r="B373" s="44" t="s">
        <v>40</v>
      </c>
      <c r="C373" s="44" t="s">
        <v>23</v>
      </c>
      <c r="D373" s="44" t="s">
        <v>41</v>
      </c>
      <c r="E373" s="44" t="s">
        <v>49</v>
      </c>
      <c r="F373" s="44" t="s">
        <v>51</v>
      </c>
      <c r="G373" s="44" t="s">
        <v>25</v>
      </c>
      <c r="H373" s="44" t="s">
        <v>25</v>
      </c>
      <c r="I373" s="64">
        <v>44682</v>
      </c>
      <c r="J373" s="65">
        <f>EFEITO!$J$373*EFEITO!$Y$241</f>
        <v>0</v>
      </c>
      <c r="K373" s="65">
        <f ca="1">EFEITO!$L$373*EFEITO!$Z$241</f>
        <v>245.66363100151867</v>
      </c>
      <c r="L373" s="65">
        <f>EFEITO!$N$373*EFEITO!$AA$241</f>
        <v>80.261500552353425</v>
      </c>
      <c r="M373" s="65">
        <f>$J$373-EFEITO!$K$373*EFEITO!$Y$373</f>
        <v>0</v>
      </c>
      <c r="N373" s="65">
        <f ca="1">$K$373-EFEITO!$M$373*EFEITO!$Z$373</f>
        <v>153.29410574494767</v>
      </c>
      <c r="O373" s="65">
        <f>$L$373-EFEITO!$O$373*EFEITO!$AA$373</f>
        <v>50.08317634466853</v>
      </c>
      <c r="P373" s="48"/>
      <c r="Q373" s="48"/>
      <c r="R373" s="48"/>
      <c r="S373" s="48"/>
      <c r="T373" s="48"/>
      <c r="U373" s="48"/>
      <c r="V373" s="48"/>
      <c r="W373" s="48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spans="1:36" ht="11.25" customHeight="1" x14ac:dyDescent="0.2">
      <c r="A374" s="44" t="s">
        <v>28</v>
      </c>
      <c r="B374" s="44" t="s">
        <v>40</v>
      </c>
      <c r="C374" s="44" t="s">
        <v>23</v>
      </c>
      <c r="D374" s="44" t="s">
        <v>41</v>
      </c>
      <c r="E374" s="44" t="s">
        <v>49</v>
      </c>
      <c r="F374" s="44" t="s">
        <v>51</v>
      </c>
      <c r="G374" s="44" t="s">
        <v>25</v>
      </c>
      <c r="H374" s="44" t="s">
        <v>25</v>
      </c>
      <c r="I374" s="64">
        <v>44682</v>
      </c>
      <c r="J374" s="65">
        <f>EFEITO!$J$374*EFEITO!$Y$241</f>
        <v>0</v>
      </c>
      <c r="K374" s="65">
        <f ca="1">EFEITO!$L$374*EFEITO!$Z$241</f>
        <v>28.681540675304213</v>
      </c>
      <c r="L374" s="65">
        <f>EFEITO!$N$374*EFEITO!$AA$241</f>
        <v>9.370632044183397</v>
      </c>
      <c r="M374" s="65">
        <f>$J$374-EFEITO!$K$374*EFEITO!$Y$374</f>
        <v>0</v>
      </c>
      <c r="N374" s="65">
        <f ca="1">$K$374-EFEITO!$M$374*EFEITO!$Z$374</f>
        <v>17.897281381389831</v>
      </c>
      <c r="O374" s="65">
        <f>$L$374-EFEITO!$O$374*EFEITO!$AA$374</f>
        <v>5.8472743955704409</v>
      </c>
      <c r="P374" s="48"/>
      <c r="Q374" s="48"/>
      <c r="R374" s="48"/>
      <c r="S374" s="48"/>
      <c r="T374" s="48"/>
      <c r="U374" s="48"/>
      <c r="V374" s="48"/>
      <c r="W374" s="48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spans="1:36" ht="11.25" customHeight="1" x14ac:dyDescent="0.2">
      <c r="A375" s="44" t="s">
        <v>21</v>
      </c>
      <c r="B375" s="44" t="s">
        <v>40</v>
      </c>
      <c r="C375" s="44" t="s">
        <v>23</v>
      </c>
      <c r="D375" s="44" t="s">
        <v>41</v>
      </c>
      <c r="E375" s="44" t="s">
        <v>49</v>
      </c>
      <c r="F375" s="44" t="s">
        <v>51</v>
      </c>
      <c r="G375" s="44" t="s">
        <v>25</v>
      </c>
      <c r="H375" s="44" t="s">
        <v>25</v>
      </c>
      <c r="I375" s="64">
        <v>44713</v>
      </c>
      <c r="J375" s="65">
        <f>EFEITO!$J$375*EFEITO!$Y$241</f>
        <v>0</v>
      </c>
      <c r="K375" s="65">
        <f ca="1">EFEITO!$L$375*EFEITO!$Z$241</f>
        <v>348.33523312905692</v>
      </c>
      <c r="L375" s="65">
        <f>EFEITO!$N$375*EFEITO!$AA$241</f>
        <v>113.80564714529979</v>
      </c>
      <c r="M375" s="65">
        <f>$J$375-EFEITO!$K$375*EFEITO!$Y$375</f>
        <v>0</v>
      </c>
      <c r="N375" s="65">
        <f ca="1">$K$375-EFEITO!$M$375*EFEITO!$Z$375</f>
        <v>217.36118547253153</v>
      </c>
      <c r="O375" s="65">
        <f>$L$375-EFEITO!$O$375*EFEITO!$AA$375</f>
        <v>71.014723818667065</v>
      </c>
      <c r="P375" s="48"/>
      <c r="Q375" s="48"/>
      <c r="R375" s="48"/>
      <c r="S375" s="48"/>
      <c r="T375" s="48"/>
      <c r="U375" s="48"/>
      <c r="V375" s="48"/>
      <c r="W375" s="48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spans="1:36" ht="11.25" customHeight="1" x14ac:dyDescent="0.2">
      <c r="A376" s="44" t="s">
        <v>21</v>
      </c>
      <c r="B376" s="44" t="s">
        <v>40</v>
      </c>
      <c r="C376" s="44" t="s">
        <v>23</v>
      </c>
      <c r="D376" s="44" t="s">
        <v>41</v>
      </c>
      <c r="E376" s="44" t="s">
        <v>49</v>
      </c>
      <c r="F376" s="44" t="s">
        <v>51</v>
      </c>
      <c r="G376" s="44" t="s">
        <v>25</v>
      </c>
      <c r="H376" s="44" t="s">
        <v>25</v>
      </c>
      <c r="I376" s="64">
        <v>44743</v>
      </c>
      <c r="J376" s="65">
        <f>EFEITO!$J$376*EFEITO!$Y$241</f>
        <v>0</v>
      </c>
      <c r="K376" s="65">
        <f ca="1">EFEITO!$L$376*EFEITO!$Z$241</f>
        <v>354.9860251697072</v>
      </c>
      <c r="L376" s="65">
        <f>EFEITO!$N$376*EFEITO!$AA$241</f>
        <v>115.97854732945827</v>
      </c>
      <c r="M376" s="65">
        <f>$J$376-EFEITO!$K$376*EFEITO!$Y$376</f>
        <v>0</v>
      </c>
      <c r="N376" s="65">
        <f ca="1">$K$376-EFEITO!$M$376*EFEITO!$Z$376</f>
        <v>221.51127970589732</v>
      </c>
      <c r="O376" s="65">
        <f>$L$376-EFEITO!$O$376*EFEITO!$AA$376</f>
        <v>72.37061353358196</v>
      </c>
      <c r="P376" s="48"/>
      <c r="Q376" s="48"/>
      <c r="R376" s="48"/>
      <c r="S376" s="48"/>
      <c r="T376" s="48"/>
      <c r="U376" s="48"/>
      <c r="V376" s="48"/>
      <c r="W376" s="48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spans="1:36" ht="11.25" customHeight="1" x14ac:dyDescent="0.2">
      <c r="A377" s="44" t="s">
        <v>27</v>
      </c>
      <c r="B377" s="44" t="s">
        <v>40</v>
      </c>
      <c r="C377" s="44" t="s">
        <v>23</v>
      </c>
      <c r="D377" s="44" t="s">
        <v>41</v>
      </c>
      <c r="E377" s="44" t="s">
        <v>49</v>
      </c>
      <c r="F377" s="44" t="s">
        <v>51</v>
      </c>
      <c r="G377" s="44" t="s">
        <v>25</v>
      </c>
      <c r="H377" s="44" t="s">
        <v>25</v>
      </c>
      <c r="I377" s="64">
        <v>44743</v>
      </c>
      <c r="J377" s="65">
        <f>EFEITO!$J$377*EFEITO!$Y$241</f>
        <v>0</v>
      </c>
      <c r="K377" s="65">
        <f ca="1">EFEITO!$L$377*EFEITO!$Z$241</f>
        <v>-77.731131975099814</v>
      </c>
      <c r="L377" s="65">
        <f>EFEITO!$N$377*EFEITO!$AA$241</f>
        <v>-25.395770902352101</v>
      </c>
      <c r="M377" s="65">
        <f>$J$377-EFEITO!$K$377*EFEITO!$Y$377</f>
        <v>0</v>
      </c>
      <c r="N377" s="65">
        <f ca="1">$K$377-EFEITO!$M$377*EFEITO!$Z$377</f>
        <v>-48.504226352462283</v>
      </c>
      <c r="O377" s="65">
        <f>$L$377-EFEITO!$O$377*EFEITO!$AA$377</f>
        <v>-15.846961043067711</v>
      </c>
      <c r="P377" s="48"/>
      <c r="Q377" s="48"/>
      <c r="R377" s="48"/>
      <c r="S377" s="48"/>
      <c r="T377" s="48"/>
      <c r="U377" s="48"/>
      <c r="V377" s="48"/>
      <c r="W377" s="48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spans="1:36" ht="11.25" customHeight="1" x14ac:dyDescent="0.2">
      <c r="A378" s="44" t="s">
        <v>21</v>
      </c>
      <c r="B378" s="44" t="s">
        <v>40</v>
      </c>
      <c r="C378" s="44" t="s">
        <v>23</v>
      </c>
      <c r="D378" s="44" t="s">
        <v>41</v>
      </c>
      <c r="E378" s="44" t="s">
        <v>49</v>
      </c>
      <c r="F378" s="44" t="s">
        <v>51</v>
      </c>
      <c r="G378" s="44" t="s">
        <v>25</v>
      </c>
      <c r="H378" s="44" t="s">
        <v>25</v>
      </c>
      <c r="I378" s="64">
        <v>44774</v>
      </c>
      <c r="J378" s="65">
        <f>EFEITO!$J$378*EFEITO!$Y$241</f>
        <v>0</v>
      </c>
      <c r="K378" s="65">
        <f ca="1">EFEITO!$L$378*EFEITO!$Z$241</f>
        <v>322.97908847407786</v>
      </c>
      <c r="L378" s="65">
        <f>EFEITO!$N$378*EFEITO!$AA$241</f>
        <v>105.52146519319564</v>
      </c>
      <c r="M378" s="65">
        <f>$J$378-EFEITO!$K$378*EFEITO!$Y$378</f>
        <v>0</v>
      </c>
      <c r="N378" s="65">
        <f ca="1">$K$378-EFEITO!$M$378*EFEITO!$Z$378</f>
        <v>201.5389512078246</v>
      </c>
      <c r="O378" s="65">
        <f>$L$378-EFEITO!$O$378*EFEITO!$AA$378</f>
        <v>65.845394280554075</v>
      </c>
      <c r="P378" s="48"/>
      <c r="Q378" s="48"/>
      <c r="R378" s="48"/>
      <c r="S378" s="48"/>
      <c r="T378" s="48"/>
      <c r="U378" s="48"/>
      <c r="V378" s="48"/>
      <c r="W378" s="48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spans="1:36" ht="11.25" customHeight="1" x14ac:dyDescent="0.2">
      <c r="A379" s="44" t="s">
        <v>21</v>
      </c>
      <c r="B379" s="44" t="s">
        <v>40</v>
      </c>
      <c r="C379" s="44" t="s">
        <v>23</v>
      </c>
      <c r="D379" s="44" t="s">
        <v>41</v>
      </c>
      <c r="E379" s="44" t="s">
        <v>52</v>
      </c>
      <c r="F379" s="44" t="s">
        <v>50</v>
      </c>
      <c r="G379" s="44" t="s">
        <v>25</v>
      </c>
      <c r="H379" s="44" t="s">
        <v>25</v>
      </c>
      <c r="I379" s="64">
        <v>44440</v>
      </c>
      <c r="J379" s="65">
        <f>EFEITO!$J$379*EFEITO!$Y$241</f>
        <v>0</v>
      </c>
      <c r="K379" s="65">
        <f ca="1">EFEITO!$L$379*EFEITO!$Z$241</f>
        <v>3228.1281867306161</v>
      </c>
      <c r="L379" s="65">
        <f>EFEITO!$N$379*EFEITO!$AA$241</f>
        <v>1054.6714268859166</v>
      </c>
      <c r="M379" s="65">
        <f>$J$379-EFEITO!$K$379*EFEITO!$Y$379</f>
        <v>0</v>
      </c>
      <c r="N379" s="65">
        <f ca="1">$K$379-EFEITO!$M$379*EFEITO!$Z$379</f>
        <v>193.6876912038374</v>
      </c>
      <c r="O379" s="65">
        <f>$L$379-EFEITO!$O$379*EFEITO!$AA$379</f>
        <v>63.280285613155002</v>
      </c>
      <c r="P379" s="48"/>
      <c r="Q379" s="48"/>
      <c r="R379" s="48"/>
      <c r="S379" s="48"/>
      <c r="T379" s="48"/>
      <c r="U379" s="48"/>
      <c r="V379" s="48"/>
      <c r="W379" s="48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spans="1:36" ht="11.25" customHeight="1" x14ac:dyDescent="0.2">
      <c r="A380" s="44" t="s">
        <v>28</v>
      </c>
      <c r="B380" s="44" t="s">
        <v>40</v>
      </c>
      <c r="C380" s="44" t="s">
        <v>23</v>
      </c>
      <c r="D380" s="44" t="s">
        <v>41</v>
      </c>
      <c r="E380" s="44" t="s">
        <v>52</v>
      </c>
      <c r="F380" s="44" t="s">
        <v>50</v>
      </c>
      <c r="G380" s="44" t="s">
        <v>25</v>
      </c>
      <c r="H380" s="44" t="s">
        <v>25</v>
      </c>
      <c r="I380" s="64">
        <v>44440</v>
      </c>
      <c r="J380" s="65">
        <f>EFEITO!$J$380*EFEITO!$Y$241</f>
        <v>0</v>
      </c>
      <c r="K380" s="65">
        <f ca="1">EFEITO!$L$380*EFEITO!$Z$241</f>
        <v>20.783725127032039</v>
      </c>
      <c r="L380" s="65">
        <f>EFEITO!$N$380*EFEITO!$AA$241</f>
        <v>6.7903130754952148</v>
      </c>
      <c r="M380" s="65">
        <f>$J$380-EFEITO!$K$380*EFEITO!$Y$380</f>
        <v>0</v>
      </c>
      <c r="N380" s="65">
        <f ca="1">$K$380-EFEITO!$M$380*EFEITO!$Z$380</f>
        <v>1.2470235076219254</v>
      </c>
      <c r="O380" s="65">
        <f>$L$380-EFEITO!$O$380*EFEITO!$AA$380</f>
        <v>0.40741878452971303</v>
      </c>
      <c r="P380" s="48"/>
      <c r="Q380" s="48"/>
      <c r="R380" s="48"/>
      <c r="S380" s="48"/>
      <c r="T380" s="48"/>
      <c r="U380" s="48"/>
      <c r="V380" s="48"/>
      <c r="W380" s="48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 spans="1:36" ht="11.25" customHeight="1" x14ac:dyDescent="0.2">
      <c r="A381" s="44" t="s">
        <v>21</v>
      </c>
      <c r="B381" s="44" t="s">
        <v>40</v>
      </c>
      <c r="C381" s="44" t="s">
        <v>23</v>
      </c>
      <c r="D381" s="44" t="s">
        <v>41</v>
      </c>
      <c r="E381" s="44" t="s">
        <v>52</v>
      </c>
      <c r="F381" s="44" t="s">
        <v>50</v>
      </c>
      <c r="G381" s="44" t="s">
        <v>25</v>
      </c>
      <c r="H381" s="44" t="s">
        <v>25</v>
      </c>
      <c r="I381" s="64">
        <v>44470</v>
      </c>
      <c r="J381" s="65">
        <f>EFEITO!$J$381*EFEITO!$Y$241</f>
        <v>0</v>
      </c>
      <c r="K381" s="65">
        <f ca="1">EFEITO!$L$381*EFEITO!$Z$241</f>
        <v>3078.9010403185257</v>
      </c>
      <c r="L381" s="65">
        <f>EFEITO!$N$381*EFEITO!$AA$241</f>
        <v>1005.9169790038611</v>
      </c>
      <c r="M381" s="65">
        <f>$J$381-EFEITO!$K$381*EFEITO!$Y$381</f>
        <v>0</v>
      </c>
      <c r="N381" s="65">
        <f ca="1">$K$381-EFEITO!$M$381*EFEITO!$Z$381</f>
        <v>184.73406241911152</v>
      </c>
      <c r="O381" s="65">
        <f>$L$381-EFEITO!$O$381*EFEITO!$AA$381</f>
        <v>60.355018740231799</v>
      </c>
      <c r="P381" s="48"/>
      <c r="Q381" s="48"/>
      <c r="R381" s="48"/>
      <c r="S381" s="48"/>
      <c r="T381" s="48"/>
      <c r="U381" s="48"/>
      <c r="V381" s="48"/>
      <c r="W381" s="48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 spans="1:36" ht="11.25" customHeight="1" x14ac:dyDescent="0.2">
      <c r="A382" s="44" t="s">
        <v>28</v>
      </c>
      <c r="B382" s="44" t="s">
        <v>40</v>
      </c>
      <c r="C382" s="44" t="s">
        <v>23</v>
      </c>
      <c r="D382" s="44" t="s">
        <v>41</v>
      </c>
      <c r="E382" s="44" t="s">
        <v>52</v>
      </c>
      <c r="F382" s="44" t="s">
        <v>50</v>
      </c>
      <c r="G382" s="44" t="s">
        <v>25</v>
      </c>
      <c r="H382" s="44" t="s">
        <v>25</v>
      </c>
      <c r="I382" s="64">
        <v>44470</v>
      </c>
      <c r="J382" s="65">
        <f>EFEITO!$J$382*EFEITO!$Y$241</f>
        <v>0</v>
      </c>
      <c r="K382" s="65">
        <f ca="1">EFEITO!$L$382*EFEITO!$Z$241</f>
        <v>20.783725127032039</v>
      </c>
      <c r="L382" s="65">
        <f>EFEITO!$N$382*EFEITO!$AA$241</f>
        <v>6.7903130754952148</v>
      </c>
      <c r="M382" s="65">
        <f>$J$382-EFEITO!$K$382*EFEITO!$Y$382</f>
        <v>0</v>
      </c>
      <c r="N382" s="65">
        <f ca="1">$K$382-EFEITO!$M$382*EFEITO!$Z$382</f>
        <v>1.2470235076219254</v>
      </c>
      <c r="O382" s="65">
        <f>$L$382-EFEITO!$O$382*EFEITO!$AA$382</f>
        <v>0.40741878452971303</v>
      </c>
      <c r="P382" s="48"/>
      <c r="Q382" s="48"/>
      <c r="R382" s="48"/>
      <c r="S382" s="48"/>
      <c r="T382" s="48"/>
      <c r="U382" s="48"/>
      <c r="V382" s="48"/>
      <c r="W382" s="48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spans="1:36" ht="11.25" customHeight="1" x14ac:dyDescent="0.2">
      <c r="A383" s="44" t="s">
        <v>21</v>
      </c>
      <c r="B383" s="44" t="s">
        <v>40</v>
      </c>
      <c r="C383" s="44" t="s">
        <v>23</v>
      </c>
      <c r="D383" s="44" t="s">
        <v>41</v>
      </c>
      <c r="E383" s="44" t="s">
        <v>52</v>
      </c>
      <c r="F383" s="44" t="s">
        <v>50</v>
      </c>
      <c r="G383" s="44" t="s">
        <v>25</v>
      </c>
      <c r="H383" s="44" t="s">
        <v>25</v>
      </c>
      <c r="I383" s="64">
        <v>44501</v>
      </c>
      <c r="J383" s="65">
        <f>EFEITO!$J$383*EFEITO!$Y$241</f>
        <v>0</v>
      </c>
      <c r="K383" s="65">
        <f ca="1">EFEITO!$L$383*EFEITO!$Z$241</f>
        <v>1914.5967587021912</v>
      </c>
      <c r="L383" s="65">
        <f>EFEITO!$N$383*EFEITO!$AA$241</f>
        <v>625.52364051461916</v>
      </c>
      <c r="M383" s="65">
        <f>$J$383-EFEITO!$K$383*EFEITO!$Y$383</f>
        <v>0</v>
      </c>
      <c r="N383" s="65">
        <f ca="1">$K$383-EFEITO!$M$383*EFEITO!$Z$383</f>
        <v>114.87580552213171</v>
      </c>
      <c r="O383" s="65">
        <f>$L$383-EFEITO!$O$383*EFEITO!$AA$383</f>
        <v>37.531418430877238</v>
      </c>
      <c r="P383" s="48"/>
      <c r="Q383" s="48"/>
      <c r="R383" s="48"/>
      <c r="S383" s="48"/>
      <c r="T383" s="48"/>
      <c r="U383" s="48"/>
      <c r="V383" s="48"/>
      <c r="W383" s="48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spans="1:36" ht="11.25" customHeight="1" x14ac:dyDescent="0.2">
      <c r="A384" s="44" t="s">
        <v>28</v>
      </c>
      <c r="B384" s="44" t="s">
        <v>40</v>
      </c>
      <c r="C384" s="44" t="s">
        <v>23</v>
      </c>
      <c r="D384" s="44" t="s">
        <v>41</v>
      </c>
      <c r="E384" s="44" t="s">
        <v>52</v>
      </c>
      <c r="F384" s="44" t="s">
        <v>50</v>
      </c>
      <c r="G384" s="44" t="s">
        <v>25</v>
      </c>
      <c r="H384" s="44" t="s">
        <v>25</v>
      </c>
      <c r="I384" s="64">
        <v>44501</v>
      </c>
      <c r="J384" s="65">
        <f>EFEITO!$J$384*EFEITO!$Y$241</f>
        <v>0</v>
      </c>
      <c r="K384" s="65">
        <f ca="1">EFEITO!$L$384*EFEITO!$Z$241</f>
        <v>729.9244264613651</v>
      </c>
      <c r="L384" s="65">
        <f>EFEITO!$N$384*EFEITO!$AA$241</f>
        <v>238.47579521139193</v>
      </c>
      <c r="M384" s="65">
        <f>$J$384-EFEITO!$K$384*EFEITO!$Y$384</f>
        <v>0</v>
      </c>
      <c r="N384" s="65">
        <f ca="1">$K$384-EFEITO!$M$384*EFEITO!$Z$384</f>
        <v>43.795465587681974</v>
      </c>
      <c r="O384" s="65">
        <f>$L$384-EFEITO!$O$384*EFEITO!$AA$384</f>
        <v>14.30854771268352</v>
      </c>
      <c r="P384" s="48"/>
      <c r="Q384" s="48"/>
      <c r="R384" s="48"/>
      <c r="S384" s="48"/>
      <c r="T384" s="48"/>
      <c r="U384" s="48"/>
      <c r="V384" s="48"/>
      <c r="W384" s="48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 spans="1:36" ht="11.25" customHeight="1" x14ac:dyDescent="0.2">
      <c r="A385" s="44" t="s">
        <v>21</v>
      </c>
      <c r="B385" s="44" t="s">
        <v>40</v>
      </c>
      <c r="C385" s="44" t="s">
        <v>23</v>
      </c>
      <c r="D385" s="44" t="s">
        <v>41</v>
      </c>
      <c r="E385" s="44" t="s">
        <v>52</v>
      </c>
      <c r="F385" s="44" t="s">
        <v>50</v>
      </c>
      <c r="G385" s="44" t="s">
        <v>25</v>
      </c>
      <c r="H385" s="44" t="s">
        <v>25</v>
      </c>
      <c r="I385" s="64">
        <v>44531</v>
      </c>
      <c r="J385" s="65">
        <f>EFEITO!$J$385*EFEITO!$Y$241</f>
        <v>0</v>
      </c>
      <c r="K385" s="65">
        <f ca="1">EFEITO!$L$385*EFEITO!$Z$241</f>
        <v>1833.1245562042257</v>
      </c>
      <c r="L385" s="65">
        <f>EFEITO!$N$385*EFEITO!$AA$241</f>
        <v>598.90561325867793</v>
      </c>
      <c r="M385" s="65">
        <f>$J$385-EFEITO!$K$385*EFEITO!$Y$385</f>
        <v>0</v>
      </c>
      <c r="N385" s="65">
        <f ca="1">$K$385-EFEITO!$M$385*EFEITO!$Z$385</f>
        <v>109.98747337225359</v>
      </c>
      <c r="O385" s="65">
        <f>$L$385-EFEITO!$O$385*EFEITO!$AA$385</f>
        <v>35.934336795520721</v>
      </c>
      <c r="P385" s="48"/>
      <c r="Q385" s="48"/>
      <c r="R385" s="48"/>
      <c r="S385" s="48"/>
      <c r="T385" s="48"/>
      <c r="U385" s="48"/>
      <c r="V385" s="48"/>
      <c r="W385" s="48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spans="1:36" ht="11.25" customHeight="1" x14ac:dyDescent="0.2">
      <c r="A386" s="44" t="s">
        <v>28</v>
      </c>
      <c r="B386" s="44" t="s">
        <v>40</v>
      </c>
      <c r="C386" s="44" t="s">
        <v>23</v>
      </c>
      <c r="D386" s="44" t="s">
        <v>41</v>
      </c>
      <c r="E386" s="44" t="s">
        <v>52</v>
      </c>
      <c r="F386" s="44" t="s">
        <v>50</v>
      </c>
      <c r="G386" s="44" t="s">
        <v>25</v>
      </c>
      <c r="H386" s="44" t="s">
        <v>25</v>
      </c>
      <c r="I386" s="64">
        <v>44531</v>
      </c>
      <c r="J386" s="65">
        <f>EFEITO!$J$386*EFEITO!$Y$241</f>
        <v>0</v>
      </c>
      <c r="K386" s="65">
        <f ca="1">EFEITO!$L$386*EFEITO!$Z$241</f>
        <v>589.42644460262852</v>
      </c>
      <c r="L386" s="65">
        <f>EFEITO!$N$386*EFEITO!$AA$241</f>
        <v>192.57327882104428</v>
      </c>
      <c r="M386" s="65">
        <f>$J$386-EFEITO!$K$386*EFEITO!$Y$386</f>
        <v>0</v>
      </c>
      <c r="N386" s="65">
        <f ca="1">$K$386-EFEITO!$M$386*EFEITO!$Z$386</f>
        <v>35.365586676157704</v>
      </c>
      <c r="O386" s="65">
        <f>$L$386-EFEITO!$O$386*EFEITO!$AA$386</f>
        <v>11.554396729262692</v>
      </c>
      <c r="P386" s="48"/>
      <c r="Q386" s="48"/>
      <c r="R386" s="48"/>
      <c r="S386" s="48"/>
      <c r="T386" s="48"/>
      <c r="U386" s="48"/>
      <c r="V386" s="48"/>
      <c r="W386" s="48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 spans="1:36" ht="11.25" customHeight="1" x14ac:dyDescent="0.2">
      <c r="A387" s="44" t="s">
        <v>21</v>
      </c>
      <c r="B387" s="44" t="s">
        <v>40</v>
      </c>
      <c r="C387" s="44" t="s">
        <v>23</v>
      </c>
      <c r="D387" s="44" t="s">
        <v>41</v>
      </c>
      <c r="E387" s="44" t="s">
        <v>52</v>
      </c>
      <c r="F387" s="44" t="s">
        <v>50</v>
      </c>
      <c r="G387" s="44" t="s">
        <v>25</v>
      </c>
      <c r="H387" s="44" t="s">
        <v>25</v>
      </c>
      <c r="I387" s="64">
        <v>44562</v>
      </c>
      <c r="J387" s="65">
        <f>EFEITO!$J$387*EFEITO!$Y$241</f>
        <v>0</v>
      </c>
      <c r="K387" s="65">
        <f ca="1">EFEITO!$L$387*EFEITO!$Z$241</f>
        <v>3720.2867977387341</v>
      </c>
      <c r="L387" s="65">
        <f>EFEITO!$N$387*EFEITO!$AA$241</f>
        <v>1215.4660405136433</v>
      </c>
      <c r="M387" s="65">
        <f>$J$387-EFEITO!$K$387*EFEITO!$Y$387</f>
        <v>0</v>
      </c>
      <c r="N387" s="65">
        <f ca="1">$K$387-EFEITO!$M$387*EFEITO!$Z$387</f>
        <v>223.21720786432434</v>
      </c>
      <c r="O387" s="65">
        <f>$L$387-EFEITO!$O$387*EFEITO!$AA$387</f>
        <v>72.927962430818752</v>
      </c>
      <c r="P387" s="48"/>
      <c r="Q387" s="48"/>
      <c r="R387" s="48"/>
      <c r="S387" s="48"/>
      <c r="T387" s="48"/>
      <c r="U387" s="48"/>
      <c r="V387" s="48"/>
      <c r="W387" s="48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spans="1:36" ht="11.25" customHeight="1" x14ac:dyDescent="0.2">
      <c r="A388" s="44" t="s">
        <v>28</v>
      </c>
      <c r="B388" s="44" t="s">
        <v>40</v>
      </c>
      <c r="C388" s="44" t="s">
        <v>23</v>
      </c>
      <c r="D388" s="44" t="s">
        <v>41</v>
      </c>
      <c r="E388" s="44" t="s">
        <v>52</v>
      </c>
      <c r="F388" s="44" t="s">
        <v>50</v>
      </c>
      <c r="G388" s="44" t="s">
        <v>25</v>
      </c>
      <c r="H388" s="44" t="s">
        <v>25</v>
      </c>
      <c r="I388" s="64">
        <v>44562</v>
      </c>
      <c r="J388" s="65">
        <f>EFEITO!$J$388*EFEITO!$Y$241</f>
        <v>0</v>
      </c>
      <c r="K388" s="65">
        <f ca="1">EFEITO!$L$388*EFEITO!$Z$241</f>
        <v>319.65369245375274</v>
      </c>
      <c r="L388" s="65">
        <f>EFEITO!$N$388*EFEITO!$AA$241</f>
        <v>104.43501510111641</v>
      </c>
      <c r="M388" s="65">
        <f>$J$388-EFEITO!$K$388*EFEITO!$Y$388</f>
        <v>0</v>
      </c>
      <c r="N388" s="65">
        <f ca="1">$K$388-EFEITO!$M$388*EFEITO!$Z$388</f>
        <v>19.179221547225211</v>
      </c>
      <c r="O388" s="65">
        <f>$L$388-EFEITO!$O$388*EFEITO!$AA$388</f>
        <v>6.2661009060669954</v>
      </c>
      <c r="P388" s="48"/>
      <c r="Q388" s="48"/>
      <c r="R388" s="48"/>
      <c r="S388" s="48"/>
      <c r="T388" s="48"/>
      <c r="U388" s="48"/>
      <c r="V388" s="48"/>
      <c r="W388" s="48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 spans="1:36" ht="11.25" customHeight="1" x14ac:dyDescent="0.2">
      <c r="A389" s="44" t="s">
        <v>21</v>
      </c>
      <c r="B389" s="44" t="s">
        <v>40</v>
      </c>
      <c r="C389" s="44" t="s">
        <v>23</v>
      </c>
      <c r="D389" s="44" t="s">
        <v>41</v>
      </c>
      <c r="E389" s="44" t="s">
        <v>52</v>
      </c>
      <c r="F389" s="44" t="s">
        <v>50</v>
      </c>
      <c r="G389" s="44" t="s">
        <v>25</v>
      </c>
      <c r="H389" s="44" t="s">
        <v>25</v>
      </c>
      <c r="I389" s="64">
        <v>44593</v>
      </c>
      <c r="J389" s="65">
        <f>EFEITO!$J$389*EFEITO!$Y$241</f>
        <v>0</v>
      </c>
      <c r="K389" s="65">
        <f ca="1">EFEITO!$L$389*EFEITO!$Z$241</f>
        <v>4791.4799907859651</v>
      </c>
      <c r="L389" s="65">
        <f>EFEITO!$N$389*EFEITO!$AA$241</f>
        <v>1565.4387764246667</v>
      </c>
      <c r="M389" s="65">
        <f>$J$389-EFEITO!$K$389*EFEITO!$Y$389</f>
        <v>0</v>
      </c>
      <c r="N389" s="65">
        <f ca="1">$K$389-EFEITO!$M$389*EFEITO!$Z$389</f>
        <v>287.48879944715827</v>
      </c>
      <c r="O389" s="65">
        <f>$L$389-EFEITO!$O$389*EFEITO!$AA$389</f>
        <v>93.926326585480183</v>
      </c>
      <c r="P389" s="48"/>
      <c r="Q389" s="48"/>
      <c r="R389" s="48"/>
      <c r="S389" s="48"/>
      <c r="T389" s="48"/>
      <c r="U389" s="48"/>
      <c r="V389" s="48"/>
      <c r="W389" s="48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r="390" spans="1:36" ht="11.25" customHeight="1" x14ac:dyDescent="0.2">
      <c r="A390" s="44" t="s">
        <v>28</v>
      </c>
      <c r="B390" s="44" t="s">
        <v>40</v>
      </c>
      <c r="C390" s="44" t="s">
        <v>23</v>
      </c>
      <c r="D390" s="44" t="s">
        <v>41</v>
      </c>
      <c r="E390" s="44" t="s">
        <v>52</v>
      </c>
      <c r="F390" s="44" t="s">
        <v>50</v>
      </c>
      <c r="G390" s="44" t="s">
        <v>25</v>
      </c>
      <c r="H390" s="44" t="s">
        <v>25</v>
      </c>
      <c r="I390" s="64">
        <v>44593</v>
      </c>
      <c r="J390" s="65">
        <f>EFEITO!$J$390*EFEITO!$Y$241</f>
        <v>0</v>
      </c>
      <c r="K390" s="65">
        <f ca="1">EFEITO!$L$390*EFEITO!$Z$241</f>
        <v>455.16358028200159</v>
      </c>
      <c r="L390" s="65">
        <f>EFEITO!$N$390*EFEITO!$AA$241</f>
        <v>148.70785635334519</v>
      </c>
      <c r="M390" s="65">
        <f>$J$390-EFEITO!$K$390*EFEITO!$Y$390</f>
        <v>0</v>
      </c>
      <c r="N390" s="65">
        <f ca="1">$K$390-EFEITO!$M$390*EFEITO!$Z$390</f>
        <v>27.309814816920152</v>
      </c>
      <c r="O390" s="65">
        <f>$L$390-EFEITO!$O$390*EFEITO!$AA$390</f>
        <v>8.9224713812007224</v>
      </c>
      <c r="P390" s="48"/>
      <c r="Q390" s="48"/>
      <c r="R390" s="48"/>
      <c r="S390" s="48"/>
      <c r="T390" s="48"/>
      <c r="U390" s="48"/>
      <c r="V390" s="48"/>
      <c r="W390" s="48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 spans="1:36" ht="11.25" customHeight="1" x14ac:dyDescent="0.2">
      <c r="A391" s="44" t="s">
        <v>21</v>
      </c>
      <c r="B391" s="44" t="s">
        <v>40</v>
      </c>
      <c r="C391" s="44" t="s">
        <v>23</v>
      </c>
      <c r="D391" s="44" t="s">
        <v>41</v>
      </c>
      <c r="E391" s="44" t="s">
        <v>52</v>
      </c>
      <c r="F391" s="44" t="s">
        <v>50</v>
      </c>
      <c r="G391" s="44" t="s">
        <v>25</v>
      </c>
      <c r="H391" s="44" t="s">
        <v>25</v>
      </c>
      <c r="I391" s="64">
        <v>44621</v>
      </c>
      <c r="J391" s="65">
        <f>EFEITO!$J$391*EFEITO!$Y$241</f>
        <v>0</v>
      </c>
      <c r="K391" s="65">
        <f ca="1">EFEITO!$L$391*EFEITO!$Z$241</f>
        <v>3241.4297708119166</v>
      </c>
      <c r="L391" s="65">
        <f>EFEITO!$N$391*EFEITO!$AA$241</f>
        <v>1059.0172272542336</v>
      </c>
      <c r="M391" s="65">
        <f>$J$391-EFEITO!$K$391*EFEITO!$Y$391</f>
        <v>0</v>
      </c>
      <c r="N391" s="65">
        <f ca="1">$K$391-EFEITO!$M$391*EFEITO!$Z$391</f>
        <v>194.48578624871561</v>
      </c>
      <c r="O391" s="65">
        <f>$L$391-EFEITO!$O$391*EFEITO!$AA$391</f>
        <v>63.541033635254053</v>
      </c>
      <c r="P391" s="48"/>
      <c r="Q391" s="48"/>
      <c r="R391" s="48"/>
      <c r="S391" s="48"/>
      <c r="T391" s="48"/>
      <c r="U391" s="48"/>
      <c r="V391" s="48"/>
      <c r="W391" s="48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 spans="1:36" ht="11.25" customHeight="1" x14ac:dyDescent="0.2">
      <c r="A392" s="44" t="s">
        <v>28</v>
      </c>
      <c r="B392" s="44" t="s">
        <v>40</v>
      </c>
      <c r="C392" s="44" t="s">
        <v>23</v>
      </c>
      <c r="D392" s="44" t="s">
        <v>41</v>
      </c>
      <c r="E392" s="44" t="s">
        <v>52</v>
      </c>
      <c r="F392" s="44" t="s">
        <v>50</v>
      </c>
      <c r="G392" s="44" t="s">
        <v>25</v>
      </c>
      <c r="H392" s="44" t="s">
        <v>25</v>
      </c>
      <c r="I392" s="64">
        <v>44621</v>
      </c>
      <c r="J392" s="65">
        <f>EFEITO!$J$392*EFEITO!$Y$241</f>
        <v>0</v>
      </c>
      <c r="K392" s="65">
        <f ca="1">EFEITO!$L$392*EFEITO!$Z$241</f>
        <v>458.9046508048674</v>
      </c>
      <c r="L392" s="65">
        <f>EFEITO!$N$392*EFEITO!$AA$241</f>
        <v>149.93011270693435</v>
      </c>
      <c r="M392" s="65">
        <f>$J$392-EFEITO!$K$392*EFEITO!$Y$392</f>
        <v>0</v>
      </c>
      <c r="N392" s="65">
        <f ca="1">$K$392-EFEITO!$M$392*EFEITO!$Z$392</f>
        <v>27.534279048292092</v>
      </c>
      <c r="O392" s="65">
        <f>$L$392-EFEITO!$O$392*EFEITO!$AA$392</f>
        <v>8.9958067624160662</v>
      </c>
      <c r="P392" s="48"/>
      <c r="Q392" s="48"/>
      <c r="R392" s="48"/>
      <c r="S392" s="48"/>
      <c r="T392" s="48"/>
      <c r="U392" s="48"/>
      <c r="V392" s="48"/>
      <c r="W392" s="48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 spans="1:36" ht="11.25" customHeight="1" x14ac:dyDescent="0.2">
      <c r="A393" s="44" t="s">
        <v>21</v>
      </c>
      <c r="B393" s="44" t="s">
        <v>40</v>
      </c>
      <c r="C393" s="44" t="s">
        <v>23</v>
      </c>
      <c r="D393" s="44" t="s">
        <v>41</v>
      </c>
      <c r="E393" s="44" t="s">
        <v>52</v>
      </c>
      <c r="F393" s="44" t="s">
        <v>50</v>
      </c>
      <c r="G393" s="44" t="s">
        <v>25</v>
      </c>
      <c r="H393" s="44" t="s">
        <v>25</v>
      </c>
      <c r="I393" s="64">
        <v>44652</v>
      </c>
      <c r="J393" s="65">
        <f>EFEITO!$J$393*EFEITO!$Y$241</f>
        <v>0</v>
      </c>
      <c r="K393" s="65">
        <f ca="1">EFEITO!$L$393*EFEITO!$Z$241</f>
        <v>2845.7076443932265</v>
      </c>
      <c r="L393" s="65">
        <f>EFEITO!$N$393*EFEITO!$AA$241</f>
        <v>929.72966629680479</v>
      </c>
      <c r="M393" s="65">
        <f>$J$393-EFEITO!$K$393*EFEITO!$Y$393</f>
        <v>0</v>
      </c>
      <c r="N393" s="65">
        <f ca="1">$K$393-EFEITO!$M$393*EFEITO!$Z$393</f>
        <v>170.74245866359388</v>
      </c>
      <c r="O393" s="65">
        <f>$L$393-EFEITO!$O$393*EFEITO!$AA$393</f>
        <v>55.783779977808308</v>
      </c>
      <c r="P393" s="48"/>
      <c r="Q393" s="48"/>
      <c r="R393" s="48"/>
      <c r="S393" s="48"/>
      <c r="T393" s="48"/>
      <c r="U393" s="48"/>
      <c r="V393" s="48"/>
      <c r="W393" s="48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 spans="1:36" ht="11.25" customHeight="1" x14ac:dyDescent="0.2">
      <c r="A394" s="44" t="s">
        <v>28</v>
      </c>
      <c r="B394" s="44" t="s">
        <v>40</v>
      </c>
      <c r="C394" s="44" t="s">
        <v>23</v>
      </c>
      <c r="D394" s="44" t="s">
        <v>41</v>
      </c>
      <c r="E394" s="44" t="s">
        <v>52</v>
      </c>
      <c r="F394" s="44" t="s">
        <v>50</v>
      </c>
      <c r="G394" s="44" t="s">
        <v>25</v>
      </c>
      <c r="H394" s="44" t="s">
        <v>25</v>
      </c>
      <c r="I394" s="64">
        <v>44652</v>
      </c>
      <c r="J394" s="65">
        <f>EFEITO!$J$394*EFEITO!$Y$241</f>
        <v>0</v>
      </c>
      <c r="K394" s="65">
        <f ca="1">EFEITO!$L$394*EFEITO!$Z$241</f>
        <v>494.65265802336245</v>
      </c>
      <c r="L394" s="65">
        <f>EFEITO!$N$394*EFEITO!$AA$241</f>
        <v>161.6094511967861</v>
      </c>
      <c r="M394" s="65">
        <f>$J$394-EFEITO!$K$394*EFEITO!$Y$394</f>
        <v>0</v>
      </c>
      <c r="N394" s="65">
        <f ca="1">$K$394-EFEITO!$M$394*EFEITO!$Z$394</f>
        <v>29.679159481401769</v>
      </c>
      <c r="O394" s="65">
        <f>$L$394-EFEITO!$O$394*EFEITO!$AA$394</f>
        <v>9.6965670718071806</v>
      </c>
      <c r="P394" s="48"/>
      <c r="Q394" s="48"/>
      <c r="R394" s="48"/>
      <c r="S394" s="48"/>
      <c r="T394" s="48"/>
      <c r="U394" s="48"/>
      <c r="V394" s="48"/>
      <c r="W394" s="48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 spans="1:36" ht="11.25" customHeight="1" x14ac:dyDescent="0.2">
      <c r="A395" s="44" t="s">
        <v>21</v>
      </c>
      <c r="B395" s="44" t="s">
        <v>40</v>
      </c>
      <c r="C395" s="44" t="s">
        <v>23</v>
      </c>
      <c r="D395" s="44" t="s">
        <v>41</v>
      </c>
      <c r="E395" s="44" t="s">
        <v>52</v>
      </c>
      <c r="F395" s="44" t="s">
        <v>50</v>
      </c>
      <c r="G395" s="44" t="s">
        <v>25</v>
      </c>
      <c r="H395" s="44" t="s">
        <v>25</v>
      </c>
      <c r="I395" s="64">
        <v>44682</v>
      </c>
      <c r="J395" s="65">
        <f>EFEITO!$J$395*EFEITO!$Y$241</f>
        <v>0</v>
      </c>
      <c r="K395" s="65">
        <f ca="1">EFEITO!$L$395*EFEITO!$Z$241</f>
        <v>2106.6383788759672</v>
      </c>
      <c r="L395" s="65">
        <f>EFEITO!$N$395*EFEITO!$AA$241</f>
        <v>688.26613333219484</v>
      </c>
      <c r="M395" s="65">
        <f>$J$395-EFEITO!$K$395*EFEITO!$Y$395</f>
        <v>0</v>
      </c>
      <c r="N395" s="65">
        <f ca="1">$K$395-EFEITO!$M$395*EFEITO!$Z$395</f>
        <v>126.39830273255825</v>
      </c>
      <c r="O395" s="65">
        <f>$L$395-EFEITO!$O$395*EFEITO!$AA$395</f>
        <v>41.29596799993169</v>
      </c>
      <c r="P395" s="48"/>
      <c r="Q395" s="48"/>
      <c r="R395" s="48"/>
      <c r="S395" s="48"/>
      <c r="T395" s="48"/>
      <c r="U395" s="48"/>
      <c r="V395" s="48"/>
      <c r="W395" s="48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 spans="1:36" ht="11.25" customHeight="1" x14ac:dyDescent="0.2">
      <c r="A396" s="44" t="s">
        <v>28</v>
      </c>
      <c r="B396" s="44" t="s">
        <v>40</v>
      </c>
      <c r="C396" s="44" t="s">
        <v>23</v>
      </c>
      <c r="D396" s="44" t="s">
        <v>41</v>
      </c>
      <c r="E396" s="44" t="s">
        <v>52</v>
      </c>
      <c r="F396" s="44" t="s">
        <v>50</v>
      </c>
      <c r="G396" s="44" t="s">
        <v>25</v>
      </c>
      <c r="H396" s="44" t="s">
        <v>25</v>
      </c>
      <c r="I396" s="64">
        <v>44682</v>
      </c>
      <c r="J396" s="65">
        <f>EFEITO!$J$396*EFEITO!$Y$241</f>
        <v>0</v>
      </c>
      <c r="K396" s="65">
        <f ca="1">EFEITO!$L$396*EFEITO!$Z$241</f>
        <v>41.567450254064077</v>
      </c>
      <c r="L396" s="65">
        <f>EFEITO!$N$396*EFEITO!$AA$241</f>
        <v>13.58062615099043</v>
      </c>
      <c r="M396" s="65">
        <f>$J$396-EFEITO!$K$396*EFEITO!$Y$396</f>
        <v>0</v>
      </c>
      <c r="N396" s="65">
        <f ca="1">$K$396-EFEITO!$M$396*EFEITO!$Z$396</f>
        <v>2.4940470152438508</v>
      </c>
      <c r="O396" s="65">
        <f>$L$396-EFEITO!$O$396*EFEITO!$AA$396</f>
        <v>0.81483756905942606</v>
      </c>
      <c r="P396" s="48"/>
      <c r="Q396" s="48"/>
      <c r="R396" s="48"/>
      <c r="S396" s="48"/>
      <c r="T396" s="48"/>
      <c r="U396" s="48"/>
      <c r="V396" s="48"/>
      <c r="W396" s="48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 spans="1:36" ht="11.25" customHeight="1" x14ac:dyDescent="0.2">
      <c r="A397" s="44" t="s">
        <v>21</v>
      </c>
      <c r="B397" s="44" t="s">
        <v>40</v>
      </c>
      <c r="C397" s="44" t="s">
        <v>23</v>
      </c>
      <c r="D397" s="44" t="s">
        <v>41</v>
      </c>
      <c r="E397" s="44" t="s">
        <v>52</v>
      </c>
      <c r="F397" s="44" t="s">
        <v>50</v>
      </c>
      <c r="G397" s="44" t="s">
        <v>25</v>
      </c>
      <c r="H397" s="44" t="s">
        <v>25</v>
      </c>
      <c r="I397" s="64">
        <v>44713</v>
      </c>
      <c r="J397" s="65">
        <f>EFEITO!$J$397*EFEITO!$Y$241</f>
        <v>0</v>
      </c>
      <c r="K397" s="65">
        <f ca="1">EFEITO!$L$397*EFEITO!$Z$241</f>
        <v>2096.6621908149918</v>
      </c>
      <c r="L397" s="65">
        <f>EFEITO!$N$397*EFEITO!$AA$241</f>
        <v>685.00678305595716</v>
      </c>
      <c r="M397" s="65">
        <f>$J$397-EFEITO!$K$397*EFEITO!$Y$397</f>
        <v>0</v>
      </c>
      <c r="N397" s="65">
        <f ca="1">$K$397-EFEITO!$M$397*EFEITO!$Z$397</f>
        <v>125.79973144889982</v>
      </c>
      <c r="O397" s="65">
        <f>$L$397-EFEITO!$O$397*EFEITO!$AA$397</f>
        <v>41.100406983357402</v>
      </c>
      <c r="P397" s="48"/>
      <c r="Q397" s="48"/>
      <c r="R397" s="48"/>
      <c r="S397" s="48"/>
      <c r="T397" s="48"/>
      <c r="U397" s="48"/>
      <c r="V397" s="48"/>
      <c r="W397" s="48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 spans="1:36" ht="11.25" customHeight="1" x14ac:dyDescent="0.2">
      <c r="A398" s="44" t="s">
        <v>28</v>
      </c>
      <c r="B398" s="44" t="s">
        <v>40</v>
      </c>
      <c r="C398" s="44" t="s">
        <v>23</v>
      </c>
      <c r="D398" s="44" t="s">
        <v>41</v>
      </c>
      <c r="E398" s="44" t="s">
        <v>52</v>
      </c>
      <c r="F398" s="44" t="s">
        <v>50</v>
      </c>
      <c r="G398" s="44" t="s">
        <v>25</v>
      </c>
      <c r="H398" s="44" t="s">
        <v>25</v>
      </c>
      <c r="I398" s="64">
        <v>44713</v>
      </c>
      <c r="J398" s="65">
        <f>EFEITO!$J$398*EFEITO!$Y$241</f>
        <v>0</v>
      </c>
      <c r="K398" s="65">
        <f ca="1">EFEITO!$L$398*EFEITO!$Z$241</f>
        <v>83.134900508128155</v>
      </c>
      <c r="L398" s="65">
        <f>EFEITO!$N$398*EFEITO!$AA$241</f>
        <v>27.161252301980859</v>
      </c>
      <c r="M398" s="65">
        <f>$J$398-EFEITO!$K$398*EFEITO!$Y$398</f>
        <v>0</v>
      </c>
      <c r="N398" s="65">
        <f ca="1">$K$398-EFEITO!$M$398*EFEITO!$Z$398</f>
        <v>4.9880940304877015</v>
      </c>
      <c r="O398" s="65">
        <f>$L$398-EFEITO!$O$398*EFEITO!$AA$398</f>
        <v>1.6296751381188521</v>
      </c>
      <c r="P398" s="48"/>
      <c r="Q398" s="48"/>
      <c r="R398" s="48"/>
      <c r="S398" s="48"/>
      <c r="T398" s="48"/>
      <c r="U398" s="48"/>
      <c r="V398" s="48"/>
      <c r="W398" s="48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 spans="1:36" ht="11.25" customHeight="1" x14ac:dyDescent="0.2">
      <c r="A399" s="44" t="s">
        <v>21</v>
      </c>
      <c r="B399" s="44" t="s">
        <v>40</v>
      </c>
      <c r="C399" s="44" t="s">
        <v>23</v>
      </c>
      <c r="D399" s="44" t="s">
        <v>41</v>
      </c>
      <c r="E399" s="44" t="s">
        <v>52</v>
      </c>
      <c r="F399" s="44" t="s">
        <v>50</v>
      </c>
      <c r="G399" s="44" t="s">
        <v>25</v>
      </c>
      <c r="H399" s="44" t="s">
        <v>25</v>
      </c>
      <c r="I399" s="64">
        <v>44743</v>
      </c>
      <c r="J399" s="65">
        <f>EFEITO!$J$399*EFEITO!$Y$241</f>
        <v>0</v>
      </c>
      <c r="K399" s="65">
        <f ca="1">EFEITO!$L$399*EFEITO!$Z$241</f>
        <v>1388.7685129882807</v>
      </c>
      <c r="L399" s="65">
        <f>EFEITO!$N$399*EFEITO!$AA$241</f>
        <v>453.72871970459028</v>
      </c>
      <c r="M399" s="65">
        <f>$J$399-EFEITO!$K$399*EFEITO!$Y$399</f>
        <v>0</v>
      </c>
      <c r="N399" s="65">
        <f ca="1">$K$399-EFEITO!$M$399*EFEITO!$Z$399</f>
        <v>83.326110779296869</v>
      </c>
      <c r="O399" s="65">
        <f>$L$399-EFEITO!$O$399*EFEITO!$AA$399</f>
        <v>27.223723182275478</v>
      </c>
      <c r="P399" s="48"/>
      <c r="Q399" s="48"/>
      <c r="R399" s="48"/>
      <c r="S399" s="48"/>
      <c r="T399" s="48"/>
      <c r="U399" s="48"/>
      <c r="V399" s="48"/>
      <c r="W399" s="48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 spans="1:36" ht="11.25" customHeight="1" x14ac:dyDescent="0.2">
      <c r="A400" s="44" t="s">
        <v>28</v>
      </c>
      <c r="B400" s="44" t="s">
        <v>40</v>
      </c>
      <c r="C400" s="44" t="s">
        <v>23</v>
      </c>
      <c r="D400" s="44" t="s">
        <v>41</v>
      </c>
      <c r="E400" s="44" t="s">
        <v>52</v>
      </c>
      <c r="F400" s="44" t="s">
        <v>50</v>
      </c>
      <c r="G400" s="44" t="s">
        <v>25</v>
      </c>
      <c r="H400" s="44" t="s">
        <v>25</v>
      </c>
      <c r="I400" s="64">
        <v>44743</v>
      </c>
      <c r="J400" s="65">
        <f>EFEITO!$J$400*EFEITO!$Y$241</f>
        <v>0</v>
      </c>
      <c r="K400" s="65">
        <f ca="1">EFEITO!$L$400*EFEITO!$Z$241</f>
        <v>83.134900508128155</v>
      </c>
      <c r="L400" s="65">
        <f>EFEITO!$N$400*EFEITO!$AA$241</f>
        <v>27.161252301980859</v>
      </c>
      <c r="M400" s="65">
        <f>$J$400-EFEITO!$K$400*EFEITO!$Y$400</f>
        <v>0</v>
      </c>
      <c r="N400" s="65">
        <f ca="1">$K$400-EFEITO!$M$400*EFEITO!$Z$400</f>
        <v>4.9880940304877015</v>
      </c>
      <c r="O400" s="65">
        <f>$L$400-EFEITO!$O$400*EFEITO!$AA$400</f>
        <v>1.6296751381188521</v>
      </c>
      <c r="P400" s="48"/>
      <c r="Q400" s="48"/>
      <c r="R400" s="48"/>
      <c r="S400" s="48"/>
      <c r="T400" s="48"/>
      <c r="U400" s="48"/>
      <c r="V400" s="48"/>
      <c r="W400" s="48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 spans="1:36" ht="11.25" customHeight="1" x14ac:dyDescent="0.2">
      <c r="A401" s="44" t="s">
        <v>21</v>
      </c>
      <c r="B401" s="44" t="s">
        <v>40</v>
      </c>
      <c r="C401" s="44" t="s">
        <v>23</v>
      </c>
      <c r="D401" s="44" t="s">
        <v>41</v>
      </c>
      <c r="E401" s="44" t="s">
        <v>52</v>
      </c>
      <c r="F401" s="44" t="s">
        <v>50</v>
      </c>
      <c r="G401" s="44" t="s">
        <v>25</v>
      </c>
      <c r="H401" s="44" t="s">
        <v>25</v>
      </c>
      <c r="I401" s="64">
        <v>44774</v>
      </c>
      <c r="J401" s="65">
        <f>EFEITO!$J$401*EFEITO!$Y$241</f>
        <v>0</v>
      </c>
      <c r="K401" s="65">
        <f ca="1">EFEITO!$L$401*EFEITO!$Z$241</f>
        <v>1541.7367299232365</v>
      </c>
      <c r="L401" s="65">
        <f>EFEITO!$N$401*EFEITO!$AA$241</f>
        <v>503.70542394023499</v>
      </c>
      <c r="M401" s="65">
        <f>$J$401-EFEITO!$K$401*EFEITO!$Y$401</f>
        <v>0</v>
      </c>
      <c r="N401" s="65">
        <f ca="1">$K$401-EFEITO!$M$401*EFEITO!$Z$401</f>
        <v>92.504203795394233</v>
      </c>
      <c r="O401" s="65">
        <f>$L$401-EFEITO!$O$401*EFEITO!$AA$401</f>
        <v>30.22232543641411</v>
      </c>
      <c r="P401" s="48"/>
      <c r="Q401" s="48"/>
      <c r="R401" s="48"/>
      <c r="S401" s="48"/>
      <c r="T401" s="48"/>
      <c r="U401" s="48"/>
      <c r="V401" s="48"/>
      <c r="W401" s="48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 spans="1:36" ht="11.25" customHeight="1" x14ac:dyDescent="0.2">
      <c r="A402" s="44" t="s">
        <v>28</v>
      </c>
      <c r="B402" s="44" t="s">
        <v>40</v>
      </c>
      <c r="C402" s="44" t="s">
        <v>23</v>
      </c>
      <c r="D402" s="44" t="s">
        <v>41</v>
      </c>
      <c r="E402" s="44" t="s">
        <v>52</v>
      </c>
      <c r="F402" s="44" t="s">
        <v>50</v>
      </c>
      <c r="G402" s="44" t="s">
        <v>25</v>
      </c>
      <c r="H402" s="44" t="s">
        <v>25</v>
      </c>
      <c r="I402" s="64">
        <v>44774</v>
      </c>
      <c r="J402" s="65">
        <f>EFEITO!$J$402*EFEITO!$Y$241</f>
        <v>0</v>
      </c>
      <c r="K402" s="65">
        <f ca="1">EFEITO!$L$402*EFEITO!$Z$241</f>
        <v>83.134900508128155</v>
      </c>
      <c r="L402" s="65">
        <f>EFEITO!$N$402*EFEITO!$AA$241</f>
        <v>27.161252301980859</v>
      </c>
      <c r="M402" s="65">
        <f>$J$402-EFEITO!$K$402*EFEITO!$Y$402</f>
        <v>0</v>
      </c>
      <c r="N402" s="65">
        <f ca="1">$K$402-EFEITO!$M$402*EFEITO!$Z$402</f>
        <v>4.9880940304877015</v>
      </c>
      <c r="O402" s="65">
        <f>$L$402-EFEITO!$O$402*EFEITO!$AA$402</f>
        <v>1.6296751381188521</v>
      </c>
      <c r="P402" s="48"/>
      <c r="Q402" s="48"/>
      <c r="R402" s="48"/>
      <c r="S402" s="48"/>
      <c r="T402" s="48"/>
      <c r="U402" s="48"/>
      <c r="V402" s="48"/>
      <c r="W402" s="48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 spans="1:36" ht="11.25" customHeight="1" x14ac:dyDescent="0.2">
      <c r="A403" s="44" t="s">
        <v>21</v>
      </c>
      <c r="B403" s="44" t="s">
        <v>40</v>
      </c>
      <c r="C403" s="44" t="s">
        <v>23</v>
      </c>
      <c r="D403" s="44" t="s">
        <v>41</v>
      </c>
      <c r="E403" s="44" t="s">
        <v>52</v>
      </c>
      <c r="F403" s="44" t="s">
        <v>51</v>
      </c>
      <c r="G403" s="44" t="s">
        <v>25</v>
      </c>
      <c r="H403" s="44" t="s">
        <v>25</v>
      </c>
      <c r="I403" s="64">
        <v>44440</v>
      </c>
      <c r="J403" s="65">
        <f>EFEITO!$J$403*EFEITO!$Y$241</f>
        <v>0</v>
      </c>
      <c r="K403" s="65">
        <f ca="1">EFEITO!$L$403*EFEITO!$Z$241</f>
        <v>4343.7985515496957</v>
      </c>
      <c r="L403" s="65">
        <f>EFEITO!$N$403*EFEITO!$AA$241</f>
        <v>1419.1754327784997</v>
      </c>
      <c r="M403" s="65">
        <f>$J$403-EFEITO!$K$403*EFEITO!$Y$403</f>
        <v>0</v>
      </c>
      <c r="N403" s="65">
        <f ca="1">$K$403-EFEITO!$M$403*EFEITO!$Z$403</f>
        <v>2710.5302961670104</v>
      </c>
      <c r="O403" s="65">
        <f>$L$403-EFEITO!$O$403*EFEITO!$AA$403</f>
        <v>885.56547005378388</v>
      </c>
      <c r="P403" s="48"/>
      <c r="Q403" s="48"/>
      <c r="R403" s="48"/>
      <c r="S403" s="48"/>
      <c r="T403" s="48"/>
      <c r="U403" s="48"/>
      <c r="V403" s="48"/>
      <c r="W403" s="48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 spans="1:36" ht="11.25" customHeight="1" x14ac:dyDescent="0.2">
      <c r="A404" s="44" t="s">
        <v>28</v>
      </c>
      <c r="B404" s="44" t="s">
        <v>40</v>
      </c>
      <c r="C404" s="44" t="s">
        <v>23</v>
      </c>
      <c r="D404" s="44" t="s">
        <v>41</v>
      </c>
      <c r="E404" s="44" t="s">
        <v>52</v>
      </c>
      <c r="F404" s="44" t="s">
        <v>51</v>
      </c>
      <c r="G404" s="44" t="s">
        <v>25</v>
      </c>
      <c r="H404" s="44" t="s">
        <v>25</v>
      </c>
      <c r="I404" s="64">
        <v>44440</v>
      </c>
      <c r="J404" s="65">
        <f>EFEITO!$J$404*EFEITO!$Y$241</f>
        <v>0</v>
      </c>
      <c r="K404" s="65">
        <f ca="1">EFEITO!$L$404*EFEITO!$Z$241</f>
        <v>20.783725127032039</v>
      </c>
      <c r="L404" s="65">
        <f>EFEITO!$N$404*EFEITO!$AA$241</f>
        <v>6.7903130754952148</v>
      </c>
      <c r="M404" s="65">
        <f>$J$404-EFEITO!$K$404*EFEITO!$Y$404</f>
        <v>0</v>
      </c>
      <c r="N404" s="65">
        <f ca="1">$K$404-EFEITO!$M$404*EFEITO!$Z$404</f>
        <v>12.969044479267993</v>
      </c>
      <c r="O404" s="65">
        <f>$L$404-EFEITO!$O$404*EFEITO!$AA$404</f>
        <v>4.2371553591090141</v>
      </c>
      <c r="P404" s="48"/>
      <c r="Q404" s="48"/>
      <c r="R404" s="48"/>
      <c r="S404" s="48"/>
      <c r="T404" s="48"/>
      <c r="U404" s="48"/>
      <c r="V404" s="48"/>
      <c r="W404" s="48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 spans="1:36" ht="11.25" customHeight="1" x14ac:dyDescent="0.2">
      <c r="A405" s="44" t="s">
        <v>21</v>
      </c>
      <c r="B405" s="44" t="s">
        <v>40</v>
      </c>
      <c r="C405" s="44" t="s">
        <v>23</v>
      </c>
      <c r="D405" s="44" t="s">
        <v>41</v>
      </c>
      <c r="E405" s="44" t="s">
        <v>52</v>
      </c>
      <c r="F405" s="44" t="s">
        <v>51</v>
      </c>
      <c r="G405" s="44" t="s">
        <v>25</v>
      </c>
      <c r="H405" s="44" t="s">
        <v>25</v>
      </c>
      <c r="I405" s="64">
        <v>44470</v>
      </c>
      <c r="J405" s="65">
        <f>EFEITO!$J$405*EFEITO!$Y$241</f>
        <v>0</v>
      </c>
      <c r="K405" s="65">
        <f ca="1">EFEITO!$L$405*EFEITO!$Z$241</f>
        <v>4073.6101248982795</v>
      </c>
      <c r="L405" s="65">
        <f>EFEITO!$N$405*EFEITO!$AA$241</f>
        <v>1330.9013627970621</v>
      </c>
      <c r="M405" s="65">
        <f>$J$405-EFEITO!$K$405*EFEITO!$Y$405</f>
        <v>0</v>
      </c>
      <c r="N405" s="65">
        <f ca="1">$K$405-EFEITO!$M$405*EFEITO!$Z$405</f>
        <v>2541.9327179365268</v>
      </c>
      <c r="O405" s="65">
        <f>$L$405-EFEITO!$O$405*EFEITO!$AA$405</f>
        <v>830.48245038536686</v>
      </c>
      <c r="P405" s="48"/>
      <c r="Q405" s="48"/>
      <c r="R405" s="48"/>
      <c r="S405" s="48"/>
      <c r="T405" s="48"/>
      <c r="U405" s="48"/>
      <c r="V405" s="48"/>
      <c r="W405" s="48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 spans="1:36" ht="11.25" customHeight="1" x14ac:dyDescent="0.2">
      <c r="A406" s="44" t="s">
        <v>28</v>
      </c>
      <c r="B406" s="44" t="s">
        <v>40</v>
      </c>
      <c r="C406" s="44" t="s">
        <v>23</v>
      </c>
      <c r="D406" s="44" t="s">
        <v>41</v>
      </c>
      <c r="E406" s="44" t="s">
        <v>52</v>
      </c>
      <c r="F406" s="44" t="s">
        <v>51</v>
      </c>
      <c r="G406" s="44" t="s">
        <v>25</v>
      </c>
      <c r="H406" s="44" t="s">
        <v>25</v>
      </c>
      <c r="I406" s="64">
        <v>44470</v>
      </c>
      <c r="J406" s="65">
        <f>EFEITO!$J$406*EFEITO!$Y$241</f>
        <v>0</v>
      </c>
      <c r="K406" s="65">
        <f ca="1">EFEITO!$L$406*EFEITO!$Z$241</f>
        <v>138.00393484349274</v>
      </c>
      <c r="L406" s="65">
        <f>EFEITO!$N$406*EFEITO!$AA$241</f>
        <v>45.087678821288229</v>
      </c>
      <c r="M406" s="65">
        <f>$J$406-EFEITO!$K$406*EFEITO!$Y$406</f>
        <v>0</v>
      </c>
      <c r="N406" s="65">
        <f ca="1">$K$406-EFEITO!$M$406*EFEITO!$Z$406</f>
        <v>86.114455342339483</v>
      </c>
      <c r="O406" s="65">
        <f>$L$406-EFEITO!$O$406*EFEITO!$AA$406</f>
        <v>28.134711584483856</v>
      </c>
      <c r="P406" s="48"/>
      <c r="Q406" s="48"/>
      <c r="R406" s="48"/>
      <c r="S406" s="48"/>
      <c r="T406" s="48"/>
      <c r="U406" s="48"/>
      <c r="V406" s="48"/>
      <c r="W406" s="48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 spans="1:36" ht="11.25" customHeight="1" x14ac:dyDescent="0.2">
      <c r="A407" s="44" t="s">
        <v>21</v>
      </c>
      <c r="B407" s="44" t="s">
        <v>40</v>
      </c>
      <c r="C407" s="44" t="s">
        <v>23</v>
      </c>
      <c r="D407" s="44" t="s">
        <v>41</v>
      </c>
      <c r="E407" s="44" t="s">
        <v>52</v>
      </c>
      <c r="F407" s="44" t="s">
        <v>51</v>
      </c>
      <c r="G407" s="44" t="s">
        <v>25</v>
      </c>
      <c r="H407" s="44" t="s">
        <v>25</v>
      </c>
      <c r="I407" s="64">
        <v>44501</v>
      </c>
      <c r="J407" s="65">
        <f>EFEITO!$J$407*EFEITO!$Y$241</f>
        <v>0</v>
      </c>
      <c r="K407" s="65">
        <f ca="1">EFEITO!$L$407*EFEITO!$Z$241</f>
        <v>3247.6648883500261</v>
      </c>
      <c r="L407" s="65">
        <f>EFEITO!$N$407*EFEITO!$AA$241</f>
        <v>1061.0543211768822</v>
      </c>
      <c r="M407" s="65">
        <f>$J$407-EFEITO!$K$407*EFEITO!$Y$407</f>
        <v>0</v>
      </c>
      <c r="N407" s="65">
        <f ca="1">$K$407-EFEITO!$M$407*EFEITO!$Z$407</f>
        <v>2026.5428903304164</v>
      </c>
      <c r="O407" s="65">
        <f>$L$407-EFEITO!$O$407*EFEITO!$AA$407</f>
        <v>662.09789641437453</v>
      </c>
      <c r="P407" s="48"/>
      <c r="Q407" s="48"/>
      <c r="R407" s="48"/>
      <c r="S407" s="48"/>
      <c r="T407" s="48"/>
      <c r="U407" s="48"/>
      <c r="V407" s="48"/>
      <c r="W407" s="48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 spans="1:36" ht="11.25" customHeight="1" x14ac:dyDescent="0.2">
      <c r="A408" s="44" t="s">
        <v>28</v>
      </c>
      <c r="B408" s="44" t="s">
        <v>40</v>
      </c>
      <c r="C408" s="44" t="s">
        <v>23</v>
      </c>
      <c r="D408" s="44" t="s">
        <v>41</v>
      </c>
      <c r="E408" s="44" t="s">
        <v>52</v>
      </c>
      <c r="F408" s="44" t="s">
        <v>51</v>
      </c>
      <c r="G408" s="44" t="s">
        <v>25</v>
      </c>
      <c r="H408" s="44" t="s">
        <v>25</v>
      </c>
      <c r="I408" s="64">
        <v>44501</v>
      </c>
      <c r="J408" s="65">
        <f>EFEITO!$J$408*EFEITO!$Y$241</f>
        <v>0</v>
      </c>
      <c r="K408" s="65">
        <f ca="1">EFEITO!$L$408*EFEITO!$Z$241</f>
        <v>1967.3874205248524</v>
      </c>
      <c r="L408" s="65">
        <f>EFEITO!$N$408*EFEITO!$AA$241</f>
        <v>642.77103572637691</v>
      </c>
      <c r="M408" s="65">
        <f>$J$408-EFEITO!$K$408*EFEITO!$Y$408</f>
        <v>0</v>
      </c>
      <c r="N408" s="65">
        <f ca="1">$K$408-EFEITO!$M$408*EFEITO!$Z$408</f>
        <v>1227.6497504075078</v>
      </c>
      <c r="O408" s="65">
        <f>$L$408-EFEITO!$O$408*EFEITO!$AA$408</f>
        <v>401.08912629325914</v>
      </c>
      <c r="P408" s="48"/>
      <c r="Q408" s="48"/>
      <c r="R408" s="48"/>
      <c r="S408" s="48"/>
      <c r="T408" s="48"/>
      <c r="U408" s="48"/>
      <c r="V408" s="48"/>
      <c r="W408" s="48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 spans="1:36" ht="11.25" customHeight="1" x14ac:dyDescent="0.2">
      <c r="A409" s="44" t="s">
        <v>21</v>
      </c>
      <c r="B409" s="44" t="s">
        <v>40</v>
      </c>
      <c r="C409" s="44" t="s">
        <v>23</v>
      </c>
      <c r="D409" s="44" t="s">
        <v>41</v>
      </c>
      <c r="E409" s="44" t="s">
        <v>52</v>
      </c>
      <c r="F409" s="44" t="s">
        <v>51</v>
      </c>
      <c r="G409" s="44" t="s">
        <v>25</v>
      </c>
      <c r="H409" s="44" t="s">
        <v>25</v>
      </c>
      <c r="I409" s="64">
        <v>44531</v>
      </c>
      <c r="J409" s="65">
        <f>EFEITO!$J$409*EFEITO!$Y$241</f>
        <v>0</v>
      </c>
      <c r="K409" s="65">
        <f ca="1">EFEITO!$L$409*EFEITO!$Z$241</f>
        <v>3237.2730257865101</v>
      </c>
      <c r="L409" s="65">
        <f>EFEITO!$N$409*EFEITO!$AA$241</f>
        <v>1057.6591646391346</v>
      </c>
      <c r="M409" s="65">
        <f>$J$409-EFEITO!$K$409*EFEITO!$Y$409</f>
        <v>0</v>
      </c>
      <c r="N409" s="65">
        <f ca="1">$K$409-EFEITO!$M$409*EFEITO!$Z$409</f>
        <v>2020.0583680907823</v>
      </c>
      <c r="O409" s="65">
        <f>$L$409-EFEITO!$O$409*EFEITO!$AA$409</f>
        <v>659.97931873482003</v>
      </c>
      <c r="P409" s="48"/>
      <c r="Q409" s="48"/>
      <c r="R409" s="48"/>
      <c r="S409" s="48"/>
      <c r="T409" s="48"/>
      <c r="U409" s="48"/>
      <c r="V409" s="48"/>
      <c r="W409" s="48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r="410" spans="1:36" ht="11.25" customHeight="1" x14ac:dyDescent="0.2">
      <c r="A410" s="44" t="s">
        <v>28</v>
      </c>
      <c r="B410" s="44" t="s">
        <v>40</v>
      </c>
      <c r="C410" s="44" t="s">
        <v>23</v>
      </c>
      <c r="D410" s="44" t="s">
        <v>41</v>
      </c>
      <c r="E410" s="44" t="s">
        <v>52</v>
      </c>
      <c r="F410" s="44" t="s">
        <v>51</v>
      </c>
      <c r="G410" s="44" t="s">
        <v>25</v>
      </c>
      <c r="H410" s="44" t="s">
        <v>25</v>
      </c>
      <c r="I410" s="64">
        <v>44531</v>
      </c>
      <c r="J410" s="65">
        <f>EFEITO!$J$410*EFEITO!$Y$241</f>
        <v>0</v>
      </c>
      <c r="K410" s="65">
        <f ca="1">EFEITO!$L$410*EFEITO!$Z$241</f>
        <v>1747.9112831833943</v>
      </c>
      <c r="L410" s="65">
        <f>EFEITO!$N$410*EFEITO!$AA$241</f>
        <v>571.06532964914754</v>
      </c>
      <c r="M410" s="65">
        <f>$J$410-EFEITO!$K$410*EFEITO!$Y$410</f>
        <v>0</v>
      </c>
      <c r="N410" s="65">
        <f ca="1">$K$410-EFEITO!$M$410*EFEITO!$Z$410</f>
        <v>1090.6966407064381</v>
      </c>
      <c r="O410" s="65">
        <f>$L$410-EFEITO!$O$410*EFEITO!$AA$410</f>
        <v>356.34476570106813</v>
      </c>
      <c r="P410" s="48"/>
      <c r="Q410" s="48"/>
      <c r="R410" s="48"/>
      <c r="S410" s="48"/>
      <c r="T410" s="48"/>
      <c r="U410" s="48"/>
      <c r="V410" s="48"/>
      <c r="W410" s="48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 spans="1:36" ht="11.25" customHeight="1" x14ac:dyDescent="0.2">
      <c r="A411" s="44" t="s">
        <v>21</v>
      </c>
      <c r="B411" s="44" t="s">
        <v>40</v>
      </c>
      <c r="C411" s="44" t="s">
        <v>23</v>
      </c>
      <c r="D411" s="44" t="s">
        <v>41</v>
      </c>
      <c r="E411" s="44" t="s">
        <v>52</v>
      </c>
      <c r="F411" s="44" t="s">
        <v>51</v>
      </c>
      <c r="G411" s="44" t="s">
        <v>25</v>
      </c>
      <c r="H411" s="44" t="s">
        <v>25</v>
      </c>
      <c r="I411" s="64">
        <v>44562</v>
      </c>
      <c r="J411" s="65">
        <f>EFEITO!$J$411*EFEITO!$Y$241</f>
        <v>0</v>
      </c>
      <c r="K411" s="65">
        <f ca="1">EFEITO!$L$411*EFEITO!$Z$241</f>
        <v>4803.1188768571037</v>
      </c>
      <c r="L411" s="65">
        <f>EFEITO!$N$411*EFEITO!$AA$241</f>
        <v>1569.241351746944</v>
      </c>
      <c r="M411" s="65">
        <f>$J$411-EFEITO!$K$411*EFEITO!$Y$411</f>
        <v>0</v>
      </c>
      <c r="N411" s="65">
        <f ca="1">$K$411-EFEITO!$M$411*EFEITO!$Z$411</f>
        <v>2997.1461791588326</v>
      </c>
      <c r="O411" s="65">
        <f>$L$411-EFEITO!$O$411*EFEITO!$AA$411</f>
        <v>979.20660349009313</v>
      </c>
      <c r="P411" s="48"/>
      <c r="Q411" s="48"/>
      <c r="R411" s="48"/>
      <c r="S411" s="48"/>
      <c r="T411" s="48"/>
      <c r="U411" s="48"/>
      <c r="V411" s="48"/>
      <c r="W411" s="48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 spans="1:36" ht="11.25" customHeight="1" x14ac:dyDescent="0.2">
      <c r="A412" s="44" t="s">
        <v>28</v>
      </c>
      <c r="B412" s="44" t="s">
        <v>40</v>
      </c>
      <c r="C412" s="44" t="s">
        <v>23</v>
      </c>
      <c r="D412" s="44" t="s">
        <v>41</v>
      </c>
      <c r="E412" s="44" t="s">
        <v>52</v>
      </c>
      <c r="F412" s="44" t="s">
        <v>51</v>
      </c>
      <c r="G412" s="44" t="s">
        <v>25</v>
      </c>
      <c r="H412" s="44" t="s">
        <v>25</v>
      </c>
      <c r="I412" s="64">
        <v>44562</v>
      </c>
      <c r="J412" s="65">
        <f>EFEITO!$J$412*EFEITO!$Y$241</f>
        <v>0</v>
      </c>
      <c r="K412" s="65">
        <f ca="1">EFEITO!$L$412*EFEITO!$Z$241</f>
        <v>2118.2772649471053</v>
      </c>
      <c r="L412" s="65">
        <f>EFEITO!$N$412*EFEITO!$AA$241</f>
        <v>692.06870865447229</v>
      </c>
      <c r="M412" s="65">
        <f>$J$412-EFEITO!$K$412*EFEITO!$Y$412</f>
        <v>0</v>
      </c>
      <c r="N412" s="65">
        <f ca="1">$K$412-EFEITO!$M$412*EFEITO!$Z$412</f>
        <v>1321.8050133269937</v>
      </c>
      <c r="O412" s="65">
        <f>$L$412-EFEITO!$O$412*EFEITO!$AA$412</f>
        <v>431.85087420039071</v>
      </c>
      <c r="P412" s="48"/>
      <c r="Q412" s="48"/>
      <c r="R412" s="48"/>
      <c r="S412" s="48"/>
      <c r="T412" s="48"/>
      <c r="U412" s="48"/>
      <c r="V412" s="48"/>
      <c r="W412" s="48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 spans="1:36" ht="11.25" customHeight="1" x14ac:dyDescent="0.2">
      <c r="A413" s="44" t="s">
        <v>21</v>
      </c>
      <c r="B413" s="44" t="s">
        <v>40</v>
      </c>
      <c r="C413" s="44" t="s">
        <v>23</v>
      </c>
      <c r="D413" s="44" t="s">
        <v>41</v>
      </c>
      <c r="E413" s="44" t="s">
        <v>52</v>
      </c>
      <c r="F413" s="44" t="s">
        <v>51</v>
      </c>
      <c r="G413" s="44" t="s">
        <v>25</v>
      </c>
      <c r="H413" s="44" t="s">
        <v>25</v>
      </c>
      <c r="I413" s="64">
        <v>44593</v>
      </c>
      <c r="J413" s="65">
        <f>EFEITO!$J$413*EFEITO!$Y$241</f>
        <v>0</v>
      </c>
      <c r="K413" s="65">
        <f ca="1">EFEITO!$L$413*EFEITO!$Z$241</f>
        <v>6049.3110354739447</v>
      </c>
      <c r="L413" s="65">
        <f>EFEITO!$N$413*EFEITO!$AA$241</f>
        <v>1976.3885237536372</v>
      </c>
      <c r="M413" s="65">
        <f>$J$413-EFEITO!$K$413*EFEITO!$Y$413</f>
        <v>0</v>
      </c>
      <c r="N413" s="65">
        <f ca="1">$K$413-EFEITO!$M$413*EFEITO!$Z$413</f>
        <v>3774.7700861357416</v>
      </c>
      <c r="O413" s="65">
        <f>$L$413-EFEITO!$O$413*EFEITO!$AA$413</f>
        <v>1233.2664388222697</v>
      </c>
      <c r="P413" s="48"/>
      <c r="Q413" s="48"/>
      <c r="R413" s="48"/>
      <c r="S413" s="48"/>
      <c r="T413" s="48"/>
      <c r="U413" s="48"/>
      <c r="V413" s="48"/>
      <c r="W413" s="48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 spans="1:36" ht="11.25" customHeight="1" x14ac:dyDescent="0.2">
      <c r="A414" s="44" t="s">
        <v>28</v>
      </c>
      <c r="B414" s="44" t="s">
        <v>40</v>
      </c>
      <c r="C414" s="44" t="s">
        <v>23</v>
      </c>
      <c r="D414" s="44" t="s">
        <v>41</v>
      </c>
      <c r="E414" s="44" t="s">
        <v>52</v>
      </c>
      <c r="F414" s="44" t="s">
        <v>51</v>
      </c>
      <c r="G414" s="44" t="s">
        <v>25</v>
      </c>
      <c r="H414" s="44" t="s">
        <v>25</v>
      </c>
      <c r="I414" s="64">
        <v>44593</v>
      </c>
      <c r="J414" s="65">
        <f>EFEITO!$J$414*EFEITO!$Y$241</f>
        <v>0</v>
      </c>
      <c r="K414" s="65">
        <f ca="1">EFEITO!$L$414*EFEITO!$Z$241</f>
        <v>1305.6336124801526</v>
      </c>
      <c r="L414" s="65">
        <f>EFEITO!$N$414*EFEITO!$AA$241</f>
        <v>426.5674674026094</v>
      </c>
      <c r="M414" s="65">
        <f>$J$414-EFEITO!$K$414*EFEITO!$Y$414</f>
        <v>0</v>
      </c>
      <c r="N414" s="65">
        <f ca="1">$K$414-EFEITO!$M$414*EFEITO!$Z$414</f>
        <v>814.71537418761523</v>
      </c>
      <c r="O414" s="65">
        <f>$L$414-EFEITO!$O$414*EFEITO!$AA$414</f>
        <v>266.17809965922828</v>
      </c>
      <c r="P414" s="48"/>
      <c r="Q414" s="48"/>
      <c r="R414" s="48"/>
      <c r="S414" s="48"/>
      <c r="T414" s="48"/>
      <c r="U414" s="48"/>
      <c r="V414" s="48"/>
      <c r="W414" s="48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 spans="1:36" ht="11.25" customHeight="1" x14ac:dyDescent="0.2">
      <c r="A415" s="44" t="s">
        <v>21</v>
      </c>
      <c r="B415" s="44" t="s">
        <v>40</v>
      </c>
      <c r="C415" s="44" t="s">
        <v>23</v>
      </c>
      <c r="D415" s="44" t="s">
        <v>41</v>
      </c>
      <c r="E415" s="44" t="s">
        <v>52</v>
      </c>
      <c r="F415" s="44" t="s">
        <v>51</v>
      </c>
      <c r="G415" s="44" t="s">
        <v>25</v>
      </c>
      <c r="H415" s="44" t="s">
        <v>25</v>
      </c>
      <c r="I415" s="64">
        <v>44621</v>
      </c>
      <c r="J415" s="65">
        <f>EFEITO!$J$415*EFEITO!$Y$241</f>
        <v>0</v>
      </c>
      <c r="K415" s="65">
        <f ca="1">EFEITO!$L$415*EFEITO!$Z$241</f>
        <v>4046.5912822331375</v>
      </c>
      <c r="L415" s="65">
        <f>EFEITO!$N$415*EFEITO!$AA$241</f>
        <v>1322.0739557989182</v>
      </c>
      <c r="M415" s="65">
        <f>$J$415-EFEITO!$K$415*EFEITO!$Y$415</f>
        <v>0</v>
      </c>
      <c r="N415" s="65">
        <f ca="1">$K$415-EFEITO!$M$415*EFEITO!$Z$415</f>
        <v>2525.0729601134781</v>
      </c>
      <c r="O415" s="65">
        <f>$L$415-EFEITO!$O$415*EFEITO!$AA$415</f>
        <v>824.97414841852492</v>
      </c>
      <c r="P415" s="48"/>
      <c r="Q415" s="48"/>
      <c r="R415" s="48"/>
      <c r="S415" s="48"/>
      <c r="T415" s="48"/>
      <c r="U415" s="48"/>
      <c r="V415" s="48"/>
      <c r="W415" s="48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 spans="1:36" ht="11.25" customHeight="1" x14ac:dyDescent="0.2">
      <c r="A416" s="44" t="s">
        <v>28</v>
      </c>
      <c r="B416" s="44" t="s">
        <v>40</v>
      </c>
      <c r="C416" s="44" t="s">
        <v>23</v>
      </c>
      <c r="D416" s="44" t="s">
        <v>41</v>
      </c>
      <c r="E416" s="44" t="s">
        <v>52</v>
      </c>
      <c r="F416" s="44" t="s">
        <v>51</v>
      </c>
      <c r="G416" s="44" t="s">
        <v>25</v>
      </c>
      <c r="H416" s="44" t="s">
        <v>25</v>
      </c>
      <c r="I416" s="64">
        <v>44621</v>
      </c>
      <c r="J416" s="65">
        <f>EFEITO!$J$416*EFEITO!$Y$241</f>
        <v>0</v>
      </c>
      <c r="K416" s="65">
        <f ca="1">EFEITO!$L$416*EFEITO!$Z$241</f>
        <v>2233.834776653403</v>
      </c>
      <c r="L416" s="65">
        <f>EFEITO!$N$416*EFEITO!$AA$241</f>
        <v>729.82284935422558</v>
      </c>
      <c r="M416" s="65">
        <f>$J$416-EFEITO!$K$416*EFEITO!$Y$416</f>
        <v>0</v>
      </c>
      <c r="N416" s="65">
        <f ca="1">$K$416-EFEITO!$M$416*EFEITO!$Z$416</f>
        <v>1393.9129006317235</v>
      </c>
      <c r="O416" s="65">
        <f>$L$416-EFEITO!$O$416*EFEITO!$AA$416</f>
        <v>455.40945799703678</v>
      </c>
      <c r="P416" s="48"/>
      <c r="Q416" s="48"/>
      <c r="R416" s="48"/>
      <c r="S416" s="48"/>
      <c r="T416" s="48"/>
      <c r="U416" s="48"/>
      <c r="V416" s="48"/>
      <c r="W416" s="48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 spans="1:36" ht="11.25" customHeight="1" x14ac:dyDescent="0.2">
      <c r="A417" s="44" t="s">
        <v>21</v>
      </c>
      <c r="B417" s="44" t="s">
        <v>40</v>
      </c>
      <c r="C417" s="44" t="s">
        <v>23</v>
      </c>
      <c r="D417" s="44" t="s">
        <v>41</v>
      </c>
      <c r="E417" s="44" t="s">
        <v>52</v>
      </c>
      <c r="F417" s="44" t="s">
        <v>51</v>
      </c>
      <c r="G417" s="44" t="s">
        <v>25</v>
      </c>
      <c r="H417" s="44" t="s">
        <v>25</v>
      </c>
      <c r="I417" s="64">
        <v>44652</v>
      </c>
      <c r="J417" s="65">
        <f>EFEITO!$J$417*EFEITO!$Y$241</f>
        <v>0</v>
      </c>
      <c r="K417" s="65">
        <f ca="1">EFEITO!$L$417*EFEITO!$Z$241</f>
        <v>3372.3672391122182</v>
      </c>
      <c r="L417" s="65">
        <f>EFEITO!$N$417*EFEITO!$AA$241</f>
        <v>1101.7961996298534</v>
      </c>
      <c r="M417" s="65">
        <f>$J$417-EFEITO!$K$417*EFEITO!$Y$417</f>
        <v>0</v>
      </c>
      <c r="N417" s="65">
        <f ca="1">$K$417-EFEITO!$M$417*EFEITO!$Z$417</f>
        <v>2104.3571572060241</v>
      </c>
      <c r="O417" s="65">
        <f>$L$417-EFEITO!$O$417*EFEITO!$AA$417</f>
        <v>687.52082856902848</v>
      </c>
      <c r="P417" s="48"/>
      <c r="Q417" s="48"/>
      <c r="R417" s="48"/>
      <c r="S417" s="48"/>
      <c r="T417" s="48"/>
      <c r="U417" s="48"/>
      <c r="V417" s="48"/>
      <c r="W417" s="48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 spans="1:36" ht="11.25" customHeight="1" x14ac:dyDescent="0.2">
      <c r="A418" s="44" t="s">
        <v>28</v>
      </c>
      <c r="B418" s="44" t="s">
        <v>40</v>
      </c>
      <c r="C418" s="44" t="s">
        <v>23</v>
      </c>
      <c r="D418" s="44" t="s">
        <v>41</v>
      </c>
      <c r="E418" s="44" t="s">
        <v>52</v>
      </c>
      <c r="F418" s="44" t="s">
        <v>51</v>
      </c>
      <c r="G418" s="44" t="s">
        <v>25</v>
      </c>
      <c r="H418" s="44" t="s">
        <v>25</v>
      </c>
      <c r="I418" s="64">
        <v>44652</v>
      </c>
      <c r="J418" s="65">
        <f>EFEITO!$J$418*EFEITO!$Y$241</f>
        <v>0</v>
      </c>
      <c r="K418" s="65">
        <f ca="1">EFEITO!$L$418*EFEITO!$Z$241</f>
        <v>1750.8210047011787</v>
      </c>
      <c r="L418" s="65">
        <f>EFEITO!$N$418*EFEITO!$AA$241</f>
        <v>572.01597347971688</v>
      </c>
      <c r="M418" s="65">
        <f>$J$418-EFEITO!$K$418*EFEITO!$Y$418</f>
        <v>0</v>
      </c>
      <c r="N418" s="65">
        <f ca="1">$K$418-EFEITO!$M$418*EFEITO!$Z$418</f>
        <v>1092.5123069335355</v>
      </c>
      <c r="O418" s="65">
        <f>$L$418-EFEITO!$O$418*EFEITO!$AA$418</f>
        <v>356.9379674513433</v>
      </c>
      <c r="P418" s="48"/>
      <c r="Q418" s="48"/>
      <c r="R418" s="48"/>
      <c r="S418" s="48"/>
      <c r="T418" s="48"/>
      <c r="U418" s="48"/>
      <c r="V418" s="48"/>
      <c r="W418" s="48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r="419" spans="1:36" ht="11.25" customHeight="1" x14ac:dyDescent="0.2">
      <c r="A419" s="44" t="s">
        <v>21</v>
      </c>
      <c r="B419" s="44" t="s">
        <v>40</v>
      </c>
      <c r="C419" s="44" t="s">
        <v>23</v>
      </c>
      <c r="D419" s="44" t="s">
        <v>41</v>
      </c>
      <c r="E419" s="44" t="s">
        <v>52</v>
      </c>
      <c r="F419" s="44" t="s">
        <v>51</v>
      </c>
      <c r="G419" s="44" t="s">
        <v>25</v>
      </c>
      <c r="H419" s="44" t="s">
        <v>25</v>
      </c>
      <c r="I419" s="64">
        <v>44682</v>
      </c>
      <c r="J419" s="65">
        <f>EFEITO!$J$419*EFEITO!$Y$241</f>
        <v>0</v>
      </c>
      <c r="K419" s="65">
        <f ca="1">EFEITO!$L$419*EFEITO!$Z$241</f>
        <v>2123.2653589775928</v>
      </c>
      <c r="L419" s="65">
        <f>EFEITO!$N$419*EFEITO!$AA$241</f>
        <v>693.69838379259102</v>
      </c>
      <c r="M419" s="65">
        <f>$J$419-EFEITO!$K$419*EFEITO!$Y$419</f>
        <v>0</v>
      </c>
      <c r="N419" s="65">
        <f ca="1">$K$419-EFEITO!$M$419*EFEITO!$Z$419</f>
        <v>1324.917584002018</v>
      </c>
      <c r="O419" s="65">
        <f>$L$419-EFEITO!$O$419*EFEITO!$AA$419</f>
        <v>432.86779148657678</v>
      </c>
      <c r="P419" s="48"/>
      <c r="Q419" s="48"/>
      <c r="R419" s="48"/>
      <c r="S419" s="48"/>
      <c r="T419" s="48"/>
      <c r="U419" s="48"/>
      <c r="V419" s="48"/>
      <c r="W419" s="48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r="420" spans="1:36" ht="11.25" customHeight="1" x14ac:dyDescent="0.2">
      <c r="A420" s="44" t="s">
        <v>28</v>
      </c>
      <c r="B420" s="44" t="s">
        <v>40</v>
      </c>
      <c r="C420" s="44" t="s">
        <v>23</v>
      </c>
      <c r="D420" s="44" t="s">
        <v>41</v>
      </c>
      <c r="E420" s="44" t="s">
        <v>52</v>
      </c>
      <c r="F420" s="44" t="s">
        <v>51</v>
      </c>
      <c r="G420" s="44" t="s">
        <v>25</v>
      </c>
      <c r="H420" s="44" t="s">
        <v>25</v>
      </c>
      <c r="I420" s="64">
        <v>44682</v>
      </c>
      <c r="J420" s="65">
        <f>EFEITO!$J$420*EFEITO!$Y$241</f>
        <v>0</v>
      </c>
      <c r="K420" s="65">
        <f ca="1">EFEITO!$L$420*EFEITO!$Z$241</f>
        <v>487.58619148017158</v>
      </c>
      <c r="L420" s="65">
        <f>EFEITO!$N$420*EFEITO!$AA$241</f>
        <v>159.30074475111775</v>
      </c>
      <c r="M420" s="65">
        <f>$J$420-EFEITO!$K$420*EFEITO!$Y$420</f>
        <v>0</v>
      </c>
      <c r="N420" s="65">
        <f ca="1">$K$420-EFEITO!$M$420*EFEITO!$Z$420</f>
        <v>304.2537834836271</v>
      </c>
      <c r="O420" s="65">
        <f>$L$420-EFEITO!$O$420*EFEITO!$AA$420</f>
        <v>99.403664724697478</v>
      </c>
      <c r="P420" s="48"/>
      <c r="Q420" s="48"/>
      <c r="R420" s="48"/>
      <c r="S420" s="48"/>
      <c r="T420" s="48"/>
      <c r="U420" s="48"/>
      <c r="V420" s="48"/>
      <c r="W420" s="48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r="421" spans="1:36" ht="11.25" customHeight="1" x14ac:dyDescent="0.2">
      <c r="A421" s="44" t="s">
        <v>21</v>
      </c>
      <c r="B421" s="44" t="s">
        <v>40</v>
      </c>
      <c r="C421" s="44" t="s">
        <v>23</v>
      </c>
      <c r="D421" s="44" t="s">
        <v>41</v>
      </c>
      <c r="E421" s="44" t="s">
        <v>52</v>
      </c>
      <c r="F421" s="44" t="s">
        <v>51</v>
      </c>
      <c r="G421" s="44" t="s">
        <v>25</v>
      </c>
      <c r="H421" s="44" t="s">
        <v>25</v>
      </c>
      <c r="I421" s="64">
        <v>44713</v>
      </c>
      <c r="J421" s="65">
        <f>EFEITO!$J$421*EFEITO!$Y$241</f>
        <v>0</v>
      </c>
      <c r="K421" s="65">
        <f ca="1">EFEITO!$L$421*EFEITO!$Z$241</f>
        <v>2346.4825668419167</v>
      </c>
      <c r="L421" s="65">
        <f>EFEITO!$N$421*EFEITO!$AA$241</f>
        <v>766.62634622340966</v>
      </c>
      <c r="M421" s="65">
        <f>$J$421-EFEITO!$K$421*EFEITO!$Y$421</f>
        <v>0</v>
      </c>
      <c r="N421" s="65">
        <f ca="1">$K$421-EFEITO!$M$421*EFEITO!$Z$421</f>
        <v>1464.2051217093558</v>
      </c>
      <c r="O421" s="65">
        <f>$L$421-EFEITO!$O$421*EFEITO!$AA$421</f>
        <v>478.37484004340763</v>
      </c>
      <c r="P421" s="48"/>
      <c r="Q421" s="48"/>
      <c r="R421" s="48"/>
      <c r="S421" s="48"/>
      <c r="T421" s="48"/>
      <c r="U421" s="48"/>
      <c r="V421" s="48"/>
      <c r="W421" s="48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r="422" spans="1:36" ht="11.25" customHeight="1" x14ac:dyDescent="0.2">
      <c r="A422" s="44" t="s">
        <v>21</v>
      </c>
      <c r="B422" s="44" t="s">
        <v>40</v>
      </c>
      <c r="C422" s="44" t="s">
        <v>23</v>
      </c>
      <c r="D422" s="44" t="s">
        <v>41</v>
      </c>
      <c r="E422" s="44" t="s">
        <v>52</v>
      </c>
      <c r="F422" s="44" t="s">
        <v>51</v>
      </c>
      <c r="G422" s="44" t="s">
        <v>25</v>
      </c>
      <c r="H422" s="44" t="s">
        <v>25</v>
      </c>
      <c r="I422" s="64">
        <v>44743</v>
      </c>
      <c r="J422" s="65">
        <f>EFEITO!$J$422*EFEITO!$Y$241</f>
        <v>0</v>
      </c>
      <c r="K422" s="65">
        <f ca="1">EFEITO!$L$422*EFEITO!$Z$241</f>
        <v>1849.3358618033105</v>
      </c>
      <c r="L422" s="65">
        <f>EFEITO!$N$422*EFEITO!$AA$241</f>
        <v>604.20205745756414</v>
      </c>
      <c r="M422" s="65">
        <f>$J$422-EFEITO!$K$422*EFEITO!$Y$422</f>
        <v>0</v>
      </c>
      <c r="N422" s="65">
        <f ca="1">$K$422-EFEITO!$M$422*EFEITO!$Z$422</f>
        <v>1153.9855777652658</v>
      </c>
      <c r="O422" s="65">
        <f>$L$422-EFEITO!$O$422*EFEITO!$AA$422</f>
        <v>377.02208385352003</v>
      </c>
      <c r="P422" s="48"/>
      <c r="Q422" s="48"/>
      <c r="R422" s="48"/>
      <c r="S422" s="48"/>
      <c r="T422" s="48"/>
      <c r="U422" s="48"/>
      <c r="V422" s="48"/>
      <c r="W422" s="48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 spans="1:36" ht="11.25" customHeight="1" x14ac:dyDescent="0.2">
      <c r="A423" s="44" t="s">
        <v>21</v>
      </c>
      <c r="B423" s="44" t="s">
        <v>40</v>
      </c>
      <c r="C423" s="44" t="s">
        <v>23</v>
      </c>
      <c r="D423" s="44" t="s">
        <v>41</v>
      </c>
      <c r="E423" s="44" t="s">
        <v>52</v>
      </c>
      <c r="F423" s="44" t="s">
        <v>51</v>
      </c>
      <c r="G423" s="44" t="s">
        <v>25</v>
      </c>
      <c r="H423" s="44" t="s">
        <v>25</v>
      </c>
      <c r="I423" s="64">
        <v>44774</v>
      </c>
      <c r="J423" s="65">
        <f>EFEITO!$J$423*EFEITO!$Y$241</f>
        <v>0</v>
      </c>
      <c r="K423" s="65">
        <f ca="1">EFEITO!$L$423*EFEITO!$Z$241</f>
        <v>2078.7881872057446</v>
      </c>
      <c r="L423" s="65">
        <f>EFEITO!$N$423*EFEITO!$AA$241</f>
        <v>679.16711381103141</v>
      </c>
      <c r="M423" s="65">
        <f>$J$423-EFEITO!$K$423*EFEITO!$Y$423</f>
        <v>0</v>
      </c>
      <c r="N423" s="65">
        <f ca="1">$K$423-EFEITO!$M$423*EFEITO!$Z$423</f>
        <v>1297.1638288163849</v>
      </c>
      <c r="O423" s="65">
        <f>$L$423-EFEITO!$O$423*EFEITO!$AA$423</f>
        <v>423.80027901808364</v>
      </c>
      <c r="P423" s="48"/>
      <c r="Q423" s="48"/>
      <c r="R423" s="48"/>
      <c r="S423" s="48"/>
      <c r="T423" s="48"/>
      <c r="U423" s="48"/>
      <c r="V423" s="48"/>
      <c r="W423" s="48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 spans="1:36" ht="11.25" customHeight="1" x14ac:dyDescent="0.2">
      <c r="A424" s="44" t="s">
        <v>21</v>
      </c>
      <c r="B424" s="44" t="s">
        <v>40</v>
      </c>
      <c r="C424" s="44" t="s">
        <v>23</v>
      </c>
      <c r="D424" s="44" t="s">
        <v>41</v>
      </c>
      <c r="E424" s="44" t="s">
        <v>25</v>
      </c>
      <c r="F424" s="44" t="s">
        <v>25</v>
      </c>
      <c r="G424" s="44" t="s">
        <v>25</v>
      </c>
      <c r="H424" s="44" t="s">
        <v>25</v>
      </c>
      <c r="I424" s="64">
        <v>44440</v>
      </c>
      <c r="J424" s="65">
        <f>EFEITO!$J$424*EFEITO!$Y$241</f>
        <v>0</v>
      </c>
      <c r="K424" s="65">
        <f ca="1">EFEITO!$L$424*EFEITO!$Z$241</f>
        <v>1379523.0807027717</v>
      </c>
      <c r="L424" s="65">
        <f>EFEITO!$N$424*EFEITO!$AA$241</f>
        <v>450708.11683608691</v>
      </c>
      <c r="M424" s="65">
        <f>$J$424-EFEITO!$K$424*EFEITO!$Y$424</f>
        <v>0</v>
      </c>
      <c r="N424" s="65">
        <f ca="1">$K$424-EFEITO!$M$424*EFEITO!$Z$424</f>
        <v>82771.384842166444</v>
      </c>
      <c r="O424" s="65">
        <f>$L$424-EFEITO!$O$424*EFEITO!$AA$424</f>
        <v>27042.487010165234</v>
      </c>
      <c r="P424" s="48"/>
      <c r="Q424" s="48"/>
      <c r="R424" s="48"/>
      <c r="S424" s="48"/>
      <c r="T424" s="48"/>
      <c r="U424" s="48"/>
      <c r="V424" s="48"/>
      <c r="W424" s="48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r="425" spans="1:36" ht="11.25" customHeight="1" x14ac:dyDescent="0.2">
      <c r="A425" s="44" t="s">
        <v>27</v>
      </c>
      <c r="B425" s="44" t="s">
        <v>40</v>
      </c>
      <c r="C425" s="44" t="s">
        <v>23</v>
      </c>
      <c r="D425" s="44" t="s">
        <v>41</v>
      </c>
      <c r="E425" s="44" t="s">
        <v>25</v>
      </c>
      <c r="F425" s="44" t="s">
        <v>25</v>
      </c>
      <c r="G425" s="44" t="s">
        <v>25</v>
      </c>
      <c r="H425" s="44" t="s">
        <v>25</v>
      </c>
      <c r="I425" s="64">
        <v>44440</v>
      </c>
      <c r="J425" s="65">
        <f>EFEITO!$J$425*EFEITO!$Y$241</f>
        <v>0</v>
      </c>
      <c r="K425" s="65">
        <f ca="1">EFEITO!$L$425*EFEITO!$Z$241</f>
        <v>-1057.0602599608494</v>
      </c>
      <c r="L425" s="65">
        <f>EFEITO!$N$425*EFEITO!$AA$241</f>
        <v>-345.35532301968664</v>
      </c>
      <c r="M425" s="65">
        <f>$J$425-EFEITO!$K$425*EFEITO!$Y$425</f>
        <v>0</v>
      </c>
      <c r="N425" s="65">
        <f ca="1">$K$425-EFEITO!$M$425*EFEITO!$Z$425</f>
        <v>-63.423615597651064</v>
      </c>
      <c r="O425" s="65">
        <f>$L$425-EFEITO!$O$425*EFEITO!$AA$425</f>
        <v>-20.721319381181218</v>
      </c>
      <c r="P425" s="48"/>
      <c r="Q425" s="48"/>
      <c r="R425" s="48"/>
      <c r="S425" s="48"/>
      <c r="T425" s="48"/>
      <c r="U425" s="48"/>
      <c r="V425" s="48"/>
      <c r="W425" s="48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r="426" spans="1:36" ht="11.25" customHeight="1" x14ac:dyDescent="0.2">
      <c r="A426" s="44" t="s">
        <v>28</v>
      </c>
      <c r="B426" s="44" t="s">
        <v>40</v>
      </c>
      <c r="C426" s="44" t="s">
        <v>23</v>
      </c>
      <c r="D426" s="44" t="s">
        <v>41</v>
      </c>
      <c r="E426" s="44" t="s">
        <v>25</v>
      </c>
      <c r="F426" s="44" t="s">
        <v>25</v>
      </c>
      <c r="G426" s="44" t="s">
        <v>25</v>
      </c>
      <c r="H426" s="44" t="s">
        <v>25</v>
      </c>
      <c r="I426" s="64">
        <v>44440</v>
      </c>
      <c r="J426" s="65">
        <f>EFEITO!$J$426*EFEITO!$Y$241</f>
        <v>0</v>
      </c>
      <c r="K426" s="65">
        <f ca="1">EFEITO!$L$426*EFEITO!$Z$241</f>
        <v>93755.384048041524</v>
      </c>
      <c r="L426" s="65">
        <f>EFEITO!$N$426*EFEITO!$AA$241</f>
        <v>30631.102283558914</v>
      </c>
      <c r="M426" s="65">
        <f>$J$426-EFEITO!$K$426*EFEITO!$Y$426</f>
        <v>0</v>
      </c>
      <c r="N426" s="65">
        <f ca="1">$K$426-EFEITO!$M$426*EFEITO!$Z$426</f>
        <v>5625.3230428825045</v>
      </c>
      <c r="O426" s="65">
        <f>$L$426-EFEITO!$O$426*EFEITO!$AA$426</f>
        <v>1837.8661370135378</v>
      </c>
      <c r="P426" s="48"/>
      <c r="Q426" s="48"/>
      <c r="R426" s="48"/>
      <c r="S426" s="48"/>
      <c r="T426" s="48"/>
      <c r="U426" s="48"/>
      <c r="V426" s="48"/>
      <c r="W426" s="48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r="427" spans="1:36" ht="11.25" customHeight="1" x14ac:dyDescent="0.2">
      <c r="A427" s="44" t="s">
        <v>21</v>
      </c>
      <c r="B427" s="44" t="s">
        <v>40</v>
      </c>
      <c r="C427" s="44" t="s">
        <v>23</v>
      </c>
      <c r="D427" s="44" t="s">
        <v>41</v>
      </c>
      <c r="E427" s="44" t="s">
        <v>25</v>
      </c>
      <c r="F427" s="44" t="s">
        <v>25</v>
      </c>
      <c r="G427" s="44" t="s">
        <v>25</v>
      </c>
      <c r="H427" s="44" t="s">
        <v>25</v>
      </c>
      <c r="I427" s="64">
        <v>44470</v>
      </c>
      <c r="J427" s="65">
        <f>EFEITO!$J$427*EFEITO!$Y$241</f>
        <v>0</v>
      </c>
      <c r="K427" s="65">
        <f ca="1">EFEITO!$L$427*EFEITO!$Z$241</f>
        <v>1333620.1453872088</v>
      </c>
      <c r="L427" s="65">
        <f>EFEITO!$N$427*EFEITO!$AA$241</f>
        <v>435711.03137754818</v>
      </c>
      <c r="M427" s="65">
        <f>$J$427-EFEITO!$K$427*EFEITO!$Y$427</f>
        <v>0</v>
      </c>
      <c r="N427" s="65">
        <f ca="1">$K$427-EFEITO!$M$427*EFEITO!$Z$427</f>
        <v>80017.208723232616</v>
      </c>
      <c r="O427" s="65">
        <f>$L$427-EFEITO!$O$427*EFEITO!$AA$427</f>
        <v>26142.661882652901</v>
      </c>
      <c r="P427" s="48"/>
      <c r="Q427" s="48"/>
      <c r="R427" s="48"/>
      <c r="S427" s="48"/>
      <c r="T427" s="48"/>
      <c r="U427" s="48"/>
      <c r="V427" s="48"/>
      <c r="W427" s="48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r="428" spans="1:36" ht="11.25" customHeight="1" x14ac:dyDescent="0.2">
      <c r="A428" s="44" t="s">
        <v>27</v>
      </c>
      <c r="B428" s="44" t="s">
        <v>40</v>
      </c>
      <c r="C428" s="44" t="s">
        <v>23</v>
      </c>
      <c r="D428" s="44" t="s">
        <v>41</v>
      </c>
      <c r="E428" s="44" t="s">
        <v>25</v>
      </c>
      <c r="F428" s="44" t="s">
        <v>25</v>
      </c>
      <c r="G428" s="44" t="s">
        <v>25</v>
      </c>
      <c r="H428" s="44" t="s">
        <v>25</v>
      </c>
      <c r="I428" s="64">
        <v>44470</v>
      </c>
      <c r="J428" s="65">
        <f>EFEITO!$J$428*EFEITO!$Y$241</f>
        <v>0</v>
      </c>
      <c r="K428" s="65">
        <f ca="1">EFEITO!$L$428*EFEITO!$Z$241</f>
        <v>-318.40666894613082</v>
      </c>
      <c r="L428" s="65">
        <f>EFEITO!$N$428*EFEITO!$AA$241</f>
        <v>-104.02759631658668</v>
      </c>
      <c r="M428" s="65">
        <f>$J$428-EFEITO!$K$428*EFEITO!$Y$428</f>
        <v>0</v>
      </c>
      <c r="N428" s="65">
        <f ca="1">$K$428-EFEITO!$M$428*EFEITO!$Z$428</f>
        <v>-19.104400136767879</v>
      </c>
      <c r="O428" s="65">
        <f>$L$428-EFEITO!$O$428*EFEITO!$AA$428</f>
        <v>-6.2416557789951952</v>
      </c>
      <c r="P428" s="48"/>
      <c r="Q428" s="48"/>
      <c r="R428" s="48"/>
      <c r="S428" s="48"/>
      <c r="T428" s="48"/>
      <c r="U428" s="48"/>
      <c r="V428" s="48"/>
      <c r="W428" s="48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r="429" spans="1:36" ht="11.25" customHeight="1" x14ac:dyDescent="0.2">
      <c r="A429" s="44" t="s">
        <v>28</v>
      </c>
      <c r="B429" s="44" t="s">
        <v>40</v>
      </c>
      <c r="C429" s="44" t="s">
        <v>23</v>
      </c>
      <c r="D429" s="44" t="s">
        <v>41</v>
      </c>
      <c r="E429" s="44" t="s">
        <v>25</v>
      </c>
      <c r="F429" s="44" t="s">
        <v>25</v>
      </c>
      <c r="G429" s="44" t="s">
        <v>25</v>
      </c>
      <c r="H429" s="44" t="s">
        <v>25</v>
      </c>
      <c r="I429" s="64">
        <v>44470</v>
      </c>
      <c r="J429" s="65">
        <f>EFEITO!$J$429*EFEITO!$Y$241</f>
        <v>0</v>
      </c>
      <c r="K429" s="65">
        <f ca="1">EFEITO!$L$429*EFEITO!$Z$241</f>
        <v>93740.00409144751</v>
      </c>
      <c r="L429" s="65">
        <f>EFEITO!$N$429*EFEITO!$AA$241</f>
        <v>30626.077451883048</v>
      </c>
      <c r="M429" s="65">
        <f>$J$429-EFEITO!$K$429*EFEITO!$Y$429</f>
        <v>0</v>
      </c>
      <c r="N429" s="65">
        <f ca="1">$K$429-EFEITO!$M$429*EFEITO!$Z$429</f>
        <v>5624.4002454868605</v>
      </c>
      <c r="O429" s="65">
        <f>$L$429-EFEITO!$O$429*EFEITO!$AA$429</f>
        <v>1837.5646471129839</v>
      </c>
      <c r="P429" s="48"/>
      <c r="Q429" s="48"/>
      <c r="R429" s="48"/>
      <c r="S429" s="48"/>
      <c r="T429" s="48"/>
      <c r="U429" s="48"/>
      <c r="V429" s="48"/>
      <c r="W429" s="48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r="430" spans="1:36" ht="11.25" customHeight="1" x14ac:dyDescent="0.2">
      <c r="A430" s="44" t="s">
        <v>21</v>
      </c>
      <c r="B430" s="44" t="s">
        <v>40</v>
      </c>
      <c r="C430" s="44" t="s">
        <v>23</v>
      </c>
      <c r="D430" s="44" t="s">
        <v>41</v>
      </c>
      <c r="E430" s="44" t="s">
        <v>25</v>
      </c>
      <c r="F430" s="44" t="s">
        <v>25</v>
      </c>
      <c r="G430" s="44" t="s">
        <v>25</v>
      </c>
      <c r="H430" s="44" t="s">
        <v>25</v>
      </c>
      <c r="I430" s="64">
        <v>44501</v>
      </c>
      <c r="J430" s="65">
        <f>EFEITO!$J$430*EFEITO!$Y$241</f>
        <v>0</v>
      </c>
      <c r="K430" s="65">
        <f ca="1">EFEITO!$L$430*EFEITO!$Z$241</f>
        <v>1362542.7772739865</v>
      </c>
      <c r="L430" s="65">
        <f>EFEITO!$N$430*EFEITO!$AA$241</f>
        <v>445160.43105340732</v>
      </c>
      <c r="M430" s="65">
        <f>$J$430-EFEITO!$K$430*EFEITO!$Y$430</f>
        <v>0</v>
      </c>
      <c r="N430" s="65">
        <f ca="1">$K$430-EFEITO!$M$430*EFEITO!$Z$430</f>
        <v>81752.56663643918</v>
      </c>
      <c r="O430" s="65">
        <f>$L$430-EFEITO!$O$430*EFEITO!$AA$430</f>
        <v>26709.625863204419</v>
      </c>
      <c r="P430" s="48"/>
      <c r="Q430" s="48"/>
      <c r="R430" s="48"/>
      <c r="S430" s="48"/>
      <c r="T430" s="48"/>
      <c r="U430" s="48"/>
      <c r="V430" s="48"/>
      <c r="W430" s="48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r="431" spans="1:36" ht="11.25" customHeight="1" x14ac:dyDescent="0.2">
      <c r="A431" s="44" t="s">
        <v>27</v>
      </c>
      <c r="B431" s="44" t="s">
        <v>40</v>
      </c>
      <c r="C431" s="44" t="s">
        <v>23</v>
      </c>
      <c r="D431" s="44" t="s">
        <v>41</v>
      </c>
      <c r="E431" s="44" t="s">
        <v>25</v>
      </c>
      <c r="F431" s="44" t="s">
        <v>25</v>
      </c>
      <c r="G431" s="44" t="s">
        <v>25</v>
      </c>
      <c r="H431" s="44" t="s">
        <v>25</v>
      </c>
      <c r="I431" s="64">
        <v>44501</v>
      </c>
      <c r="J431" s="65">
        <f>EFEITO!$J$431*EFEITO!$Y$241</f>
        <v>0</v>
      </c>
      <c r="K431" s="65">
        <f ca="1">EFEITO!$L$431*EFEITO!$Z$241</f>
        <v>3916.4851629379173</v>
      </c>
      <c r="L431" s="65">
        <f>EFEITO!$N$431*EFEITO!$AA$241</f>
        <v>1279.5665959463183</v>
      </c>
      <c r="M431" s="65">
        <f>$J$431-EFEITO!$K$431*EFEITO!$Y$431</f>
        <v>0</v>
      </c>
      <c r="N431" s="65">
        <f ca="1">$K$431-EFEITO!$M$431*EFEITO!$Z$431</f>
        <v>234.9891097762752</v>
      </c>
      <c r="O431" s="65">
        <f>$L$431-EFEITO!$O$431*EFEITO!$AA$431</f>
        <v>76.773995756779186</v>
      </c>
      <c r="P431" s="48"/>
      <c r="Q431" s="48"/>
      <c r="R431" s="48"/>
      <c r="S431" s="48"/>
      <c r="T431" s="48"/>
      <c r="U431" s="48"/>
      <c r="V431" s="48"/>
      <c r="W431" s="48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r="432" spans="1:36" ht="11.25" customHeight="1" x14ac:dyDescent="0.2">
      <c r="A432" s="44" t="s">
        <v>28</v>
      </c>
      <c r="B432" s="44" t="s">
        <v>40</v>
      </c>
      <c r="C432" s="44" t="s">
        <v>23</v>
      </c>
      <c r="D432" s="44" t="s">
        <v>41</v>
      </c>
      <c r="E432" s="44" t="s">
        <v>25</v>
      </c>
      <c r="F432" s="44" t="s">
        <v>25</v>
      </c>
      <c r="G432" s="44" t="s">
        <v>25</v>
      </c>
      <c r="H432" s="44" t="s">
        <v>25</v>
      </c>
      <c r="I432" s="64">
        <v>44501</v>
      </c>
      <c r="J432" s="65">
        <f>EFEITO!$J$432*EFEITO!$Y$241</f>
        <v>0</v>
      </c>
      <c r="K432" s="65">
        <f ca="1">EFEITO!$L$432*EFEITO!$Z$241</f>
        <v>75948.71970820555</v>
      </c>
      <c r="L432" s="65">
        <f>EFEITO!$N$432*EFEITO!$AA$241</f>
        <v>24813.433652997632</v>
      </c>
      <c r="M432" s="65">
        <f>$J$432-EFEITO!$K$432*EFEITO!$Y$432</f>
        <v>0</v>
      </c>
      <c r="N432" s="65">
        <f ca="1">$K$432-EFEITO!$M$432*EFEITO!$Z$432</f>
        <v>4556.9231824923481</v>
      </c>
      <c r="O432" s="65">
        <f>$L$432-EFEITO!$O$432*EFEITO!$AA$432</f>
        <v>1488.8060191798613</v>
      </c>
      <c r="P432" s="48"/>
      <c r="Q432" s="48"/>
      <c r="R432" s="48"/>
      <c r="S432" s="48"/>
      <c r="T432" s="48"/>
      <c r="U432" s="48"/>
      <c r="V432" s="48"/>
      <c r="W432" s="48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r="433" spans="1:36" ht="11.25" customHeight="1" x14ac:dyDescent="0.2">
      <c r="A433" s="44" t="s">
        <v>21</v>
      </c>
      <c r="B433" s="44" t="s">
        <v>40</v>
      </c>
      <c r="C433" s="44" t="s">
        <v>23</v>
      </c>
      <c r="D433" s="44" t="s">
        <v>41</v>
      </c>
      <c r="E433" s="44" t="s">
        <v>25</v>
      </c>
      <c r="F433" s="44" t="s">
        <v>25</v>
      </c>
      <c r="G433" s="44" t="s">
        <v>25</v>
      </c>
      <c r="H433" s="44" t="s">
        <v>25</v>
      </c>
      <c r="I433" s="64">
        <v>44531</v>
      </c>
      <c r="J433" s="65">
        <f>EFEITO!$J$433*EFEITO!$Y$241</f>
        <v>0</v>
      </c>
      <c r="K433" s="65">
        <f ca="1">EFEITO!$L$433*EFEITO!$Z$241</f>
        <v>1321941.7702383297</v>
      </c>
      <c r="L433" s="65">
        <f>EFEITO!$N$433*EFEITO!$AA$241</f>
        <v>431895.55446042749</v>
      </c>
      <c r="M433" s="65">
        <f>$J$433-EFEITO!$K$433*EFEITO!$Y$433</f>
        <v>0</v>
      </c>
      <c r="N433" s="65">
        <f ca="1">$K$433-EFEITO!$M$433*EFEITO!$Z$433</f>
        <v>79316.506214299938</v>
      </c>
      <c r="O433" s="65">
        <f>$L$433-EFEITO!$O$433*EFEITO!$AA$433</f>
        <v>25913.733267625677</v>
      </c>
      <c r="P433" s="48"/>
      <c r="Q433" s="48"/>
      <c r="R433" s="48"/>
      <c r="S433" s="48"/>
      <c r="T433" s="48"/>
      <c r="U433" s="48"/>
      <c r="V433" s="48"/>
      <c r="W433" s="48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r="434" spans="1:36" ht="11.25" customHeight="1" x14ac:dyDescent="0.2">
      <c r="A434" s="44" t="s">
        <v>27</v>
      </c>
      <c r="B434" s="44" t="s">
        <v>40</v>
      </c>
      <c r="C434" s="44" t="s">
        <v>23</v>
      </c>
      <c r="D434" s="44" t="s">
        <v>41</v>
      </c>
      <c r="E434" s="44" t="s">
        <v>25</v>
      </c>
      <c r="F434" s="44" t="s">
        <v>25</v>
      </c>
      <c r="G434" s="44" t="s">
        <v>25</v>
      </c>
      <c r="H434" s="44" t="s">
        <v>25</v>
      </c>
      <c r="I434" s="64">
        <v>44531</v>
      </c>
      <c r="J434" s="65">
        <f>EFEITO!$J$434*EFEITO!$Y$241</f>
        <v>0</v>
      </c>
      <c r="K434" s="65">
        <f ca="1">EFEITO!$L$434*EFEITO!$Z$241</f>
        <v>-258.13386607773788</v>
      </c>
      <c r="L434" s="65">
        <f>EFEITO!$N$434*EFEITO!$AA$241</f>
        <v>-84.335688397650557</v>
      </c>
      <c r="M434" s="65">
        <f>$J$434-EFEITO!$K$434*EFEITO!$Y$434</f>
        <v>0</v>
      </c>
      <c r="N434" s="65">
        <f ca="1">$K$434-EFEITO!$M$434*EFEITO!$Z$434</f>
        <v>-15.488031964664287</v>
      </c>
      <c r="O434" s="65">
        <f>$L$434-EFEITO!$O$434*EFEITO!$AA$434</f>
        <v>-5.0601413038590266</v>
      </c>
      <c r="P434" s="48"/>
      <c r="Q434" s="48"/>
      <c r="R434" s="48"/>
      <c r="S434" s="48"/>
      <c r="T434" s="48"/>
      <c r="U434" s="48"/>
      <c r="V434" s="48"/>
      <c r="W434" s="48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 spans="1:36" ht="11.25" customHeight="1" x14ac:dyDescent="0.2">
      <c r="A435" s="44" t="s">
        <v>28</v>
      </c>
      <c r="B435" s="44" t="s">
        <v>40</v>
      </c>
      <c r="C435" s="44" t="s">
        <v>23</v>
      </c>
      <c r="D435" s="44" t="s">
        <v>41</v>
      </c>
      <c r="E435" s="44" t="s">
        <v>25</v>
      </c>
      <c r="F435" s="44" t="s">
        <v>25</v>
      </c>
      <c r="G435" s="44" t="s">
        <v>25</v>
      </c>
      <c r="H435" s="44" t="s">
        <v>25</v>
      </c>
      <c r="I435" s="64">
        <v>44531</v>
      </c>
      <c r="J435" s="65">
        <f>EFEITO!$J$435*EFEITO!$Y$241</f>
        <v>0</v>
      </c>
      <c r="K435" s="65">
        <f ca="1">EFEITO!$L$435*EFEITO!$Z$241</f>
        <v>75272.832967074472</v>
      </c>
      <c r="L435" s="65">
        <f>EFEITO!$N$435*EFEITO!$AA$241</f>
        <v>24592.612671782528</v>
      </c>
      <c r="M435" s="65">
        <f>$J$435-EFEITO!$K$435*EFEITO!$Y$435</f>
        <v>0</v>
      </c>
      <c r="N435" s="65">
        <f ca="1">$K$435-EFEITO!$M$435*EFEITO!$Z$435</f>
        <v>4516.3699780244788</v>
      </c>
      <c r="O435" s="65">
        <f>$L$435-EFEITO!$O$435*EFEITO!$AA$435</f>
        <v>1475.5567603069503</v>
      </c>
      <c r="P435" s="48"/>
      <c r="Q435" s="48"/>
      <c r="R435" s="48"/>
      <c r="S435" s="48"/>
      <c r="T435" s="48"/>
      <c r="U435" s="48"/>
      <c r="V435" s="48"/>
      <c r="W435" s="48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 spans="1:36" ht="11.25" customHeight="1" x14ac:dyDescent="0.2">
      <c r="A436" s="44" t="s">
        <v>28</v>
      </c>
      <c r="B436" s="44" t="s">
        <v>40</v>
      </c>
      <c r="C436" s="44" t="s">
        <v>23</v>
      </c>
      <c r="D436" s="44" t="s">
        <v>41</v>
      </c>
      <c r="E436" s="44" t="s">
        <v>25</v>
      </c>
      <c r="F436" s="44" t="s">
        <v>25</v>
      </c>
      <c r="G436" s="44" t="s">
        <v>25</v>
      </c>
      <c r="H436" s="44" t="s">
        <v>25</v>
      </c>
      <c r="I436" s="64">
        <v>44531</v>
      </c>
      <c r="J436" s="65">
        <f>EFEITO!$J$436*EFEITO!$Y$241</f>
        <v>0</v>
      </c>
      <c r="K436" s="65">
        <f ca="1">EFEITO!$L$436*EFEITO!$Z$241</f>
        <v>-4070.7004033804942</v>
      </c>
      <c r="L436" s="65">
        <f>EFEITO!$N$436*EFEITO!$AA$241</f>
        <v>-1329.9507189664926</v>
      </c>
      <c r="M436" s="65">
        <f>$J$436-EFEITO!$K$436*EFEITO!$Y$436</f>
        <v>0</v>
      </c>
      <c r="N436" s="65">
        <f ca="1">$K$436-EFEITO!$M$436*EFEITO!$Z$436</f>
        <v>-244.24202420282973</v>
      </c>
      <c r="O436" s="65">
        <f>$L$436-EFEITO!$O$436*EFEITO!$AA$436</f>
        <v>-79.797043137989476</v>
      </c>
      <c r="P436" s="48"/>
      <c r="Q436" s="48"/>
      <c r="R436" s="48"/>
      <c r="S436" s="48"/>
      <c r="T436" s="48"/>
      <c r="U436" s="48"/>
      <c r="V436" s="48"/>
      <c r="W436" s="48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 spans="1:36" ht="11.25" customHeight="1" x14ac:dyDescent="0.2">
      <c r="A437" s="44" t="s">
        <v>21</v>
      </c>
      <c r="B437" s="44" t="s">
        <v>40</v>
      </c>
      <c r="C437" s="44" t="s">
        <v>23</v>
      </c>
      <c r="D437" s="44" t="s">
        <v>41</v>
      </c>
      <c r="E437" s="44" t="s">
        <v>25</v>
      </c>
      <c r="F437" s="44" t="s">
        <v>25</v>
      </c>
      <c r="G437" s="44" t="s">
        <v>25</v>
      </c>
      <c r="H437" s="44" t="s">
        <v>25</v>
      </c>
      <c r="I437" s="64">
        <v>44562</v>
      </c>
      <c r="J437" s="65">
        <f>EFEITO!$J$437*EFEITO!$Y$241</f>
        <v>0</v>
      </c>
      <c r="K437" s="65">
        <f ca="1">EFEITO!$L$437*EFEITO!$Z$241</f>
        <v>1548978.1954319968</v>
      </c>
      <c r="L437" s="65">
        <f>EFEITO!$N$437*EFEITO!$AA$241</f>
        <v>506071.30482199905</v>
      </c>
      <c r="M437" s="65">
        <f>$J$437-EFEITO!$K$437*EFEITO!$Y$437</f>
        <v>0</v>
      </c>
      <c r="N437" s="65">
        <f ca="1">$K$437-EFEITO!$M$437*EFEITO!$Z$437</f>
        <v>92938.691725919954</v>
      </c>
      <c r="O437" s="65">
        <f>$L$437-EFEITO!$O$437*EFEITO!$AA$437</f>
        <v>30364.278289320006</v>
      </c>
      <c r="P437" s="48"/>
      <c r="Q437" s="48"/>
      <c r="R437" s="48"/>
      <c r="S437" s="48"/>
      <c r="T437" s="48"/>
      <c r="U437" s="48"/>
      <c r="V437" s="48"/>
      <c r="W437" s="48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r="438" spans="1:36" ht="11.25" customHeight="1" x14ac:dyDescent="0.2">
      <c r="A438" s="44" t="s">
        <v>27</v>
      </c>
      <c r="B438" s="44" t="s">
        <v>40</v>
      </c>
      <c r="C438" s="44" t="s">
        <v>23</v>
      </c>
      <c r="D438" s="44" t="s">
        <v>41</v>
      </c>
      <c r="E438" s="44" t="s">
        <v>25</v>
      </c>
      <c r="F438" s="44" t="s">
        <v>25</v>
      </c>
      <c r="G438" s="44" t="s">
        <v>25</v>
      </c>
      <c r="H438" s="44" t="s">
        <v>25</v>
      </c>
      <c r="I438" s="64">
        <v>44562</v>
      </c>
      <c r="J438" s="65">
        <f>EFEITO!$J$438*EFEITO!$Y$241</f>
        <v>0</v>
      </c>
      <c r="K438" s="65">
        <f ca="1">EFEITO!$L$438*EFEITO!$Z$241</f>
        <v>-667.98892558280966</v>
      </c>
      <c r="L438" s="65">
        <f>EFEITO!$N$438*EFEITO!$AA$241</f>
        <v>-218.24066224641618</v>
      </c>
      <c r="M438" s="65">
        <f>$J$438-EFEITO!$K$438*EFEITO!$Y$438</f>
        <v>0</v>
      </c>
      <c r="N438" s="65">
        <f ca="1">$K$438-EFEITO!$M$438*EFEITO!$Z$438</f>
        <v>-40.079335534968664</v>
      </c>
      <c r="O438" s="65">
        <f>$L$438-EFEITO!$O$438*EFEITO!$AA$438</f>
        <v>-13.09443973478497</v>
      </c>
      <c r="P438" s="48"/>
      <c r="Q438" s="48"/>
      <c r="R438" s="48"/>
      <c r="S438" s="48"/>
      <c r="T438" s="48"/>
      <c r="U438" s="48"/>
      <c r="V438" s="48"/>
      <c r="W438" s="48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 spans="1:36" ht="11.25" customHeight="1" x14ac:dyDescent="0.2">
      <c r="A439" s="44" t="s">
        <v>28</v>
      </c>
      <c r="B439" s="44" t="s">
        <v>40</v>
      </c>
      <c r="C439" s="44" t="s">
        <v>23</v>
      </c>
      <c r="D439" s="44" t="s">
        <v>41</v>
      </c>
      <c r="E439" s="44" t="s">
        <v>25</v>
      </c>
      <c r="F439" s="44" t="s">
        <v>25</v>
      </c>
      <c r="G439" s="44" t="s">
        <v>25</v>
      </c>
      <c r="H439" s="44" t="s">
        <v>25</v>
      </c>
      <c r="I439" s="64">
        <v>44562</v>
      </c>
      <c r="J439" s="65">
        <f>EFEITO!$J$439*EFEITO!$Y$241</f>
        <v>0</v>
      </c>
      <c r="K439" s="65">
        <f ca="1">EFEITO!$L$439*EFEITO!$Z$241</f>
        <v>150526.12923252952</v>
      </c>
      <c r="L439" s="65">
        <f>EFEITO!$N$439*EFEITO!$AA$241</f>
        <v>49178.842449274089</v>
      </c>
      <c r="M439" s="65">
        <f>$J$439-EFEITO!$K$439*EFEITO!$Y$439</f>
        <v>0</v>
      </c>
      <c r="N439" s="65">
        <f ca="1">$K$439-EFEITO!$M$439*EFEITO!$Z$439</f>
        <v>9031.5677539517928</v>
      </c>
      <c r="O439" s="65">
        <f>$L$439-EFEITO!$O$439*EFEITO!$AA$439</f>
        <v>2950.7305469564453</v>
      </c>
      <c r="P439" s="48"/>
      <c r="Q439" s="48"/>
      <c r="R439" s="48"/>
      <c r="S439" s="48"/>
      <c r="T439" s="48"/>
      <c r="U439" s="48"/>
      <c r="V439" s="48"/>
      <c r="W439" s="48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r="440" spans="1:36" ht="11.25" customHeight="1" x14ac:dyDescent="0.2">
      <c r="A440" s="44" t="s">
        <v>21</v>
      </c>
      <c r="B440" s="44" t="s">
        <v>40</v>
      </c>
      <c r="C440" s="44" t="s">
        <v>23</v>
      </c>
      <c r="D440" s="44" t="s">
        <v>41</v>
      </c>
      <c r="E440" s="44" t="s">
        <v>25</v>
      </c>
      <c r="F440" s="44" t="s">
        <v>25</v>
      </c>
      <c r="G440" s="44" t="s">
        <v>25</v>
      </c>
      <c r="H440" s="44" t="s">
        <v>25</v>
      </c>
      <c r="I440" s="64">
        <v>44593</v>
      </c>
      <c r="J440" s="65">
        <f>EFEITO!$J$440*EFEITO!$Y$241</f>
        <v>0</v>
      </c>
      <c r="K440" s="65">
        <f ca="1">EFEITO!$L$440*EFEITO!$Z$241</f>
        <v>1529770.2923440966</v>
      </c>
      <c r="L440" s="65">
        <f>EFEITO!$N$440*EFEITO!$AA$241</f>
        <v>499795.83328388789</v>
      </c>
      <c r="M440" s="65">
        <f>$J$440-EFEITO!$K$440*EFEITO!$Y$440</f>
        <v>0</v>
      </c>
      <c r="N440" s="65">
        <f ca="1">$K$440-EFEITO!$M$440*EFEITO!$Z$440</f>
        <v>91786.217540645972</v>
      </c>
      <c r="O440" s="65">
        <f>$L$440-EFEITO!$O$440*EFEITO!$AA$440</f>
        <v>29987.74999703333</v>
      </c>
      <c r="P440" s="48"/>
      <c r="Q440" s="48"/>
      <c r="R440" s="48"/>
      <c r="S440" s="48"/>
      <c r="T440" s="48"/>
      <c r="U440" s="48"/>
      <c r="V440" s="48"/>
      <c r="W440" s="48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r="441" spans="1:36" ht="11.25" customHeight="1" x14ac:dyDescent="0.2">
      <c r="A441" s="44" t="s">
        <v>27</v>
      </c>
      <c r="B441" s="44" t="s">
        <v>40</v>
      </c>
      <c r="C441" s="44" t="s">
        <v>23</v>
      </c>
      <c r="D441" s="44" t="s">
        <v>41</v>
      </c>
      <c r="E441" s="44" t="s">
        <v>25</v>
      </c>
      <c r="F441" s="44" t="s">
        <v>25</v>
      </c>
      <c r="G441" s="44" t="s">
        <v>25</v>
      </c>
      <c r="H441" s="44" t="s">
        <v>25</v>
      </c>
      <c r="I441" s="64">
        <v>44593</v>
      </c>
      <c r="J441" s="65">
        <f>EFEITO!$J$441*EFEITO!$Y$241</f>
        <v>0</v>
      </c>
      <c r="K441" s="65">
        <f ca="1">EFEITO!$L$441*EFEITO!$Z$241</f>
        <v>315.08127292580565</v>
      </c>
      <c r="L441" s="65">
        <f>EFEITO!$N$441*EFEITO!$AA$241</f>
        <v>102.94114622450745</v>
      </c>
      <c r="M441" s="65">
        <f>$J$441-EFEITO!$K$441*EFEITO!$Y$441</f>
        <v>0</v>
      </c>
      <c r="N441" s="65">
        <f ca="1">$K$441-EFEITO!$M$441*EFEITO!$Z$441</f>
        <v>18.904876375548326</v>
      </c>
      <c r="O441" s="65">
        <f>$L$441-EFEITO!$O$441*EFEITO!$AA$441</f>
        <v>6.1764687734704466</v>
      </c>
      <c r="P441" s="48"/>
      <c r="Q441" s="48"/>
      <c r="R441" s="48"/>
      <c r="S441" s="48"/>
      <c r="T441" s="48"/>
      <c r="U441" s="48"/>
      <c r="V441" s="48"/>
      <c r="W441" s="48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r="442" spans="1:36" ht="11.25" customHeight="1" x14ac:dyDescent="0.2">
      <c r="A442" s="44" t="s">
        <v>28</v>
      </c>
      <c r="B442" s="44" t="s">
        <v>40</v>
      </c>
      <c r="C442" s="44" t="s">
        <v>23</v>
      </c>
      <c r="D442" s="44" t="s">
        <v>41</v>
      </c>
      <c r="E442" s="44" t="s">
        <v>25</v>
      </c>
      <c r="F442" s="44" t="s">
        <v>25</v>
      </c>
      <c r="G442" s="44" t="s">
        <v>25</v>
      </c>
      <c r="H442" s="44" t="s">
        <v>25</v>
      </c>
      <c r="I442" s="64">
        <v>44593</v>
      </c>
      <c r="J442" s="65">
        <f>EFEITO!$J$442*EFEITO!$Y$241</f>
        <v>0</v>
      </c>
      <c r="K442" s="65">
        <f ca="1">EFEITO!$L$442*EFEITO!$Z$241</f>
        <v>129630.17198981153</v>
      </c>
      <c r="L442" s="65">
        <f>EFEITO!$N$442*EFEITO!$AA$241</f>
        <v>42351.861683171206</v>
      </c>
      <c r="M442" s="65">
        <f>$J$442-EFEITO!$K$442*EFEITO!$Y$442</f>
        <v>0</v>
      </c>
      <c r="N442" s="65">
        <f ca="1">$K$442-EFEITO!$M$442*EFEITO!$Z$442</f>
        <v>7777.8103193887073</v>
      </c>
      <c r="O442" s="65">
        <f>$L$442-EFEITO!$O$442*EFEITO!$AA$442</f>
        <v>2541.1117009902737</v>
      </c>
      <c r="P442" s="48"/>
      <c r="Q442" s="48"/>
      <c r="R442" s="48"/>
      <c r="S442" s="48"/>
      <c r="T442" s="48"/>
      <c r="U442" s="48"/>
      <c r="V442" s="48"/>
      <c r="W442" s="48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r="443" spans="1:36" ht="11.25" customHeight="1" x14ac:dyDescent="0.2">
      <c r="A443" s="44" t="s">
        <v>28</v>
      </c>
      <c r="B443" s="44" t="s">
        <v>40</v>
      </c>
      <c r="C443" s="44" t="s">
        <v>23</v>
      </c>
      <c r="D443" s="44" t="s">
        <v>41</v>
      </c>
      <c r="E443" s="44" t="s">
        <v>25</v>
      </c>
      <c r="F443" s="44" t="s">
        <v>25</v>
      </c>
      <c r="G443" s="44" t="s">
        <v>25</v>
      </c>
      <c r="H443" s="44" t="s">
        <v>25</v>
      </c>
      <c r="I443" s="64">
        <v>44593</v>
      </c>
      <c r="J443" s="65">
        <f>EFEITO!$J$443*EFEITO!$Y$241</f>
        <v>0</v>
      </c>
      <c r="K443" s="65">
        <f ca="1">EFEITO!$L$443*EFEITO!$Z$241</f>
        <v>-2920.5290548505418</v>
      </c>
      <c r="L443" s="65">
        <f>EFEITO!$N$443*EFEITO!$AA$241</f>
        <v>-954.17479336858753</v>
      </c>
      <c r="M443" s="65">
        <f>$J$443-EFEITO!$K$443*EFEITO!$Y$443</f>
        <v>0</v>
      </c>
      <c r="N443" s="65">
        <f ca="1">$K$443-EFEITO!$M$443*EFEITO!$Z$443</f>
        <v>-175.23174329103267</v>
      </c>
      <c r="O443" s="65">
        <f>$L$443-EFEITO!$O$443*EFEITO!$AA$443</f>
        <v>-57.2504876021153</v>
      </c>
      <c r="P443" s="48"/>
      <c r="Q443" s="48"/>
      <c r="R443" s="48"/>
      <c r="S443" s="48"/>
      <c r="T443" s="48"/>
      <c r="U443" s="48"/>
      <c r="V443" s="48"/>
      <c r="W443" s="48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r="444" spans="1:36" ht="11.25" customHeight="1" x14ac:dyDescent="0.2">
      <c r="A444" s="44" t="s">
        <v>21</v>
      </c>
      <c r="B444" s="44" t="s">
        <v>40</v>
      </c>
      <c r="C444" s="44" t="s">
        <v>23</v>
      </c>
      <c r="D444" s="44" t="s">
        <v>41</v>
      </c>
      <c r="E444" s="44" t="s">
        <v>25</v>
      </c>
      <c r="F444" s="44" t="s">
        <v>25</v>
      </c>
      <c r="G444" s="44" t="s">
        <v>25</v>
      </c>
      <c r="H444" s="44" t="s">
        <v>25</v>
      </c>
      <c r="I444" s="64">
        <v>44621</v>
      </c>
      <c r="J444" s="65">
        <f>EFEITO!$J$444*EFEITO!$Y$241</f>
        <v>0</v>
      </c>
      <c r="K444" s="65">
        <f ca="1">EFEITO!$L$444*EFEITO!$Z$241</f>
        <v>1332163.6219303063</v>
      </c>
      <c r="L444" s="65">
        <f>EFEITO!$N$444*EFEITO!$AA$241</f>
        <v>435235.16623721749</v>
      </c>
      <c r="M444" s="65">
        <f>$J$444-EFEITO!$K$444*EFEITO!$Y$444</f>
        <v>0</v>
      </c>
      <c r="N444" s="65">
        <f ca="1">$K$444-EFEITO!$M$444*EFEITO!$Z$444</f>
        <v>79929.817315818276</v>
      </c>
      <c r="O444" s="65">
        <f>$L$444-EFEITO!$O$444*EFEITO!$AA$444</f>
        <v>26114.109974233026</v>
      </c>
      <c r="P444" s="48"/>
      <c r="Q444" s="48"/>
      <c r="R444" s="48"/>
      <c r="S444" s="48"/>
      <c r="T444" s="48"/>
      <c r="U444" s="48"/>
      <c r="V444" s="48"/>
      <c r="W444" s="48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r="445" spans="1:36" ht="11.25" customHeight="1" x14ac:dyDescent="0.2">
      <c r="A445" s="44" t="s">
        <v>27</v>
      </c>
      <c r="B445" s="44" t="s">
        <v>40</v>
      </c>
      <c r="C445" s="44" t="s">
        <v>23</v>
      </c>
      <c r="D445" s="44" t="s">
        <v>41</v>
      </c>
      <c r="E445" s="44" t="s">
        <v>25</v>
      </c>
      <c r="F445" s="44" t="s">
        <v>25</v>
      </c>
      <c r="G445" s="44" t="s">
        <v>25</v>
      </c>
      <c r="H445" s="44" t="s">
        <v>25</v>
      </c>
      <c r="I445" s="64">
        <v>44621</v>
      </c>
      <c r="J445" s="65">
        <f>EFEITO!$J$445*EFEITO!$Y$241</f>
        <v>0</v>
      </c>
      <c r="K445" s="65">
        <f ca="1">EFEITO!$L$445*EFEITO!$Z$241</f>
        <v>-3188.2234344867143</v>
      </c>
      <c r="L445" s="65">
        <f>EFEITO!$N$445*EFEITO!$AA$241</f>
        <v>-1041.6340257809659</v>
      </c>
      <c r="M445" s="65">
        <f>$J$445-EFEITO!$K$445*EFEITO!$Y$445</f>
        <v>0</v>
      </c>
      <c r="N445" s="65">
        <f ca="1">$K$445-EFEITO!$M$445*EFEITO!$Z$445</f>
        <v>-191.29340606920323</v>
      </c>
      <c r="O445" s="65">
        <f>$L$445-EFEITO!$O$445*EFEITO!$AA$445</f>
        <v>-62.498041546857962</v>
      </c>
      <c r="P445" s="48"/>
      <c r="Q445" s="48"/>
      <c r="R445" s="48"/>
      <c r="S445" s="48"/>
      <c r="T445" s="48"/>
      <c r="U445" s="48"/>
      <c r="V445" s="48"/>
      <c r="W445" s="48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r="446" spans="1:36" ht="11.25" customHeight="1" x14ac:dyDescent="0.2">
      <c r="A446" s="44" t="s">
        <v>28</v>
      </c>
      <c r="B446" s="44" t="s">
        <v>40</v>
      </c>
      <c r="C446" s="44" t="s">
        <v>23</v>
      </c>
      <c r="D446" s="44" t="s">
        <v>41</v>
      </c>
      <c r="E446" s="44" t="s">
        <v>25</v>
      </c>
      <c r="F446" s="44" t="s">
        <v>25</v>
      </c>
      <c r="G446" s="44" t="s">
        <v>25</v>
      </c>
      <c r="H446" s="44" t="s">
        <v>25</v>
      </c>
      <c r="I446" s="64">
        <v>44621</v>
      </c>
      <c r="J446" s="65">
        <f>EFEITO!$J$446*EFEITO!$Y$241</f>
        <v>0</v>
      </c>
      <c r="K446" s="65">
        <f ca="1">EFEITO!$L$446*EFEITO!$Z$241</f>
        <v>131632.47606854979</v>
      </c>
      <c r="L446" s="65">
        <f>EFEITO!$N$446*EFEITO!$AA$241</f>
        <v>43006.040444864411</v>
      </c>
      <c r="M446" s="65">
        <f>$J$446-EFEITO!$K$446*EFEITO!$Y$446</f>
        <v>0</v>
      </c>
      <c r="N446" s="65">
        <f ca="1">$K$446-EFEITO!$M$446*EFEITO!$Z$446</f>
        <v>7897.9485641130013</v>
      </c>
      <c r="O446" s="65">
        <f>$L$446-EFEITO!$O$446*EFEITO!$AA$446</f>
        <v>2580.3624266918632</v>
      </c>
      <c r="P446" s="48"/>
      <c r="Q446" s="48"/>
      <c r="R446" s="48"/>
      <c r="S446" s="48"/>
      <c r="T446" s="48"/>
      <c r="U446" s="48"/>
      <c r="V446" s="48"/>
      <c r="W446" s="48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r="447" spans="1:36" ht="11.25" customHeight="1" x14ac:dyDescent="0.2">
      <c r="A447" s="44" t="s">
        <v>21</v>
      </c>
      <c r="B447" s="44" t="s">
        <v>40</v>
      </c>
      <c r="C447" s="44" t="s">
        <v>23</v>
      </c>
      <c r="D447" s="44" t="s">
        <v>41</v>
      </c>
      <c r="E447" s="44" t="s">
        <v>25</v>
      </c>
      <c r="F447" s="44" t="s">
        <v>25</v>
      </c>
      <c r="G447" s="44" t="s">
        <v>25</v>
      </c>
      <c r="H447" s="44" t="s">
        <v>25</v>
      </c>
      <c r="I447" s="64">
        <v>44652</v>
      </c>
      <c r="J447" s="65">
        <f>EFEITO!$J$447*EFEITO!$Y$241</f>
        <v>0</v>
      </c>
      <c r="K447" s="65">
        <f ca="1">EFEITO!$L$447*EFEITO!$Z$241</f>
        <v>1181812.907337849</v>
      </c>
      <c r="L447" s="65">
        <f>EFEITO!$N$447*EFEITO!$AA$241</f>
        <v>386113.6340303006</v>
      </c>
      <c r="M447" s="65">
        <f>$J$447-EFEITO!$K$447*EFEITO!$Y$447</f>
        <v>0</v>
      </c>
      <c r="N447" s="65">
        <f ca="1">$K$447-EFEITO!$M$447*EFEITO!$Z$447</f>
        <v>70908.774440271081</v>
      </c>
      <c r="O447" s="65">
        <f>$L$447-EFEITO!$O$447*EFEITO!$AA$447</f>
        <v>23166.818041818042</v>
      </c>
      <c r="P447" s="48"/>
      <c r="Q447" s="48"/>
      <c r="R447" s="48"/>
      <c r="S447" s="48"/>
      <c r="T447" s="48"/>
      <c r="U447" s="48"/>
      <c r="V447" s="48"/>
      <c r="W447" s="48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 spans="1:36" ht="11.25" customHeight="1" x14ac:dyDescent="0.2">
      <c r="A448" s="44" t="s">
        <v>27</v>
      </c>
      <c r="B448" s="44" t="s">
        <v>40</v>
      </c>
      <c r="C448" s="44" t="s">
        <v>23</v>
      </c>
      <c r="D448" s="44" t="s">
        <v>41</v>
      </c>
      <c r="E448" s="44" t="s">
        <v>25</v>
      </c>
      <c r="F448" s="44" t="s">
        <v>25</v>
      </c>
      <c r="G448" s="44" t="s">
        <v>25</v>
      </c>
      <c r="H448" s="44" t="s">
        <v>25</v>
      </c>
      <c r="I448" s="64">
        <v>44652</v>
      </c>
      <c r="J448" s="65">
        <f>EFEITO!$J$448*EFEITO!$Y$241</f>
        <v>0</v>
      </c>
      <c r="K448" s="65">
        <f ca="1">EFEITO!$L$448*EFEITO!$Z$241</f>
        <v>-266.44735612855072</v>
      </c>
      <c r="L448" s="65">
        <f>EFEITO!$N$448*EFEITO!$AA$241</f>
        <v>-87.051813627848645</v>
      </c>
      <c r="M448" s="65">
        <f>$J$448-EFEITO!$K$448*EFEITO!$Y$448</f>
        <v>0</v>
      </c>
      <c r="N448" s="65">
        <f ca="1">$K$448-EFEITO!$M$448*EFEITO!$Z$448</f>
        <v>-15.986841367713083</v>
      </c>
      <c r="O448" s="65">
        <f>$L$448-EFEITO!$O$448*EFEITO!$AA$448</f>
        <v>-5.2231088176709193</v>
      </c>
      <c r="P448" s="48"/>
      <c r="Q448" s="48"/>
      <c r="R448" s="48"/>
      <c r="S448" s="48"/>
      <c r="T448" s="48"/>
      <c r="U448" s="48"/>
      <c r="V448" s="48"/>
      <c r="W448" s="48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r="449" spans="1:36" ht="11.25" customHeight="1" x14ac:dyDescent="0.2">
      <c r="A449" s="44" t="s">
        <v>28</v>
      </c>
      <c r="B449" s="44" t="s">
        <v>40</v>
      </c>
      <c r="C449" s="44" t="s">
        <v>23</v>
      </c>
      <c r="D449" s="44" t="s">
        <v>41</v>
      </c>
      <c r="E449" s="44" t="s">
        <v>25</v>
      </c>
      <c r="F449" s="44" t="s">
        <v>25</v>
      </c>
      <c r="G449" s="44" t="s">
        <v>25</v>
      </c>
      <c r="H449" s="44" t="s">
        <v>25</v>
      </c>
      <c r="I449" s="64">
        <v>44652</v>
      </c>
      <c r="J449" s="65">
        <f>EFEITO!$J$449*EFEITO!$Y$241</f>
        <v>0</v>
      </c>
      <c r="K449" s="65">
        <f ca="1">EFEITO!$L$449*EFEITO!$Z$241</f>
        <v>121360.74343626801</v>
      </c>
      <c r="L449" s="65">
        <f>EFEITO!$N$449*EFEITO!$AA$241</f>
        <v>39650.131916693164</v>
      </c>
      <c r="M449" s="65">
        <f>$J$449-EFEITO!$K$449*EFEITO!$Y$449</f>
        <v>0</v>
      </c>
      <c r="N449" s="65">
        <f ca="1">$K$449-EFEITO!$M$449*EFEITO!$Z$449</f>
        <v>7281.6446061760798</v>
      </c>
      <c r="O449" s="65">
        <f>$L$449-EFEITO!$O$449*EFEITO!$AA$449</f>
        <v>2379.0079150015881</v>
      </c>
      <c r="P449" s="48"/>
      <c r="Q449" s="48"/>
      <c r="R449" s="48"/>
      <c r="S449" s="48"/>
      <c r="T449" s="48"/>
      <c r="U449" s="48"/>
      <c r="V449" s="48"/>
      <c r="W449" s="48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r="450" spans="1:36" ht="11.25" customHeight="1" x14ac:dyDescent="0.2">
      <c r="A450" s="44" t="s">
        <v>28</v>
      </c>
      <c r="B450" s="44" t="s">
        <v>40</v>
      </c>
      <c r="C450" s="44" t="s">
        <v>23</v>
      </c>
      <c r="D450" s="44" t="s">
        <v>41</v>
      </c>
      <c r="E450" s="44" t="s">
        <v>25</v>
      </c>
      <c r="F450" s="44" t="s">
        <v>25</v>
      </c>
      <c r="G450" s="44" t="s">
        <v>25</v>
      </c>
      <c r="H450" s="44" t="s">
        <v>25</v>
      </c>
      <c r="I450" s="64">
        <v>44652</v>
      </c>
      <c r="J450" s="65">
        <f>EFEITO!$J$450*EFEITO!$Y$241</f>
        <v>0</v>
      </c>
      <c r="K450" s="65">
        <f ca="1">EFEITO!$L$450*EFEITO!$Z$241</f>
        <v>-1745.832910670691</v>
      </c>
      <c r="L450" s="65">
        <f>EFEITO!$N$450*EFEITO!$AA$241</f>
        <v>-570.38629834159804</v>
      </c>
      <c r="M450" s="65">
        <f>$J$450-EFEITO!$K$450*EFEITO!$Y$450</f>
        <v>0</v>
      </c>
      <c r="N450" s="65">
        <f ca="1">$K$450-EFEITO!$M$450*EFEITO!$Z$450</f>
        <v>-104.74997464024159</v>
      </c>
      <c r="O450" s="65">
        <f>$L$450-EFEITO!$O$450*EFEITO!$AA$450</f>
        <v>-34.223177900495898</v>
      </c>
      <c r="P450" s="48"/>
      <c r="Q450" s="48"/>
      <c r="R450" s="48"/>
      <c r="S450" s="48"/>
      <c r="T450" s="48"/>
      <c r="U450" s="48"/>
      <c r="V450" s="48"/>
      <c r="W450" s="48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r="451" spans="1:36" ht="11.25" customHeight="1" x14ac:dyDescent="0.2">
      <c r="A451" s="44" t="s">
        <v>21</v>
      </c>
      <c r="B451" s="44" t="s">
        <v>40</v>
      </c>
      <c r="C451" s="44" t="s">
        <v>23</v>
      </c>
      <c r="D451" s="44" t="s">
        <v>41</v>
      </c>
      <c r="E451" s="44" t="s">
        <v>25</v>
      </c>
      <c r="F451" s="44" t="s">
        <v>25</v>
      </c>
      <c r="G451" s="44" t="s">
        <v>25</v>
      </c>
      <c r="H451" s="44" t="s">
        <v>25</v>
      </c>
      <c r="I451" s="64">
        <v>44682</v>
      </c>
      <c r="J451" s="65">
        <f>EFEITO!$J$451*EFEITO!$Y$241</f>
        <v>0</v>
      </c>
      <c r="K451" s="65">
        <f ca="1">EFEITO!$L$451*EFEITO!$Z$241</f>
        <v>1052171.9278109714</v>
      </c>
      <c r="L451" s="65">
        <f>EFEITO!$N$451*EFEITO!$AA$241</f>
        <v>343758.24138433009</v>
      </c>
      <c r="M451" s="65">
        <f>$J$451-EFEITO!$K$451*EFEITO!$Y$451</f>
        <v>0</v>
      </c>
      <c r="N451" s="65">
        <f ca="1">$K$451-EFEITO!$M$451*EFEITO!$Z$451</f>
        <v>63130.315668658353</v>
      </c>
      <c r="O451" s="65">
        <f>$L$451-EFEITO!$O$451*EFEITO!$AA$451</f>
        <v>20625.494483059796</v>
      </c>
      <c r="P451" s="48"/>
      <c r="Q451" s="48"/>
      <c r="R451" s="48"/>
      <c r="S451" s="48"/>
      <c r="T451" s="48"/>
      <c r="U451" s="48"/>
      <c r="V451" s="48"/>
      <c r="W451" s="48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r="452" spans="1:36" ht="11.25" customHeight="1" x14ac:dyDescent="0.2">
      <c r="A452" s="44" t="s">
        <v>27</v>
      </c>
      <c r="B452" s="44" t="s">
        <v>40</v>
      </c>
      <c r="C452" s="44" t="s">
        <v>23</v>
      </c>
      <c r="D452" s="44" t="s">
        <v>41</v>
      </c>
      <c r="E452" s="44" t="s">
        <v>25</v>
      </c>
      <c r="F452" s="44" t="s">
        <v>25</v>
      </c>
      <c r="G452" s="44" t="s">
        <v>25</v>
      </c>
      <c r="H452" s="44" t="s">
        <v>25</v>
      </c>
      <c r="I452" s="64">
        <v>44682</v>
      </c>
      <c r="J452" s="65">
        <f>EFEITO!$J$452*EFEITO!$Y$241</f>
        <v>0</v>
      </c>
      <c r="K452" s="65">
        <f ca="1">EFEITO!$L$452*EFEITO!$Z$241</f>
        <v>-1893.8130335751591</v>
      </c>
      <c r="L452" s="65">
        <f>EFEITO!$N$452*EFEITO!$AA$241</f>
        <v>-618.73332743912397</v>
      </c>
      <c r="M452" s="65">
        <f>$J$452-EFEITO!$K$452*EFEITO!$Y$452</f>
        <v>0</v>
      </c>
      <c r="N452" s="65">
        <f ca="1">$K$452-EFEITO!$M$452*EFEITO!$Z$452</f>
        <v>-113.62878201450962</v>
      </c>
      <c r="O452" s="65">
        <f>$L$452-EFEITO!$O$452*EFEITO!$AA$452</f>
        <v>-37.123999646347443</v>
      </c>
      <c r="P452" s="48"/>
      <c r="Q452" s="48"/>
      <c r="R452" s="48"/>
      <c r="S452" s="48"/>
      <c r="T452" s="48"/>
      <c r="U452" s="48"/>
      <c r="V452" s="48"/>
      <c r="W452" s="48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r="453" spans="1:36" ht="11.25" customHeight="1" x14ac:dyDescent="0.2">
      <c r="A453" s="44" t="s">
        <v>28</v>
      </c>
      <c r="B453" s="44" t="s">
        <v>40</v>
      </c>
      <c r="C453" s="44" t="s">
        <v>23</v>
      </c>
      <c r="D453" s="44" t="s">
        <v>41</v>
      </c>
      <c r="E453" s="44" t="s">
        <v>25</v>
      </c>
      <c r="F453" s="44" t="s">
        <v>25</v>
      </c>
      <c r="G453" s="44" t="s">
        <v>25</v>
      </c>
      <c r="H453" s="44" t="s">
        <v>25</v>
      </c>
      <c r="I453" s="64">
        <v>44682</v>
      </c>
      <c r="J453" s="65">
        <f>EFEITO!$J$453*EFEITO!$Y$241</f>
        <v>0</v>
      </c>
      <c r="K453" s="65">
        <f ca="1">EFEITO!$L$453*EFEITO!$Z$241</f>
        <v>114443.08836498667</v>
      </c>
      <c r="L453" s="65">
        <f>EFEITO!$N$453*EFEITO!$AA$241</f>
        <v>37390.044112645344</v>
      </c>
      <c r="M453" s="65">
        <f>$J$453-EFEITO!$K$453*EFEITO!$Y$453</f>
        <v>0</v>
      </c>
      <c r="N453" s="65">
        <f ca="1">$K$453-EFEITO!$M$453*EFEITO!$Z$453</f>
        <v>6866.5853018992057</v>
      </c>
      <c r="O453" s="65">
        <f>$L$453-EFEITO!$O$453*EFEITO!$AA$453</f>
        <v>2243.4026467587246</v>
      </c>
      <c r="P453" s="48"/>
      <c r="Q453" s="48"/>
      <c r="R453" s="48"/>
      <c r="S453" s="48"/>
      <c r="T453" s="48"/>
      <c r="U453" s="48"/>
      <c r="V453" s="48"/>
      <c r="W453" s="48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r="454" spans="1:36" ht="11.25" customHeight="1" x14ac:dyDescent="0.2">
      <c r="A454" s="44" t="s">
        <v>28</v>
      </c>
      <c r="B454" s="44" t="s">
        <v>40</v>
      </c>
      <c r="C454" s="44" t="s">
        <v>23</v>
      </c>
      <c r="D454" s="44" t="s">
        <v>41</v>
      </c>
      <c r="E454" s="44" t="s">
        <v>25</v>
      </c>
      <c r="F454" s="44" t="s">
        <v>25</v>
      </c>
      <c r="G454" s="44" t="s">
        <v>25</v>
      </c>
      <c r="H454" s="44" t="s">
        <v>25</v>
      </c>
      <c r="I454" s="64">
        <v>44682</v>
      </c>
      <c r="J454" s="65">
        <f>EFEITO!$J$454*EFEITO!$Y$241</f>
        <v>0</v>
      </c>
      <c r="K454" s="65">
        <f ca="1">EFEITO!$L$454*EFEITO!$Z$241</f>
        <v>-400.71022044917765</v>
      </c>
      <c r="L454" s="65">
        <f>EFEITO!$N$454*EFEITO!$AA$241</f>
        <v>-130.91723609554774</v>
      </c>
      <c r="M454" s="65">
        <f>$J$454-EFEITO!$K$454*EFEITO!$Y$454</f>
        <v>0</v>
      </c>
      <c r="N454" s="65">
        <f ca="1">$K$454-EFEITO!$M$454*EFEITO!$Z$454</f>
        <v>-24.042613226950721</v>
      </c>
      <c r="O454" s="65">
        <f>$L$454-EFEITO!$O$454*EFEITO!$AA$454</f>
        <v>-7.8550341657328744</v>
      </c>
      <c r="P454" s="48"/>
      <c r="Q454" s="48"/>
      <c r="R454" s="48"/>
      <c r="S454" s="48"/>
      <c r="T454" s="48"/>
      <c r="U454" s="48"/>
      <c r="V454" s="48"/>
      <c r="W454" s="48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r="455" spans="1:36" ht="11.25" customHeight="1" x14ac:dyDescent="0.2">
      <c r="A455" s="44" t="s">
        <v>21</v>
      </c>
      <c r="B455" s="44" t="s">
        <v>40</v>
      </c>
      <c r="C455" s="44" t="s">
        <v>23</v>
      </c>
      <c r="D455" s="44" t="s">
        <v>41</v>
      </c>
      <c r="E455" s="44" t="s">
        <v>25</v>
      </c>
      <c r="F455" s="44" t="s">
        <v>25</v>
      </c>
      <c r="G455" s="44" t="s">
        <v>25</v>
      </c>
      <c r="H455" s="44" t="s">
        <v>25</v>
      </c>
      <c r="I455" s="64">
        <v>44713</v>
      </c>
      <c r="J455" s="65">
        <f>EFEITO!$J$455*EFEITO!$Y$241</f>
        <v>0</v>
      </c>
      <c r="K455" s="65">
        <f ca="1">EFEITO!$L$455*EFEITO!$Z$241</f>
        <v>1053711.1704938796</v>
      </c>
      <c r="L455" s="65">
        <f>EFEITO!$N$455*EFEITO!$AA$241</f>
        <v>344261.13197070133</v>
      </c>
      <c r="M455" s="65">
        <f>$J$455-EFEITO!$K$455*EFEITO!$Y$455</f>
        <v>0</v>
      </c>
      <c r="N455" s="65">
        <f ca="1">$K$455-EFEITO!$M$455*EFEITO!$Z$455</f>
        <v>63222.670229632873</v>
      </c>
      <c r="O455" s="65">
        <f>$L$455-EFEITO!$O$455*EFEITO!$AA$455</f>
        <v>20655.667918242107</v>
      </c>
      <c r="P455" s="48"/>
      <c r="Q455" s="48"/>
      <c r="R455" s="48"/>
      <c r="S455" s="48"/>
      <c r="T455" s="48"/>
      <c r="U455" s="48"/>
      <c r="V455" s="48"/>
      <c r="W455" s="48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 spans="1:36" ht="11.25" customHeight="1" x14ac:dyDescent="0.2">
      <c r="A456" s="44" t="s">
        <v>27</v>
      </c>
      <c r="B456" s="44" t="s">
        <v>40</v>
      </c>
      <c r="C456" s="44" t="s">
        <v>23</v>
      </c>
      <c r="D456" s="44" t="s">
        <v>41</v>
      </c>
      <c r="E456" s="44" t="s">
        <v>25</v>
      </c>
      <c r="F456" s="44" t="s">
        <v>25</v>
      </c>
      <c r="G456" s="44" t="s">
        <v>25</v>
      </c>
      <c r="H456" s="44" t="s">
        <v>25</v>
      </c>
      <c r="I456" s="64">
        <v>44713</v>
      </c>
      <c r="J456" s="65">
        <f>EFEITO!$J$456*EFEITO!$Y$241</f>
        <v>0</v>
      </c>
      <c r="K456" s="65">
        <f ca="1">EFEITO!$L$456*EFEITO!$Z$241</f>
        <v>-865.01863978707331</v>
      </c>
      <c r="L456" s="65">
        <f>EFEITO!$N$456*EFEITO!$AA$241</f>
        <v>-282.61283020211084</v>
      </c>
      <c r="M456" s="65">
        <f>$J$456-EFEITO!$K$456*EFEITO!$Y$456</f>
        <v>0</v>
      </c>
      <c r="N456" s="65">
        <f ca="1">$K$456-EFEITO!$M$456*EFEITO!$Z$456</f>
        <v>-51.901118387224415</v>
      </c>
      <c r="O456" s="65">
        <f>$L$456-EFEITO!$O$456*EFEITO!$AA$456</f>
        <v>-16.956769812126709</v>
      </c>
      <c r="P456" s="48"/>
      <c r="Q456" s="48"/>
      <c r="R456" s="48"/>
      <c r="S456" s="48"/>
      <c r="T456" s="48"/>
      <c r="U456" s="48"/>
      <c r="V456" s="48"/>
      <c r="W456" s="48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r="457" spans="1:36" ht="11.25" customHeight="1" x14ac:dyDescent="0.2">
      <c r="A457" s="44" t="s">
        <v>28</v>
      </c>
      <c r="B457" s="44" t="s">
        <v>40</v>
      </c>
      <c r="C457" s="44" t="s">
        <v>23</v>
      </c>
      <c r="D457" s="44" t="s">
        <v>41</v>
      </c>
      <c r="E457" s="44" t="s">
        <v>25</v>
      </c>
      <c r="F457" s="44" t="s">
        <v>25</v>
      </c>
      <c r="G457" s="44" t="s">
        <v>25</v>
      </c>
      <c r="H457" s="44" t="s">
        <v>25</v>
      </c>
      <c r="I457" s="64">
        <v>44713</v>
      </c>
      <c r="J457" s="65">
        <f>EFEITO!$J$457*EFEITO!$Y$241</f>
        <v>0</v>
      </c>
      <c r="K457" s="65">
        <f ca="1">EFEITO!$L$457*EFEITO!$Z$241</f>
        <v>139154.10619202268</v>
      </c>
      <c r="L457" s="65">
        <f>EFEITO!$N$457*EFEITO!$AA$241</f>
        <v>45463.454746886127</v>
      </c>
      <c r="M457" s="65">
        <f>$J$457-EFEITO!$K$457*EFEITO!$Y$457</f>
        <v>0</v>
      </c>
      <c r="N457" s="65">
        <f ca="1">$K$457-EFEITO!$M$457*EFEITO!$Z$457</f>
        <v>8349.2463715213817</v>
      </c>
      <c r="O457" s="65">
        <f>$L$457-EFEITO!$O$457*EFEITO!$AA$457</f>
        <v>2727.8072848131706</v>
      </c>
      <c r="P457" s="48"/>
      <c r="Q457" s="48"/>
      <c r="R457" s="48"/>
      <c r="S457" s="48"/>
      <c r="T457" s="48"/>
      <c r="U457" s="48"/>
      <c r="V457" s="48"/>
      <c r="W457" s="48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r="458" spans="1:36" ht="11.25" customHeight="1" x14ac:dyDescent="0.2">
      <c r="A458" s="44" t="s">
        <v>21</v>
      </c>
      <c r="B458" s="44" t="s">
        <v>40</v>
      </c>
      <c r="C458" s="44" t="s">
        <v>23</v>
      </c>
      <c r="D458" s="44" t="s">
        <v>41</v>
      </c>
      <c r="E458" s="44" t="s">
        <v>25</v>
      </c>
      <c r="F458" s="44" t="s">
        <v>25</v>
      </c>
      <c r="G458" s="44" t="s">
        <v>25</v>
      </c>
      <c r="H458" s="44" t="s">
        <v>25</v>
      </c>
      <c r="I458" s="64">
        <v>44743</v>
      </c>
      <c r="J458" s="65">
        <f>EFEITO!$J$458*EFEITO!$Y$241</f>
        <v>0</v>
      </c>
      <c r="K458" s="65">
        <f ca="1">EFEITO!$L$458*EFEITO!$Z$241</f>
        <v>1032107.7352478373</v>
      </c>
      <c r="L458" s="65">
        <f>EFEITO!$N$458*EFEITO!$AA$241</f>
        <v>337203.00894750858</v>
      </c>
      <c r="M458" s="65">
        <f>$J$458-EFEITO!$K$458*EFEITO!$Y$458</f>
        <v>0</v>
      </c>
      <c r="N458" s="65">
        <f ca="1">$K$458-EFEITO!$M$458*EFEITO!$Z$458</f>
        <v>61926.464114870294</v>
      </c>
      <c r="O458" s="65">
        <f>$L$458-EFEITO!$O$458*EFEITO!$AA$458</f>
        <v>20232.18053685053</v>
      </c>
      <c r="P458" s="48"/>
      <c r="Q458" s="48"/>
      <c r="R458" s="48"/>
      <c r="S458" s="48"/>
      <c r="T458" s="48"/>
      <c r="U458" s="48"/>
      <c r="V458" s="48"/>
      <c r="W458" s="48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r="459" spans="1:36" ht="11.25" customHeight="1" x14ac:dyDescent="0.2">
      <c r="A459" s="44" t="s">
        <v>27</v>
      </c>
      <c r="B459" s="44" t="s">
        <v>40</v>
      </c>
      <c r="C459" s="44" t="s">
        <v>23</v>
      </c>
      <c r="D459" s="44" t="s">
        <v>41</v>
      </c>
      <c r="E459" s="44" t="s">
        <v>25</v>
      </c>
      <c r="F459" s="44" t="s">
        <v>25</v>
      </c>
      <c r="G459" s="44" t="s">
        <v>25</v>
      </c>
      <c r="H459" s="44" t="s">
        <v>25</v>
      </c>
      <c r="I459" s="64">
        <v>44743</v>
      </c>
      <c r="J459" s="65">
        <f>EFEITO!$J$459*EFEITO!$Y$241</f>
        <v>0</v>
      </c>
      <c r="K459" s="65">
        <f ca="1">EFEITO!$L$459*EFEITO!$Z$241</f>
        <v>-274.76084617936351</v>
      </c>
      <c r="L459" s="65">
        <f>EFEITO!$N$459*EFEITO!$AA$241</f>
        <v>-89.767938858046733</v>
      </c>
      <c r="M459" s="65">
        <f>$J$459-EFEITO!$K$459*EFEITO!$Y$459</f>
        <v>0</v>
      </c>
      <c r="N459" s="65">
        <f ca="1">$K$459-EFEITO!$M$459*EFEITO!$Z$459</f>
        <v>-16.485650770761822</v>
      </c>
      <c r="O459" s="65">
        <f>$L$459-EFEITO!$O$459*EFEITO!$AA$459</f>
        <v>-5.3860763314827977</v>
      </c>
      <c r="P459" s="48"/>
      <c r="Q459" s="48"/>
      <c r="R459" s="48"/>
      <c r="S459" s="48"/>
      <c r="T459" s="48"/>
      <c r="U459" s="48"/>
      <c r="V459" s="48"/>
      <c r="W459" s="48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r="460" spans="1:36" ht="11.25" customHeight="1" x14ac:dyDescent="0.2">
      <c r="A460" s="44" t="s">
        <v>28</v>
      </c>
      <c r="B460" s="44" t="s">
        <v>40</v>
      </c>
      <c r="C460" s="44" t="s">
        <v>23</v>
      </c>
      <c r="D460" s="44" t="s">
        <v>41</v>
      </c>
      <c r="E460" s="44" t="s">
        <v>25</v>
      </c>
      <c r="F460" s="44" t="s">
        <v>25</v>
      </c>
      <c r="G460" s="44" t="s">
        <v>25</v>
      </c>
      <c r="H460" s="44" t="s">
        <v>25</v>
      </c>
      <c r="I460" s="64">
        <v>44743</v>
      </c>
      <c r="J460" s="65">
        <f>EFEITO!$J$460*EFEITO!$Y$241</f>
        <v>0</v>
      </c>
      <c r="K460" s="65">
        <f ca="1">EFEITO!$L$460*EFEITO!$Z$241</f>
        <v>132716.97084567833</v>
      </c>
      <c r="L460" s="65">
        <f>EFEITO!$N$460*EFEITO!$AA$241</f>
        <v>43360.358981143749</v>
      </c>
      <c r="M460" s="65">
        <f>$J$460-EFEITO!$K$460*EFEITO!$Y$460</f>
        <v>0</v>
      </c>
      <c r="N460" s="65">
        <f ca="1">$K$460-EFEITO!$M$460*EFEITO!$Z$460</f>
        <v>7963.0182507407153</v>
      </c>
      <c r="O460" s="65">
        <f>$L$460-EFEITO!$O$460*EFEITO!$AA$460</f>
        <v>2601.6215388686251</v>
      </c>
      <c r="P460" s="48"/>
      <c r="Q460" s="48"/>
      <c r="R460" s="48"/>
      <c r="S460" s="48"/>
      <c r="T460" s="48"/>
      <c r="U460" s="48"/>
      <c r="V460" s="48"/>
      <c r="W460" s="48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r="461" spans="1:36" ht="11.25" customHeight="1" x14ac:dyDescent="0.2">
      <c r="A461" s="44" t="s">
        <v>21</v>
      </c>
      <c r="B461" s="44" t="s">
        <v>40</v>
      </c>
      <c r="C461" s="44" t="s">
        <v>23</v>
      </c>
      <c r="D461" s="44" t="s">
        <v>41</v>
      </c>
      <c r="E461" s="44" t="s">
        <v>25</v>
      </c>
      <c r="F461" s="44" t="s">
        <v>25</v>
      </c>
      <c r="G461" s="44" t="s">
        <v>25</v>
      </c>
      <c r="H461" s="44" t="s">
        <v>25</v>
      </c>
      <c r="I461" s="64">
        <v>44774</v>
      </c>
      <c r="J461" s="65">
        <f>EFEITO!$J$461*EFEITO!$Y$241</f>
        <v>0</v>
      </c>
      <c r="K461" s="65">
        <f ca="1">EFEITO!$L$461*EFEITO!$Z$241</f>
        <v>1045001.5426421453</v>
      </c>
      <c r="L461" s="65">
        <f>EFEITO!$N$461*EFEITO!$AA$241</f>
        <v>341415.58337328426</v>
      </c>
      <c r="M461" s="65">
        <f>$J$461-EFEITO!$K$461*EFEITO!$Y$461</f>
        <v>0</v>
      </c>
      <c r="N461" s="65">
        <f ca="1">$K$461-EFEITO!$M$461*EFEITO!$Z$461</f>
        <v>62700.092558528762</v>
      </c>
      <c r="O461" s="65">
        <f>$L$461-EFEITO!$O$461*EFEITO!$AA$461</f>
        <v>20484.935002397106</v>
      </c>
      <c r="P461" s="48"/>
      <c r="Q461" s="48"/>
      <c r="R461" s="48"/>
      <c r="S461" s="48"/>
      <c r="T461" s="48"/>
      <c r="U461" s="48"/>
      <c r="V461" s="48"/>
      <c r="W461" s="48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r="462" spans="1:36" ht="11.25" customHeight="1" x14ac:dyDescent="0.2">
      <c r="A462" s="44" t="s">
        <v>27</v>
      </c>
      <c r="B462" s="44" t="s">
        <v>40</v>
      </c>
      <c r="C462" s="44" t="s">
        <v>23</v>
      </c>
      <c r="D462" s="44" t="s">
        <v>41</v>
      </c>
      <c r="E462" s="44" t="s">
        <v>25</v>
      </c>
      <c r="F462" s="44" t="s">
        <v>25</v>
      </c>
      <c r="G462" s="44" t="s">
        <v>25</v>
      </c>
      <c r="H462" s="44" t="s">
        <v>25</v>
      </c>
      <c r="I462" s="64">
        <v>44774</v>
      </c>
      <c r="J462" s="65">
        <f>EFEITO!$J$462*EFEITO!$Y$241</f>
        <v>0</v>
      </c>
      <c r="K462" s="65">
        <f ca="1">EFEITO!$L$462*EFEITO!$Z$241</f>
        <v>-2991.1937202824506</v>
      </c>
      <c r="L462" s="65">
        <f>EFEITO!$N$462*EFEITO!$AA$241</f>
        <v>-977.26185782527125</v>
      </c>
      <c r="M462" s="65">
        <f>$J$462-EFEITO!$K$462*EFEITO!$Y$462</f>
        <v>0</v>
      </c>
      <c r="N462" s="65">
        <f ca="1">$K$462-EFEITO!$M$462*EFEITO!$Z$462</f>
        <v>-179.47162321694714</v>
      </c>
      <c r="O462" s="65">
        <f>$L$462-EFEITO!$O$462*EFEITO!$AA$462</f>
        <v>-58.635711469516309</v>
      </c>
      <c r="P462" s="48"/>
      <c r="Q462" s="48"/>
      <c r="R462" s="48"/>
      <c r="S462" s="48"/>
      <c r="T462" s="48"/>
      <c r="U462" s="48"/>
      <c r="V462" s="48"/>
      <c r="W462" s="48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r="463" spans="1:36" ht="11.25" customHeight="1" x14ac:dyDescent="0.2">
      <c r="A463" s="44" t="s">
        <v>28</v>
      </c>
      <c r="B463" s="44" t="s">
        <v>40</v>
      </c>
      <c r="C463" s="44" t="s">
        <v>23</v>
      </c>
      <c r="D463" s="44" t="s">
        <v>41</v>
      </c>
      <c r="E463" s="44" t="s">
        <v>25</v>
      </c>
      <c r="F463" s="44" t="s">
        <v>25</v>
      </c>
      <c r="G463" s="44" t="s">
        <v>25</v>
      </c>
      <c r="H463" s="44" t="s">
        <v>25</v>
      </c>
      <c r="I463" s="64">
        <v>44774</v>
      </c>
      <c r="J463" s="65">
        <f>EFEITO!$J$463*EFEITO!$Y$241</f>
        <v>0</v>
      </c>
      <c r="K463" s="65">
        <f ca="1">EFEITO!$L$463*EFEITO!$Z$241</f>
        <v>114961.0187951523</v>
      </c>
      <c r="L463" s="65">
        <f>EFEITO!$N$463*EFEITO!$AA$241</f>
        <v>37559.258714486677</v>
      </c>
      <c r="M463" s="65">
        <f>$J$463-EFEITO!$K$463*EFEITO!$Y$463</f>
        <v>0</v>
      </c>
      <c r="N463" s="65">
        <f ca="1">$K$463-EFEITO!$M$463*EFEITO!$Z$463</f>
        <v>6897.6611277091433</v>
      </c>
      <c r="O463" s="65">
        <f>$L$463-EFEITO!$O$463*EFEITO!$AA$463</f>
        <v>2253.5555228692028</v>
      </c>
      <c r="P463" s="48"/>
      <c r="Q463" s="48"/>
      <c r="R463" s="48"/>
      <c r="S463" s="48"/>
      <c r="T463" s="48"/>
      <c r="U463" s="48"/>
      <c r="V463" s="48"/>
      <c r="W463" s="48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r="464" spans="1:36" ht="11.25" customHeight="1" x14ac:dyDescent="0.2">
      <c r="A464" s="44" t="s">
        <v>21</v>
      </c>
      <c r="B464" s="44" t="s">
        <v>33</v>
      </c>
      <c r="C464" s="44" t="s">
        <v>23</v>
      </c>
      <c r="D464" s="44" t="s">
        <v>39</v>
      </c>
      <c r="E464" s="44" t="s">
        <v>25</v>
      </c>
      <c r="F464" s="44" t="s">
        <v>25</v>
      </c>
      <c r="G464" s="44" t="s">
        <v>25</v>
      </c>
      <c r="H464" s="44" t="s">
        <v>25</v>
      </c>
      <c r="I464" s="64">
        <v>44440</v>
      </c>
      <c r="J464" s="65">
        <f>EFEITO!$J$464*EFEITO!$Y$464</f>
        <v>0</v>
      </c>
      <c r="K464" s="65">
        <f ca="1">EFEITO!$L$464*EFEITO!$Z$464</f>
        <v>91493.283405215348</v>
      </c>
      <c r="L464" s="65">
        <f>EFEITO!$N$464*EFEITO!$AA$464</f>
        <v>29892.044608422013</v>
      </c>
      <c r="M464" s="65">
        <f>$J$464-EFEITO!$K$464*EFEITO!$Y$464</f>
        <v>0</v>
      </c>
      <c r="N464" s="65">
        <f ca="1">$K$464-EFEITO!$M$464*EFEITO!$Z$464</f>
        <v>0</v>
      </c>
      <c r="O464" s="65">
        <f>$L$464-EFEITO!$O$464*EFEITO!$AA$464</f>
        <v>0</v>
      </c>
      <c r="P464" s="48"/>
      <c r="Q464" s="48"/>
      <c r="R464" s="48"/>
      <c r="S464" s="48"/>
      <c r="T464" s="48"/>
      <c r="U464" s="48"/>
      <c r="V464" s="48"/>
      <c r="W464" s="48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r="465" spans="1:36" ht="11.25" customHeight="1" x14ac:dyDescent="0.2">
      <c r="A465" s="44" t="s">
        <v>28</v>
      </c>
      <c r="B465" s="44" t="s">
        <v>33</v>
      </c>
      <c r="C465" s="44" t="s">
        <v>23</v>
      </c>
      <c r="D465" s="44" t="s">
        <v>39</v>
      </c>
      <c r="E465" s="44" t="s">
        <v>25</v>
      </c>
      <c r="F465" s="44" t="s">
        <v>25</v>
      </c>
      <c r="G465" s="44" t="s">
        <v>25</v>
      </c>
      <c r="H465" s="44" t="s">
        <v>25</v>
      </c>
      <c r="I465" s="64">
        <v>44440</v>
      </c>
      <c r="J465" s="65">
        <f>EFEITO!$J$465*EFEITO!$Y$465</f>
        <v>0</v>
      </c>
      <c r="K465" s="65">
        <f ca="1">EFEITO!$L$465*EFEITO!$Z$465</f>
        <v>2871.0637890482058</v>
      </c>
      <c r="L465" s="65">
        <f>EFEITO!$N$465*EFEITO!$AA$465</f>
        <v>938.01384824890897</v>
      </c>
      <c r="M465" s="65">
        <f>$J$465-EFEITO!$K$465*EFEITO!$Y$465</f>
        <v>0</v>
      </c>
      <c r="N465" s="65">
        <f ca="1">$K$465-EFEITO!$M$465*EFEITO!$Z$465</f>
        <v>0</v>
      </c>
      <c r="O465" s="65">
        <f>$L$465-EFEITO!$O$465*EFEITO!$AA$465</f>
        <v>0</v>
      </c>
      <c r="P465" s="48"/>
      <c r="Q465" s="48"/>
      <c r="R465" s="48"/>
      <c r="S465" s="48"/>
      <c r="T465" s="48"/>
      <c r="U465" s="48"/>
      <c r="V465" s="48"/>
      <c r="W465" s="48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r="466" spans="1:36" ht="11.25" customHeight="1" x14ac:dyDescent="0.2">
      <c r="A466" s="44" t="s">
        <v>21</v>
      </c>
      <c r="B466" s="44" t="s">
        <v>33</v>
      </c>
      <c r="C466" s="44" t="s">
        <v>23</v>
      </c>
      <c r="D466" s="44" t="s">
        <v>39</v>
      </c>
      <c r="E466" s="44" t="s">
        <v>25</v>
      </c>
      <c r="F466" s="44" t="s">
        <v>25</v>
      </c>
      <c r="G466" s="44" t="s">
        <v>25</v>
      </c>
      <c r="H466" s="44" t="s">
        <v>25</v>
      </c>
      <c r="I466" s="64">
        <v>44470</v>
      </c>
      <c r="J466" s="65">
        <f>EFEITO!$J$466*EFEITO!$Y$466</f>
        <v>0</v>
      </c>
      <c r="K466" s="65">
        <f ca="1">EFEITO!$L$466*EFEITO!$Z$466</f>
        <v>80999.164914074325</v>
      </c>
      <c r="L466" s="65">
        <f>EFEITO!$N$466*EFEITO!$AA$466</f>
        <v>26463.47973034297</v>
      </c>
      <c r="M466" s="65">
        <f>$J$466-EFEITO!$K$466*EFEITO!$Y$466</f>
        <v>0</v>
      </c>
      <c r="N466" s="65">
        <f ca="1">$K$466-EFEITO!$M$466*EFEITO!$Z$466</f>
        <v>0</v>
      </c>
      <c r="O466" s="65">
        <f>$L$466-EFEITO!$O$466*EFEITO!$AA$466</f>
        <v>0</v>
      </c>
      <c r="P466" s="48"/>
      <c r="Q466" s="48"/>
      <c r="R466" s="48"/>
      <c r="S466" s="48"/>
      <c r="T466" s="48"/>
      <c r="U466" s="48"/>
      <c r="V466" s="48"/>
      <c r="W466" s="48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r="467" spans="1:36" ht="11.25" customHeight="1" x14ac:dyDescent="0.2">
      <c r="A467" s="44" t="s">
        <v>28</v>
      </c>
      <c r="B467" s="44" t="s">
        <v>33</v>
      </c>
      <c r="C467" s="44" t="s">
        <v>23</v>
      </c>
      <c r="D467" s="44" t="s">
        <v>39</v>
      </c>
      <c r="E467" s="44" t="s">
        <v>25</v>
      </c>
      <c r="F467" s="44" t="s">
        <v>25</v>
      </c>
      <c r="G467" s="44" t="s">
        <v>25</v>
      </c>
      <c r="H467" s="44" t="s">
        <v>25</v>
      </c>
      <c r="I467" s="64">
        <v>44470</v>
      </c>
      <c r="J467" s="65">
        <f>EFEITO!$J$467*EFEITO!$Y$467</f>
        <v>0</v>
      </c>
      <c r="K467" s="65">
        <f ca="1">EFEITO!$L$467*EFEITO!$Z$467</f>
        <v>2050.1066465304402</v>
      </c>
      <c r="L467" s="65">
        <f>EFEITO!$N$467*EFEITO!$AA$467</f>
        <v>669.79648176684805</v>
      </c>
      <c r="M467" s="65">
        <f>$J$467-EFEITO!$K$467*EFEITO!$Y$467</f>
        <v>0</v>
      </c>
      <c r="N467" s="65">
        <f ca="1">$K$467-EFEITO!$M$467*EFEITO!$Z$467</f>
        <v>0</v>
      </c>
      <c r="O467" s="65">
        <f>$L$467-EFEITO!$O$467*EFEITO!$AA$467</f>
        <v>0</v>
      </c>
      <c r="P467" s="48"/>
      <c r="Q467" s="48"/>
      <c r="R467" s="48"/>
      <c r="S467" s="48"/>
      <c r="T467" s="48"/>
      <c r="U467" s="48"/>
      <c r="V467" s="48"/>
      <c r="W467" s="48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r="468" spans="1:36" ht="11.25" customHeight="1" x14ac:dyDescent="0.2">
      <c r="A468" s="44" t="s">
        <v>21</v>
      </c>
      <c r="B468" s="44" t="s">
        <v>33</v>
      </c>
      <c r="C468" s="44" t="s">
        <v>23</v>
      </c>
      <c r="D468" s="44" t="s">
        <v>39</v>
      </c>
      <c r="E468" s="44" t="s">
        <v>25</v>
      </c>
      <c r="F468" s="44" t="s">
        <v>25</v>
      </c>
      <c r="G468" s="44" t="s">
        <v>25</v>
      </c>
      <c r="H468" s="44" t="s">
        <v>25</v>
      </c>
      <c r="I468" s="64">
        <v>44501</v>
      </c>
      <c r="J468" s="65">
        <f>EFEITO!$J$468*EFEITO!$Y$468</f>
        <v>0</v>
      </c>
      <c r="K468" s="65">
        <f ca="1">EFEITO!$L$468*EFEITO!$Z$468</f>
        <v>85549.553693386726</v>
      </c>
      <c r="L468" s="65">
        <f>EFEITO!$N$468*EFEITO!$AA$468</f>
        <v>27950.150875091891</v>
      </c>
      <c r="M468" s="65">
        <f>$J$468-EFEITO!$K$468*EFEITO!$Y$468</f>
        <v>0</v>
      </c>
      <c r="N468" s="65">
        <f ca="1">$K$468-EFEITO!$M$468*EFEITO!$Z$468</f>
        <v>0</v>
      </c>
      <c r="O468" s="65">
        <f>$L$468-EFEITO!$O$468*EFEITO!$AA$468</f>
        <v>0</v>
      </c>
      <c r="P468" s="48"/>
      <c r="Q468" s="48"/>
      <c r="R468" s="48"/>
      <c r="S468" s="48"/>
      <c r="T468" s="48"/>
      <c r="U468" s="48"/>
      <c r="V468" s="48"/>
      <c r="W468" s="48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r="469" spans="1:36" ht="11.25" customHeight="1" x14ac:dyDescent="0.2">
      <c r="A469" s="44" t="s">
        <v>28</v>
      </c>
      <c r="B469" s="44" t="s">
        <v>33</v>
      </c>
      <c r="C469" s="44" t="s">
        <v>23</v>
      </c>
      <c r="D469" s="44" t="s">
        <v>39</v>
      </c>
      <c r="E469" s="44" t="s">
        <v>25</v>
      </c>
      <c r="F469" s="44" t="s">
        <v>25</v>
      </c>
      <c r="G469" s="44" t="s">
        <v>25</v>
      </c>
      <c r="H469" s="44" t="s">
        <v>25</v>
      </c>
      <c r="I469" s="64">
        <v>44501</v>
      </c>
      <c r="J469" s="65">
        <f>EFEITO!$J$469*EFEITO!$Y$469</f>
        <v>0</v>
      </c>
      <c r="K469" s="65">
        <f ca="1">EFEITO!$L$469*EFEITO!$Z$469</f>
        <v>1947.8507189054424</v>
      </c>
      <c r="L469" s="65">
        <f>EFEITO!$N$469*EFEITO!$AA$469</f>
        <v>636.38814143541151</v>
      </c>
      <c r="M469" s="65">
        <f>$J$469-EFEITO!$K$469*EFEITO!$Y$469</f>
        <v>0</v>
      </c>
      <c r="N469" s="65">
        <f ca="1">$K$469-EFEITO!$M$469*EFEITO!$Z$469</f>
        <v>0</v>
      </c>
      <c r="O469" s="65">
        <f>$L$469-EFEITO!$O$469*EFEITO!$AA$469</f>
        <v>0</v>
      </c>
      <c r="P469" s="48"/>
      <c r="Q469" s="48"/>
      <c r="R469" s="48"/>
      <c r="S469" s="48"/>
      <c r="T469" s="48"/>
      <c r="U469" s="48"/>
      <c r="V469" s="48"/>
      <c r="W469" s="48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 spans="1:36" ht="11.25" customHeight="1" x14ac:dyDescent="0.2">
      <c r="A470" s="44" t="s">
        <v>21</v>
      </c>
      <c r="B470" s="44" t="s">
        <v>33</v>
      </c>
      <c r="C470" s="44" t="s">
        <v>23</v>
      </c>
      <c r="D470" s="44" t="s">
        <v>39</v>
      </c>
      <c r="E470" s="44" t="s">
        <v>25</v>
      </c>
      <c r="F470" s="44" t="s">
        <v>25</v>
      </c>
      <c r="G470" s="44" t="s">
        <v>25</v>
      </c>
      <c r="H470" s="44" t="s">
        <v>25</v>
      </c>
      <c r="I470" s="64">
        <v>44531</v>
      </c>
      <c r="J470" s="65">
        <f>EFEITO!$J$470*EFEITO!$Y$470</f>
        <v>0</v>
      </c>
      <c r="K470" s="65">
        <f ca="1">EFEITO!$L$470*EFEITO!$Z$470</f>
        <v>100126.42714848192</v>
      </c>
      <c r="L470" s="65">
        <f>EFEITO!$N$470*EFEITO!$AA$470</f>
        <v>32712.604853721215</v>
      </c>
      <c r="M470" s="65">
        <f>$J$470-EFEITO!$K$470*EFEITO!$Y$470</f>
        <v>0</v>
      </c>
      <c r="N470" s="65">
        <f ca="1">$K$470-EFEITO!$M$470*EFEITO!$Z$470</f>
        <v>0</v>
      </c>
      <c r="O470" s="65">
        <f>$L$470-EFEITO!$O$470*EFEITO!$AA$470</f>
        <v>0</v>
      </c>
      <c r="P470" s="48"/>
      <c r="Q470" s="48"/>
      <c r="R470" s="48"/>
      <c r="S470" s="48"/>
      <c r="T470" s="48"/>
      <c r="U470" s="48"/>
      <c r="V470" s="48"/>
      <c r="W470" s="48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r="471" spans="1:36" ht="11.25" customHeight="1" x14ac:dyDescent="0.2">
      <c r="A471" s="44" t="s">
        <v>28</v>
      </c>
      <c r="B471" s="44" t="s">
        <v>33</v>
      </c>
      <c r="C471" s="44" t="s">
        <v>23</v>
      </c>
      <c r="D471" s="44" t="s">
        <v>39</v>
      </c>
      <c r="E471" s="44" t="s">
        <v>25</v>
      </c>
      <c r="F471" s="44" t="s">
        <v>25</v>
      </c>
      <c r="G471" s="44" t="s">
        <v>25</v>
      </c>
      <c r="H471" s="44" t="s">
        <v>25</v>
      </c>
      <c r="I471" s="64">
        <v>44531</v>
      </c>
      <c r="J471" s="65">
        <f>EFEITO!$J$471*EFEITO!$Y$471</f>
        <v>0</v>
      </c>
      <c r="K471" s="65">
        <f ca="1">EFEITO!$L$471*EFEITO!$Z$471</f>
        <v>1936.6275073368452</v>
      </c>
      <c r="L471" s="65">
        <f>EFEITO!$N$471*EFEITO!$AA$471</f>
        <v>632.72137237464403</v>
      </c>
      <c r="M471" s="65">
        <f>$J$471-EFEITO!$K$471*EFEITO!$Y$471</f>
        <v>0</v>
      </c>
      <c r="N471" s="65">
        <f ca="1">$K$471-EFEITO!$M$471*EFEITO!$Z$471</f>
        <v>0</v>
      </c>
      <c r="O471" s="65">
        <f>$L$471-EFEITO!$O$471*EFEITO!$AA$471</f>
        <v>0</v>
      </c>
      <c r="P471" s="48"/>
      <c r="Q471" s="48"/>
      <c r="R471" s="48"/>
      <c r="S471" s="48"/>
      <c r="T471" s="48"/>
      <c r="U471" s="48"/>
      <c r="V471" s="48"/>
      <c r="W471" s="48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 spans="1:36" ht="11.25" customHeight="1" x14ac:dyDescent="0.2">
      <c r="A472" s="44" t="s">
        <v>21</v>
      </c>
      <c r="B472" s="44" t="s">
        <v>33</v>
      </c>
      <c r="C472" s="44" t="s">
        <v>23</v>
      </c>
      <c r="D472" s="44" t="s">
        <v>39</v>
      </c>
      <c r="E472" s="44" t="s">
        <v>25</v>
      </c>
      <c r="F472" s="44" t="s">
        <v>25</v>
      </c>
      <c r="G472" s="44" t="s">
        <v>25</v>
      </c>
      <c r="H472" s="44" t="s">
        <v>25</v>
      </c>
      <c r="I472" s="64">
        <v>44562</v>
      </c>
      <c r="J472" s="65">
        <f>EFEITO!$J$472*EFEITO!$Y$472</f>
        <v>0</v>
      </c>
      <c r="K472" s="65">
        <f ca="1">EFEITO!$L$472*EFEITO!$Z$472</f>
        <v>93947.841342717831</v>
      </c>
      <c r="L472" s="65">
        <f>EFEITO!$N$472*EFEITO!$AA$472</f>
        <v>30693.980582638</v>
      </c>
      <c r="M472" s="65">
        <f>$J$472-EFEITO!$K$472*EFEITO!$Y$472</f>
        <v>0</v>
      </c>
      <c r="N472" s="65">
        <f ca="1">$K$472-EFEITO!$M$472*EFEITO!$Z$472</f>
        <v>0</v>
      </c>
      <c r="O472" s="65">
        <f>$L$472-EFEITO!$O$472*EFEITO!$AA$472</f>
        <v>0</v>
      </c>
      <c r="P472" s="48"/>
      <c r="Q472" s="48"/>
      <c r="R472" s="48"/>
      <c r="S472" s="48"/>
      <c r="T472" s="48"/>
      <c r="U472" s="48"/>
      <c r="V472" s="48"/>
      <c r="W472" s="48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r="473" spans="1:36" ht="11.25" customHeight="1" x14ac:dyDescent="0.2">
      <c r="A473" s="44" t="s">
        <v>27</v>
      </c>
      <c r="B473" s="44" t="s">
        <v>33</v>
      </c>
      <c r="C473" s="44" t="s">
        <v>23</v>
      </c>
      <c r="D473" s="44" t="s">
        <v>39</v>
      </c>
      <c r="E473" s="44" t="s">
        <v>25</v>
      </c>
      <c r="F473" s="44" t="s">
        <v>25</v>
      </c>
      <c r="G473" s="44" t="s">
        <v>25</v>
      </c>
      <c r="H473" s="44" t="s">
        <v>25</v>
      </c>
      <c r="I473" s="64">
        <v>44562</v>
      </c>
      <c r="J473" s="65">
        <f>EFEITO!$J$473*EFEITO!$Y$473</f>
        <v>0</v>
      </c>
      <c r="K473" s="65">
        <f ca="1">EFEITO!$L$473*EFEITO!$Z$473</f>
        <v>-66.507920406502521</v>
      </c>
      <c r="L473" s="65">
        <f>EFEITO!$N$473*EFEITO!$AA$473</f>
        <v>-21.729001841584687</v>
      </c>
      <c r="M473" s="65">
        <f>$J$473-EFEITO!$K$473*EFEITO!$Y$473</f>
        <v>0</v>
      </c>
      <c r="N473" s="65">
        <f ca="1">$K$473-EFEITO!$M$473*EFEITO!$Z$473</f>
        <v>0</v>
      </c>
      <c r="O473" s="65">
        <f>$L$473-EFEITO!$O$473*EFEITO!$AA$473</f>
        <v>0</v>
      </c>
      <c r="P473" s="48"/>
      <c r="Q473" s="48"/>
      <c r="R473" s="48"/>
      <c r="S473" s="48"/>
      <c r="T473" s="48"/>
      <c r="U473" s="48"/>
      <c r="V473" s="48"/>
      <c r="W473" s="48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r="474" spans="1:36" ht="11.25" customHeight="1" x14ac:dyDescent="0.2">
      <c r="A474" s="44" t="s">
        <v>28</v>
      </c>
      <c r="B474" s="44" t="s">
        <v>33</v>
      </c>
      <c r="C474" s="44" t="s">
        <v>23</v>
      </c>
      <c r="D474" s="44" t="s">
        <v>39</v>
      </c>
      <c r="E474" s="44" t="s">
        <v>25</v>
      </c>
      <c r="F474" s="44" t="s">
        <v>25</v>
      </c>
      <c r="G474" s="44" t="s">
        <v>25</v>
      </c>
      <c r="H474" s="44" t="s">
        <v>25</v>
      </c>
      <c r="I474" s="64">
        <v>44562</v>
      </c>
      <c r="J474" s="65">
        <f>EFEITO!$J$474*EFEITO!$Y$474</f>
        <v>0</v>
      </c>
      <c r="K474" s="65">
        <f ca="1">EFEITO!$L$474*EFEITO!$Z$474</f>
        <v>3520.7630365192272</v>
      </c>
      <c r="L474" s="65">
        <f>EFEITO!$N$474*EFEITO!$AA$474</f>
        <v>1150.2790349888894</v>
      </c>
      <c r="M474" s="65">
        <f>$J$474-EFEITO!$K$474*EFEITO!$Y$474</f>
        <v>0</v>
      </c>
      <c r="N474" s="65">
        <f ca="1">$K$474-EFEITO!$M$474*EFEITO!$Z$474</f>
        <v>0</v>
      </c>
      <c r="O474" s="65">
        <f>$L$474-EFEITO!$O$474*EFEITO!$AA$474</f>
        <v>0</v>
      </c>
      <c r="P474" s="48"/>
      <c r="Q474" s="48"/>
      <c r="R474" s="48"/>
      <c r="S474" s="48"/>
      <c r="T474" s="48"/>
      <c r="U474" s="48"/>
      <c r="V474" s="48"/>
      <c r="W474" s="48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r="475" spans="1:36" ht="11.25" customHeight="1" x14ac:dyDescent="0.2">
      <c r="A475" s="44" t="s">
        <v>21</v>
      </c>
      <c r="B475" s="44" t="s">
        <v>33</v>
      </c>
      <c r="C475" s="44" t="s">
        <v>23</v>
      </c>
      <c r="D475" s="44" t="s">
        <v>39</v>
      </c>
      <c r="E475" s="44" t="s">
        <v>25</v>
      </c>
      <c r="F475" s="44" t="s">
        <v>25</v>
      </c>
      <c r="G475" s="44" t="s">
        <v>25</v>
      </c>
      <c r="H475" s="44" t="s">
        <v>25</v>
      </c>
      <c r="I475" s="64">
        <v>44593</v>
      </c>
      <c r="J475" s="65">
        <f>EFEITO!$J$475*EFEITO!$Y$475</f>
        <v>0</v>
      </c>
      <c r="K475" s="65">
        <f ca="1">EFEITO!$L$475*EFEITO!$Z$475</f>
        <v>103083.95123405858</v>
      </c>
      <c r="L475" s="65">
        <f>EFEITO!$N$475*EFEITO!$AA$475</f>
        <v>33678.866404364184</v>
      </c>
      <c r="M475" s="65">
        <f>$J$475-EFEITO!$K$475*EFEITO!$Y$475</f>
        <v>0</v>
      </c>
      <c r="N475" s="65">
        <f ca="1">$K$475-EFEITO!$M$475*EFEITO!$Z$475</f>
        <v>0</v>
      </c>
      <c r="O475" s="65">
        <f>$L$475-EFEITO!$O$475*EFEITO!$AA$475</f>
        <v>0</v>
      </c>
      <c r="P475" s="48"/>
      <c r="Q475" s="48"/>
      <c r="R475" s="48"/>
      <c r="S475" s="48"/>
      <c r="T475" s="48"/>
      <c r="U475" s="48"/>
      <c r="V475" s="48"/>
      <c r="W475" s="48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r="476" spans="1:36" ht="11.25" customHeight="1" x14ac:dyDescent="0.2">
      <c r="A476" s="44" t="s">
        <v>28</v>
      </c>
      <c r="B476" s="44" t="s">
        <v>33</v>
      </c>
      <c r="C476" s="44" t="s">
        <v>23</v>
      </c>
      <c r="D476" s="44" t="s">
        <v>39</v>
      </c>
      <c r="E476" s="44" t="s">
        <v>25</v>
      </c>
      <c r="F476" s="44" t="s">
        <v>25</v>
      </c>
      <c r="G476" s="44" t="s">
        <v>25</v>
      </c>
      <c r="H476" s="44" t="s">
        <v>25</v>
      </c>
      <c r="I476" s="64">
        <v>44593</v>
      </c>
      <c r="J476" s="65">
        <f>EFEITO!$J$476*EFEITO!$Y$476</f>
        <v>0</v>
      </c>
      <c r="K476" s="65">
        <f ca="1">EFEITO!$L$476*EFEITO!$Z$476</f>
        <v>3319.9922517920977</v>
      </c>
      <c r="L476" s="65">
        <f>EFEITO!$N$476*EFEITO!$AA$476</f>
        <v>1084.6846106796056</v>
      </c>
      <c r="M476" s="65">
        <f>$J$476-EFEITO!$K$476*EFEITO!$Y$476</f>
        <v>0</v>
      </c>
      <c r="N476" s="65">
        <f ca="1">$K$476-EFEITO!$M$476*EFEITO!$Z$476</f>
        <v>0</v>
      </c>
      <c r="O476" s="65">
        <f>$L$476-EFEITO!$O$476*EFEITO!$AA$476</f>
        <v>0</v>
      </c>
      <c r="P476" s="48"/>
      <c r="Q476" s="48"/>
      <c r="R476" s="48"/>
      <c r="S476" s="48"/>
      <c r="T476" s="48"/>
      <c r="U476" s="48"/>
      <c r="V476" s="48"/>
      <c r="W476" s="48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r="477" spans="1:36" ht="11.25" customHeight="1" x14ac:dyDescent="0.2">
      <c r="A477" s="44" t="s">
        <v>21</v>
      </c>
      <c r="B477" s="44" t="s">
        <v>33</v>
      </c>
      <c r="C477" s="44" t="s">
        <v>23</v>
      </c>
      <c r="D477" s="44" t="s">
        <v>39</v>
      </c>
      <c r="E477" s="44" t="s">
        <v>25</v>
      </c>
      <c r="F477" s="44" t="s">
        <v>25</v>
      </c>
      <c r="G477" s="44" t="s">
        <v>25</v>
      </c>
      <c r="H477" s="44" t="s">
        <v>25</v>
      </c>
      <c r="I477" s="64">
        <v>44621</v>
      </c>
      <c r="J477" s="65">
        <f>EFEITO!$J$477*EFEITO!$Y$477</f>
        <v>0</v>
      </c>
      <c r="K477" s="65">
        <f ca="1">EFEITO!$L$477*EFEITO!$Z$477</f>
        <v>99541.157448904691</v>
      </c>
      <c r="L477" s="65">
        <f>EFEITO!$N$477*EFEITO!$AA$477</f>
        <v>32521.389637515269</v>
      </c>
      <c r="M477" s="65">
        <f>$J$477-EFEITO!$K$477*EFEITO!$Y$477</f>
        <v>0</v>
      </c>
      <c r="N477" s="65">
        <f ca="1">$K$477-EFEITO!$M$477*EFEITO!$Z$477</f>
        <v>0</v>
      </c>
      <c r="O477" s="65">
        <f>$L$477-EFEITO!$O$477*EFEITO!$AA$477</f>
        <v>0</v>
      </c>
      <c r="P477" s="48"/>
      <c r="Q477" s="48"/>
      <c r="R477" s="48"/>
      <c r="S477" s="48"/>
      <c r="T477" s="48"/>
      <c r="U477" s="48"/>
      <c r="V477" s="48"/>
      <c r="W477" s="48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r="478" spans="1:36" ht="11.25" customHeight="1" x14ac:dyDescent="0.2">
      <c r="A478" s="44" t="s">
        <v>28</v>
      </c>
      <c r="B478" s="44" t="s">
        <v>33</v>
      </c>
      <c r="C478" s="44" t="s">
        <v>23</v>
      </c>
      <c r="D478" s="44" t="s">
        <v>39</v>
      </c>
      <c r="E478" s="44" t="s">
        <v>25</v>
      </c>
      <c r="F478" s="44" t="s">
        <v>25</v>
      </c>
      <c r="G478" s="44" t="s">
        <v>25</v>
      </c>
      <c r="H478" s="44" t="s">
        <v>25</v>
      </c>
      <c r="I478" s="64">
        <v>44621</v>
      </c>
      <c r="J478" s="65">
        <f>EFEITO!$J$478*EFEITO!$Y$478</f>
        <v>0</v>
      </c>
      <c r="K478" s="65">
        <f ca="1">EFEITO!$L$478*EFEITO!$Z$478</f>
        <v>3248.9119118576477</v>
      </c>
      <c r="L478" s="65">
        <f>EFEITO!$N$478*EFEITO!$AA$478</f>
        <v>1061.4617399614119</v>
      </c>
      <c r="M478" s="65">
        <f>$J$478-EFEITO!$K$478*EFEITO!$Y$478</f>
        <v>0</v>
      </c>
      <c r="N478" s="65">
        <f ca="1">$K$478-EFEITO!$M$478*EFEITO!$Z$478</f>
        <v>0</v>
      </c>
      <c r="O478" s="65">
        <f>$L$478-EFEITO!$O$478*EFEITO!$AA$478</f>
        <v>0</v>
      </c>
      <c r="P478" s="48"/>
      <c r="Q478" s="48"/>
      <c r="R478" s="48"/>
      <c r="S478" s="48"/>
      <c r="T478" s="48"/>
      <c r="U478" s="48"/>
      <c r="V478" s="48"/>
      <c r="W478" s="48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r="479" spans="1:36" ht="11.25" customHeight="1" x14ac:dyDescent="0.2">
      <c r="A479" s="44" t="s">
        <v>21</v>
      </c>
      <c r="B479" s="44" t="s">
        <v>33</v>
      </c>
      <c r="C479" s="44" t="s">
        <v>23</v>
      </c>
      <c r="D479" s="44" t="s">
        <v>39</v>
      </c>
      <c r="E479" s="44" t="s">
        <v>25</v>
      </c>
      <c r="F479" s="44" t="s">
        <v>25</v>
      </c>
      <c r="G479" s="44" t="s">
        <v>25</v>
      </c>
      <c r="H479" s="44" t="s">
        <v>25</v>
      </c>
      <c r="I479" s="64">
        <v>44652</v>
      </c>
      <c r="J479" s="65">
        <f>EFEITO!$J$479*EFEITO!$Y$479</f>
        <v>0</v>
      </c>
      <c r="K479" s="65">
        <f ca="1">EFEITO!$L$479*EFEITO!$Z$479</f>
        <v>94862.325248307243</v>
      </c>
      <c r="L479" s="65">
        <f>EFEITO!$N$479*EFEITO!$AA$479</f>
        <v>30992.754357959788</v>
      </c>
      <c r="M479" s="65">
        <f>$J$479-EFEITO!$K$479*EFEITO!$Y$479</f>
        <v>0</v>
      </c>
      <c r="N479" s="65">
        <f ca="1">$K$479-EFEITO!$M$479*EFEITO!$Z$479</f>
        <v>0</v>
      </c>
      <c r="O479" s="65">
        <f>$L$479-EFEITO!$O$479*EFEITO!$AA$479</f>
        <v>0</v>
      </c>
      <c r="P479" s="48"/>
      <c r="Q479" s="48"/>
      <c r="R479" s="48"/>
      <c r="S479" s="48"/>
      <c r="T479" s="48"/>
      <c r="U479" s="48"/>
      <c r="V479" s="48"/>
      <c r="W479" s="48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r="480" spans="1:36" ht="11.25" customHeight="1" x14ac:dyDescent="0.2">
      <c r="A480" s="44" t="s">
        <v>27</v>
      </c>
      <c r="B480" s="44" t="s">
        <v>33</v>
      </c>
      <c r="C480" s="44" t="s">
        <v>23</v>
      </c>
      <c r="D480" s="44" t="s">
        <v>39</v>
      </c>
      <c r="E480" s="44" t="s">
        <v>25</v>
      </c>
      <c r="F480" s="44" t="s">
        <v>25</v>
      </c>
      <c r="G480" s="44" t="s">
        <v>25</v>
      </c>
      <c r="H480" s="44" t="s">
        <v>25</v>
      </c>
      <c r="I480" s="64">
        <v>44652</v>
      </c>
      <c r="J480" s="65">
        <f>EFEITO!$J$480*EFEITO!$Y$480</f>
        <v>0</v>
      </c>
      <c r="K480" s="65">
        <f ca="1">EFEITO!$L$480*EFEITO!$Z$480</f>
        <v>-415.67450254064073</v>
      </c>
      <c r="L480" s="65">
        <f>EFEITO!$N$480*EFEITO!$AA$480</f>
        <v>-135.80626150990429</v>
      </c>
      <c r="M480" s="65">
        <f>$J$480-EFEITO!$K$480*EFEITO!$Y$480</f>
        <v>0</v>
      </c>
      <c r="N480" s="65">
        <f ca="1">$K$480-EFEITO!$M$480*EFEITO!$Z$480</f>
        <v>0</v>
      </c>
      <c r="O480" s="65">
        <f>$L$480-EFEITO!$O$480*EFEITO!$AA$480</f>
        <v>0</v>
      </c>
      <c r="P480" s="48"/>
      <c r="Q480" s="48"/>
      <c r="R480" s="48"/>
      <c r="S480" s="48"/>
      <c r="T480" s="48"/>
      <c r="U480" s="48"/>
      <c r="V480" s="48"/>
      <c r="W480" s="48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  <row r="481" spans="1:36" ht="11.25" customHeight="1" x14ac:dyDescent="0.2">
      <c r="A481" s="44" t="s">
        <v>28</v>
      </c>
      <c r="B481" s="44" t="s">
        <v>33</v>
      </c>
      <c r="C481" s="44" t="s">
        <v>23</v>
      </c>
      <c r="D481" s="44" t="s">
        <v>39</v>
      </c>
      <c r="E481" s="44" t="s">
        <v>25</v>
      </c>
      <c r="F481" s="44" t="s">
        <v>25</v>
      </c>
      <c r="G481" s="44" t="s">
        <v>25</v>
      </c>
      <c r="H481" s="44" t="s">
        <v>25</v>
      </c>
      <c r="I481" s="64">
        <v>44652</v>
      </c>
      <c r="J481" s="65">
        <f>EFEITO!$J$481*EFEITO!$Y$481</f>
        <v>0</v>
      </c>
      <c r="K481" s="65">
        <f ca="1">EFEITO!$L$481*EFEITO!$Z$481</f>
        <v>4130.141857243806</v>
      </c>
      <c r="L481" s="65">
        <f>EFEITO!$N$481*EFEITO!$AA$481</f>
        <v>1349.3710143624089</v>
      </c>
      <c r="M481" s="65">
        <f>$J$481-EFEITO!$K$481*EFEITO!$Y$481</f>
        <v>0</v>
      </c>
      <c r="N481" s="65">
        <f ca="1">$K$481-EFEITO!$M$481*EFEITO!$Z$481</f>
        <v>0</v>
      </c>
      <c r="O481" s="65">
        <f>$L$481-EFEITO!$O$481*EFEITO!$AA$481</f>
        <v>0</v>
      </c>
      <c r="P481" s="48"/>
      <c r="Q481" s="48"/>
      <c r="R481" s="48"/>
      <c r="S481" s="48"/>
      <c r="T481" s="48"/>
      <c r="U481" s="48"/>
      <c r="V481" s="48"/>
      <c r="W481" s="48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</row>
    <row r="482" spans="1:36" ht="11.25" customHeight="1" x14ac:dyDescent="0.2">
      <c r="A482" s="44" t="s">
        <v>21</v>
      </c>
      <c r="B482" s="44" t="s">
        <v>33</v>
      </c>
      <c r="C482" s="44" t="s">
        <v>23</v>
      </c>
      <c r="D482" s="44" t="s">
        <v>39</v>
      </c>
      <c r="E482" s="44" t="s">
        <v>25</v>
      </c>
      <c r="F482" s="44" t="s">
        <v>25</v>
      </c>
      <c r="G482" s="44" t="s">
        <v>25</v>
      </c>
      <c r="H482" s="44" t="s">
        <v>25</v>
      </c>
      <c r="I482" s="64">
        <v>44682</v>
      </c>
      <c r="J482" s="65">
        <f>EFEITO!$J$482*EFEITO!$Y$482</f>
        <v>0</v>
      </c>
      <c r="K482" s="65">
        <f ca="1">EFEITO!$L$482*EFEITO!$Z$482</f>
        <v>88637.183898258605</v>
      </c>
      <c r="L482" s="65">
        <f>EFEITO!$N$482*EFEITO!$AA$482</f>
        <v>28958.919785587459</v>
      </c>
      <c r="M482" s="65">
        <f>$J$482-EFEITO!$K$482*EFEITO!$Y$482</f>
        <v>0</v>
      </c>
      <c r="N482" s="65">
        <f ca="1">$K$482-EFEITO!$M$482*EFEITO!$Z$482</f>
        <v>0</v>
      </c>
      <c r="O482" s="65">
        <f>$L$482-EFEITO!$O$482*EFEITO!$AA$482</f>
        <v>0</v>
      </c>
      <c r="P482" s="48"/>
      <c r="Q482" s="48"/>
      <c r="R482" s="48"/>
      <c r="S482" s="48"/>
      <c r="T482" s="48"/>
      <c r="U482" s="48"/>
      <c r="V482" s="48"/>
      <c r="W482" s="48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r="483" spans="1:36" ht="11.25" customHeight="1" x14ac:dyDescent="0.2">
      <c r="A483" s="44" t="s">
        <v>28</v>
      </c>
      <c r="B483" s="44" t="s">
        <v>33</v>
      </c>
      <c r="C483" s="44" t="s">
        <v>23</v>
      </c>
      <c r="D483" s="44" t="s">
        <v>39</v>
      </c>
      <c r="E483" s="44" t="s">
        <v>25</v>
      </c>
      <c r="F483" s="44" t="s">
        <v>25</v>
      </c>
      <c r="G483" s="44" t="s">
        <v>25</v>
      </c>
      <c r="H483" s="44" t="s">
        <v>25</v>
      </c>
      <c r="I483" s="64">
        <v>44682</v>
      </c>
      <c r="J483" s="65">
        <f>EFEITO!$J$483*EFEITO!$Y$483</f>
        <v>0</v>
      </c>
      <c r="K483" s="65">
        <f ca="1">EFEITO!$L$483*EFEITO!$Z$483</f>
        <v>4136.7926492844563</v>
      </c>
      <c r="L483" s="65">
        <f>EFEITO!$N$483*EFEITO!$AA$483</f>
        <v>1351.5439145465675</v>
      </c>
      <c r="M483" s="65">
        <f>$J$483-EFEITO!$K$483*EFEITO!$Y$483</f>
        <v>0</v>
      </c>
      <c r="N483" s="65">
        <f ca="1">$K$483-EFEITO!$M$483*EFEITO!$Z$483</f>
        <v>0</v>
      </c>
      <c r="O483" s="65">
        <f>$L$483-EFEITO!$O$483*EFEITO!$AA$483</f>
        <v>0</v>
      </c>
      <c r="P483" s="48"/>
      <c r="Q483" s="48"/>
      <c r="R483" s="48"/>
      <c r="S483" s="48"/>
      <c r="T483" s="48"/>
      <c r="U483" s="48"/>
      <c r="V483" s="48"/>
      <c r="W483" s="48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r="484" spans="1:36" ht="11.25" customHeight="1" x14ac:dyDescent="0.2">
      <c r="A484" s="44" t="s">
        <v>21</v>
      </c>
      <c r="B484" s="44" t="s">
        <v>33</v>
      </c>
      <c r="C484" s="44" t="s">
        <v>23</v>
      </c>
      <c r="D484" s="44" t="s">
        <v>39</v>
      </c>
      <c r="E484" s="44" t="s">
        <v>25</v>
      </c>
      <c r="F484" s="44" t="s">
        <v>25</v>
      </c>
      <c r="G484" s="44" t="s">
        <v>25</v>
      </c>
      <c r="H484" s="44" t="s">
        <v>25</v>
      </c>
      <c r="I484" s="64">
        <v>44713</v>
      </c>
      <c r="J484" s="65">
        <f>EFEITO!$J$484*EFEITO!$Y$484</f>
        <v>0</v>
      </c>
      <c r="K484" s="65">
        <f ca="1">EFEITO!$L$484*EFEITO!$Z$484</f>
        <v>87134.52057157419</v>
      </c>
      <c r="L484" s="65">
        <f>EFEITO!$N$484*EFEITO!$AA$484</f>
        <v>28467.980150229159</v>
      </c>
      <c r="M484" s="65">
        <f>$J$484-EFEITO!$K$484*EFEITO!$Y$484</f>
        <v>0</v>
      </c>
      <c r="N484" s="65">
        <f ca="1">$K$484-EFEITO!$M$484*EFEITO!$Z$484</f>
        <v>0</v>
      </c>
      <c r="O484" s="65">
        <f>$L$484-EFEITO!$O$484*EFEITO!$AA$484</f>
        <v>0</v>
      </c>
      <c r="P484" s="48"/>
      <c r="Q484" s="48"/>
      <c r="R484" s="48"/>
      <c r="S484" s="48"/>
      <c r="T484" s="48"/>
      <c r="U484" s="48"/>
      <c r="V484" s="48"/>
      <c r="W484" s="48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</row>
    <row r="485" spans="1:36" ht="11.25" customHeight="1" x14ac:dyDescent="0.2">
      <c r="A485" s="44" t="s">
        <v>28</v>
      </c>
      <c r="B485" s="44" t="s">
        <v>33</v>
      </c>
      <c r="C485" s="44" t="s">
        <v>23</v>
      </c>
      <c r="D485" s="44" t="s">
        <v>39</v>
      </c>
      <c r="E485" s="44" t="s">
        <v>25</v>
      </c>
      <c r="F485" s="44" t="s">
        <v>25</v>
      </c>
      <c r="G485" s="44" t="s">
        <v>25</v>
      </c>
      <c r="H485" s="44" t="s">
        <v>25</v>
      </c>
      <c r="I485" s="64">
        <v>44713</v>
      </c>
      <c r="J485" s="65">
        <f>EFEITO!$J$485*EFEITO!$Y$485</f>
        <v>0</v>
      </c>
      <c r="K485" s="65">
        <f ca="1">EFEITO!$L$485*EFEITO!$Z$485</f>
        <v>4968.5573288682781</v>
      </c>
      <c r="L485" s="65">
        <f>EFEITO!$N$485*EFEITO!$AA$485</f>
        <v>1623.2922438278858</v>
      </c>
      <c r="M485" s="65">
        <f>$J$485-EFEITO!$K$485*EFEITO!$Y$485</f>
        <v>0</v>
      </c>
      <c r="N485" s="65">
        <f ca="1">$K$485-EFEITO!$M$485*EFEITO!$Z$485</f>
        <v>0</v>
      </c>
      <c r="O485" s="65">
        <f>$L$485-EFEITO!$O$485*EFEITO!$AA$485</f>
        <v>0</v>
      </c>
      <c r="P485" s="48"/>
      <c r="Q485" s="48"/>
      <c r="R485" s="48"/>
      <c r="S485" s="48"/>
      <c r="T485" s="48"/>
      <c r="U485" s="48"/>
      <c r="V485" s="48"/>
      <c r="W485" s="48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</row>
    <row r="486" spans="1:36" ht="11.25" customHeight="1" x14ac:dyDescent="0.2">
      <c r="A486" s="44" t="s">
        <v>21</v>
      </c>
      <c r="B486" s="44" t="s">
        <v>33</v>
      </c>
      <c r="C486" s="44" t="s">
        <v>23</v>
      </c>
      <c r="D486" s="44" t="s">
        <v>39</v>
      </c>
      <c r="E486" s="44" t="s">
        <v>25</v>
      </c>
      <c r="F486" s="44" t="s">
        <v>25</v>
      </c>
      <c r="G486" s="44" t="s">
        <v>25</v>
      </c>
      <c r="H486" s="44" t="s">
        <v>25</v>
      </c>
      <c r="I486" s="64">
        <v>44743</v>
      </c>
      <c r="J486" s="65">
        <f>EFEITO!$J$486*EFEITO!$Y$486</f>
        <v>0</v>
      </c>
      <c r="K486" s="65">
        <f ca="1">EFEITO!$L$486*EFEITO!$Z$486</f>
        <v>79614.137471608919</v>
      </c>
      <c r="L486" s="65">
        <f>EFEITO!$N$486*EFEITO!$AA$486</f>
        <v>26010.973266991969</v>
      </c>
      <c r="M486" s="65">
        <f>$J$486-EFEITO!$K$486*EFEITO!$Y$486</f>
        <v>0</v>
      </c>
      <c r="N486" s="65">
        <f ca="1">$K$486-EFEITO!$M$486*EFEITO!$Z$486</f>
        <v>0</v>
      </c>
      <c r="O486" s="65">
        <f>$L$486-EFEITO!$O$486*EFEITO!$AA$486</f>
        <v>0</v>
      </c>
      <c r="P486" s="48"/>
      <c r="Q486" s="48"/>
      <c r="R486" s="48"/>
      <c r="S486" s="48"/>
      <c r="T486" s="48"/>
      <c r="U486" s="48"/>
      <c r="V486" s="48"/>
      <c r="W486" s="48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</row>
    <row r="487" spans="1:36" ht="11.25" customHeight="1" x14ac:dyDescent="0.2">
      <c r="A487" s="44" t="s">
        <v>28</v>
      </c>
      <c r="B487" s="44" t="s">
        <v>33</v>
      </c>
      <c r="C487" s="44" t="s">
        <v>23</v>
      </c>
      <c r="D487" s="44" t="s">
        <v>39</v>
      </c>
      <c r="E487" s="44" t="s">
        <v>25</v>
      </c>
      <c r="F487" s="44" t="s">
        <v>25</v>
      </c>
      <c r="G487" s="44" t="s">
        <v>25</v>
      </c>
      <c r="H487" s="44" t="s">
        <v>25</v>
      </c>
      <c r="I487" s="64">
        <v>44743</v>
      </c>
      <c r="J487" s="65">
        <f>EFEITO!$J$487*EFEITO!$Y$487</f>
        <v>0</v>
      </c>
      <c r="K487" s="65">
        <f ca="1">EFEITO!$L$487*EFEITO!$Z$487</f>
        <v>5008.8777556147215</v>
      </c>
      <c r="L487" s="65">
        <f>EFEITO!$N$487*EFEITO!$AA$487</f>
        <v>1636.4654511943468</v>
      </c>
      <c r="M487" s="65">
        <f>$J$487-EFEITO!$K$487*EFEITO!$Y$487</f>
        <v>0</v>
      </c>
      <c r="N487" s="65">
        <f ca="1">$K$487-EFEITO!$M$487*EFEITO!$Z$487</f>
        <v>0</v>
      </c>
      <c r="O487" s="65">
        <f>$L$487-EFEITO!$O$487*EFEITO!$AA$487</f>
        <v>0</v>
      </c>
      <c r="P487" s="48"/>
      <c r="Q487" s="48"/>
      <c r="R487" s="48"/>
      <c r="S487" s="48"/>
      <c r="T487" s="48"/>
      <c r="U487" s="48"/>
      <c r="V487" s="48"/>
      <c r="W487" s="48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</row>
    <row r="488" spans="1:36" ht="11.25" customHeight="1" x14ac:dyDescent="0.2">
      <c r="A488" s="44" t="s">
        <v>21</v>
      </c>
      <c r="B488" s="44" t="s">
        <v>33</v>
      </c>
      <c r="C488" s="44" t="s">
        <v>23</v>
      </c>
      <c r="D488" s="44" t="s">
        <v>39</v>
      </c>
      <c r="E488" s="44" t="s">
        <v>25</v>
      </c>
      <c r="F488" s="44" t="s">
        <v>25</v>
      </c>
      <c r="G488" s="44" t="s">
        <v>25</v>
      </c>
      <c r="H488" s="44" t="s">
        <v>25</v>
      </c>
      <c r="I488" s="64">
        <v>44774</v>
      </c>
      <c r="J488" s="65">
        <f>EFEITO!$J$488*EFEITO!$Y$488</f>
        <v>0</v>
      </c>
      <c r="K488" s="65">
        <f ca="1">EFEITO!$L$488*EFEITO!$Z$488</f>
        <v>81077.727395054506</v>
      </c>
      <c r="L488" s="65">
        <f>EFEITO!$N$488*EFEITO!$AA$488</f>
        <v>26489.14711376834</v>
      </c>
      <c r="M488" s="65">
        <f>$J$488-EFEITO!$K$488*EFEITO!$Y$488</f>
        <v>0</v>
      </c>
      <c r="N488" s="65">
        <f ca="1">$K$488-EFEITO!$M$488*EFEITO!$Z$488</f>
        <v>0</v>
      </c>
      <c r="O488" s="65">
        <f>$L$488-EFEITO!$O$488*EFEITO!$AA$488</f>
        <v>0</v>
      </c>
      <c r="P488" s="48"/>
      <c r="Q488" s="48"/>
      <c r="R488" s="48"/>
      <c r="S488" s="48"/>
      <c r="T488" s="48"/>
      <c r="U488" s="48"/>
      <c r="V488" s="48"/>
      <c r="W488" s="48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</row>
    <row r="489" spans="1:36" ht="11.25" customHeight="1" x14ac:dyDescent="0.2">
      <c r="A489" s="44" t="s">
        <v>28</v>
      </c>
      <c r="B489" s="44" t="s">
        <v>33</v>
      </c>
      <c r="C489" s="44" t="s">
        <v>23</v>
      </c>
      <c r="D489" s="44" t="s">
        <v>39</v>
      </c>
      <c r="E489" s="44" t="s">
        <v>25</v>
      </c>
      <c r="F489" s="44" t="s">
        <v>25</v>
      </c>
      <c r="G489" s="44" t="s">
        <v>25</v>
      </c>
      <c r="H489" s="44" t="s">
        <v>25</v>
      </c>
      <c r="I489" s="64">
        <v>44774</v>
      </c>
      <c r="J489" s="65">
        <f>EFEITO!$J$489*EFEITO!$Y$489</f>
        <v>0</v>
      </c>
      <c r="K489" s="65">
        <f ca="1">EFEITO!$L$489*EFEITO!$Z$489</f>
        <v>4512.1467250786554</v>
      </c>
      <c r="L489" s="65">
        <f>EFEITO!$N$489*EFEITO!$AA$489</f>
        <v>1474.1769686900111</v>
      </c>
      <c r="M489" s="65">
        <f>$J$489-EFEITO!$K$489*EFEITO!$Y$489</f>
        <v>0</v>
      </c>
      <c r="N489" s="65">
        <f ca="1">$K$489-EFEITO!$M$489*EFEITO!$Z$489</f>
        <v>0</v>
      </c>
      <c r="O489" s="65">
        <f>$L$489-EFEITO!$O$489*EFEITO!$AA$489</f>
        <v>0</v>
      </c>
      <c r="P489" s="48"/>
      <c r="Q489" s="48"/>
      <c r="R489" s="48"/>
      <c r="S489" s="48"/>
      <c r="T489" s="48"/>
      <c r="U489" s="48"/>
      <c r="V489" s="48"/>
      <c r="W489" s="48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</row>
    <row r="490" spans="1:36" ht="11.25" customHeight="1" x14ac:dyDescent="0.2">
      <c r="A490" s="44" t="s">
        <v>28</v>
      </c>
      <c r="B490" s="44" t="s">
        <v>33</v>
      </c>
      <c r="C490" s="44" t="s">
        <v>23</v>
      </c>
      <c r="D490" s="44" t="s">
        <v>39</v>
      </c>
      <c r="E490" s="44" t="s">
        <v>25</v>
      </c>
      <c r="F490" s="44" t="s">
        <v>25</v>
      </c>
      <c r="G490" s="44" t="s">
        <v>25</v>
      </c>
      <c r="H490" s="44" t="s">
        <v>25</v>
      </c>
      <c r="I490" s="64">
        <v>44774</v>
      </c>
      <c r="J490" s="65">
        <f>EFEITO!$J$490*EFEITO!$Y$490</f>
        <v>0</v>
      </c>
      <c r="K490" s="65">
        <f ca="1">EFEITO!$L$490*EFEITO!$Z$490</f>
        <v>41.567450254064077</v>
      </c>
      <c r="L490" s="65">
        <f>EFEITO!$N$490*EFEITO!$AA$490</f>
        <v>13.58062615099043</v>
      </c>
      <c r="M490" s="65">
        <f>$J$490-EFEITO!$K$490*EFEITO!$Y$490</f>
        <v>0</v>
      </c>
      <c r="N490" s="65">
        <f ca="1">$K$490-EFEITO!$M$490*EFEITO!$Z$490</f>
        <v>0</v>
      </c>
      <c r="O490" s="65">
        <f>$L$490-EFEITO!$O$490*EFEITO!$AA$490</f>
        <v>0</v>
      </c>
      <c r="P490" s="48"/>
      <c r="Q490" s="48"/>
      <c r="R490" s="48"/>
      <c r="S490" s="48"/>
      <c r="T490" s="48"/>
      <c r="U490" s="48"/>
      <c r="V490" s="48"/>
      <c r="W490" s="48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</row>
    <row r="491" spans="1:36" ht="11.25" customHeight="1" x14ac:dyDescent="0.2">
      <c r="A491" s="44" t="s">
        <v>21</v>
      </c>
      <c r="B491" s="44" t="s">
        <v>33</v>
      </c>
      <c r="C491" s="44" t="s">
        <v>23</v>
      </c>
      <c r="D491" s="44" t="s">
        <v>34</v>
      </c>
      <c r="E491" s="44" t="s">
        <v>25</v>
      </c>
      <c r="F491" s="44" t="s">
        <v>25</v>
      </c>
      <c r="G491" s="44" t="s">
        <v>25</v>
      </c>
      <c r="H491" s="44" t="s">
        <v>25</v>
      </c>
      <c r="I491" s="64">
        <v>44440</v>
      </c>
      <c r="J491" s="65">
        <f>EFEITO!$J$491*EFEITO!$Y$491</f>
        <v>0</v>
      </c>
      <c r="K491" s="65">
        <f ca="1">EFEITO!$L$491*EFEITO!$Z$491</f>
        <v>70129.276672636581</v>
      </c>
      <c r="L491" s="65">
        <f>EFEITO!$N$491*EFEITO!$AA$491</f>
        <v>22912.145991858972</v>
      </c>
      <c r="M491" s="65">
        <f>$J$491-EFEITO!$K$491*EFEITO!$Y$491</f>
        <v>0</v>
      </c>
      <c r="N491" s="65">
        <f ca="1">$K$491-EFEITO!$M$491*EFEITO!$Z$491</f>
        <v>0</v>
      </c>
      <c r="O491" s="65">
        <f>$L$491-EFEITO!$O$491*EFEITO!$AA$491</f>
        <v>0</v>
      </c>
      <c r="P491" s="48"/>
      <c r="Q491" s="48"/>
      <c r="R491" s="48"/>
      <c r="S491" s="48"/>
      <c r="T491" s="48"/>
      <c r="U491" s="48"/>
      <c r="V491" s="48"/>
      <c r="W491" s="48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</row>
    <row r="492" spans="1:36" ht="11.25" customHeight="1" x14ac:dyDescent="0.2">
      <c r="A492" s="44" t="s">
        <v>28</v>
      </c>
      <c r="B492" s="44" t="s">
        <v>33</v>
      </c>
      <c r="C492" s="44" t="s">
        <v>23</v>
      </c>
      <c r="D492" s="44" t="s">
        <v>34</v>
      </c>
      <c r="E492" s="44" t="s">
        <v>25</v>
      </c>
      <c r="F492" s="44" t="s">
        <v>25</v>
      </c>
      <c r="G492" s="44" t="s">
        <v>25</v>
      </c>
      <c r="H492" s="44" t="s">
        <v>25</v>
      </c>
      <c r="I492" s="64">
        <v>44440</v>
      </c>
      <c r="J492" s="65">
        <f>EFEITO!$J$492*EFEITO!$Y$492</f>
        <v>0</v>
      </c>
      <c r="K492" s="65">
        <f ca="1">EFEITO!$L$492*EFEITO!$Z$492</f>
        <v>2894.3415611904816</v>
      </c>
      <c r="L492" s="65">
        <f>EFEITO!$N$492*EFEITO!$AA$492</f>
        <v>945.61899889346353</v>
      </c>
      <c r="M492" s="65">
        <f>$J$492-EFEITO!$K$492*EFEITO!$Y$492</f>
        <v>0</v>
      </c>
      <c r="N492" s="65">
        <f ca="1">$K$492-EFEITO!$M$492*EFEITO!$Z$492</f>
        <v>0</v>
      </c>
      <c r="O492" s="65">
        <f>$L$492-EFEITO!$O$492*EFEITO!$AA$492</f>
        <v>0</v>
      </c>
      <c r="P492" s="48"/>
      <c r="Q492" s="48"/>
      <c r="R492" s="48"/>
      <c r="S492" s="48"/>
      <c r="T492" s="48"/>
      <c r="U492" s="48"/>
      <c r="V492" s="48"/>
      <c r="W492" s="48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</row>
    <row r="493" spans="1:36" ht="11.25" customHeight="1" x14ac:dyDescent="0.2">
      <c r="A493" s="44" t="s">
        <v>21</v>
      </c>
      <c r="B493" s="44" t="s">
        <v>33</v>
      </c>
      <c r="C493" s="44" t="s">
        <v>23</v>
      </c>
      <c r="D493" s="44" t="s">
        <v>34</v>
      </c>
      <c r="E493" s="44" t="s">
        <v>25</v>
      </c>
      <c r="F493" s="44" t="s">
        <v>25</v>
      </c>
      <c r="G493" s="44" t="s">
        <v>25</v>
      </c>
      <c r="H493" s="44" t="s">
        <v>25</v>
      </c>
      <c r="I493" s="64">
        <v>44470</v>
      </c>
      <c r="J493" s="65">
        <f>EFEITO!$J$493*EFEITO!$Y$493</f>
        <v>0</v>
      </c>
      <c r="K493" s="65">
        <f ca="1">EFEITO!$L$493*EFEITO!$Z$493</f>
        <v>64447.00622290602</v>
      </c>
      <c r="L493" s="65">
        <f>EFEITO!$N$493*EFEITO!$AA$493</f>
        <v>21055.674397018582</v>
      </c>
      <c r="M493" s="65">
        <f>$J$493-EFEITO!$K$493*EFEITO!$Y$493</f>
        <v>0</v>
      </c>
      <c r="N493" s="65">
        <f ca="1">$K$493-EFEITO!$M$493*EFEITO!$Z$493</f>
        <v>0</v>
      </c>
      <c r="O493" s="65">
        <f>$L$493-EFEITO!$O$493*EFEITO!$AA$493</f>
        <v>0</v>
      </c>
      <c r="P493" s="48"/>
      <c r="Q493" s="48"/>
      <c r="R493" s="48"/>
      <c r="S493" s="48"/>
      <c r="T493" s="48"/>
      <c r="U493" s="48"/>
      <c r="V493" s="48"/>
      <c r="W493" s="48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</row>
    <row r="494" spans="1:36" ht="11.25" customHeight="1" x14ac:dyDescent="0.2">
      <c r="A494" s="44" t="s">
        <v>28</v>
      </c>
      <c r="B494" s="44" t="s">
        <v>33</v>
      </c>
      <c r="C494" s="44" t="s">
        <v>23</v>
      </c>
      <c r="D494" s="44" t="s">
        <v>34</v>
      </c>
      <c r="E494" s="44" t="s">
        <v>25</v>
      </c>
      <c r="F494" s="44" t="s">
        <v>25</v>
      </c>
      <c r="G494" s="44" t="s">
        <v>25</v>
      </c>
      <c r="H494" s="44" t="s">
        <v>25</v>
      </c>
      <c r="I494" s="64">
        <v>44470</v>
      </c>
      <c r="J494" s="65">
        <f>EFEITO!$J$494*EFEITO!$Y$494</f>
        <v>0</v>
      </c>
      <c r="K494" s="65">
        <f ca="1">EFEITO!$L$494*EFEITO!$Z$494</f>
        <v>2121.6026609674304</v>
      </c>
      <c r="L494" s="65">
        <f>EFEITO!$N$494*EFEITO!$AA$494</f>
        <v>693.15515874655148</v>
      </c>
      <c r="M494" s="65">
        <f>$J$494-EFEITO!$K$494*EFEITO!$Y$494</f>
        <v>0</v>
      </c>
      <c r="N494" s="65">
        <f ca="1">$K$494-EFEITO!$M$494*EFEITO!$Z$494</f>
        <v>0</v>
      </c>
      <c r="O494" s="65">
        <f>$L$494-EFEITO!$O$494*EFEITO!$AA$494</f>
        <v>0</v>
      </c>
      <c r="P494" s="48"/>
      <c r="Q494" s="48"/>
      <c r="R494" s="48"/>
      <c r="S494" s="48"/>
      <c r="T494" s="48"/>
      <c r="U494" s="48"/>
      <c r="V494" s="48"/>
      <c r="W494" s="48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</row>
    <row r="495" spans="1:36" ht="11.25" customHeight="1" x14ac:dyDescent="0.2">
      <c r="A495" s="44" t="s">
        <v>21</v>
      </c>
      <c r="B495" s="44" t="s">
        <v>33</v>
      </c>
      <c r="C495" s="44" t="s">
        <v>23</v>
      </c>
      <c r="D495" s="44" t="s">
        <v>34</v>
      </c>
      <c r="E495" s="44" t="s">
        <v>25</v>
      </c>
      <c r="F495" s="44" t="s">
        <v>25</v>
      </c>
      <c r="G495" s="44" t="s">
        <v>25</v>
      </c>
      <c r="H495" s="44" t="s">
        <v>25</v>
      </c>
      <c r="I495" s="64">
        <v>44501</v>
      </c>
      <c r="J495" s="65">
        <f>EFEITO!$J$495*EFEITO!$Y$495</f>
        <v>0</v>
      </c>
      <c r="K495" s="65">
        <f ca="1">EFEITO!$L$495*EFEITO!$Z$495</f>
        <v>58056.842095348758</v>
      </c>
      <c r="L495" s="65">
        <f>EFEITO!$N$495*EFEITO!$AA$495</f>
        <v>18967.924738826823</v>
      </c>
      <c r="M495" s="65">
        <f>$J$495-EFEITO!$K$495*EFEITO!$Y$495</f>
        <v>0</v>
      </c>
      <c r="N495" s="65">
        <f ca="1">$K$495-EFEITO!$M$495*EFEITO!$Z$495</f>
        <v>0</v>
      </c>
      <c r="O495" s="65">
        <f>$L$495-EFEITO!$O$495*EFEITO!$AA$495</f>
        <v>0</v>
      </c>
      <c r="P495" s="48"/>
      <c r="Q495" s="48"/>
      <c r="R495" s="48"/>
      <c r="S495" s="48"/>
      <c r="T495" s="48"/>
      <c r="U495" s="48"/>
      <c r="V495" s="48"/>
      <c r="W495" s="48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</row>
    <row r="496" spans="1:36" ht="11.25" customHeight="1" x14ac:dyDescent="0.2">
      <c r="A496" s="44" t="s">
        <v>28</v>
      </c>
      <c r="B496" s="44" t="s">
        <v>33</v>
      </c>
      <c r="C496" s="44" t="s">
        <v>23</v>
      </c>
      <c r="D496" s="44" t="s">
        <v>34</v>
      </c>
      <c r="E496" s="44" t="s">
        <v>25</v>
      </c>
      <c r="F496" s="44" t="s">
        <v>25</v>
      </c>
      <c r="G496" s="44" t="s">
        <v>25</v>
      </c>
      <c r="H496" s="44" t="s">
        <v>25</v>
      </c>
      <c r="I496" s="64">
        <v>44501</v>
      </c>
      <c r="J496" s="65">
        <f>EFEITO!$J$496*EFEITO!$Y$496</f>
        <v>0</v>
      </c>
      <c r="K496" s="65">
        <f ca="1">EFEITO!$L$496*EFEITO!$Z$496</f>
        <v>2401.3516011772817</v>
      </c>
      <c r="L496" s="65">
        <f>EFEITO!$N$496*EFEITO!$AA$496</f>
        <v>784.55277274271714</v>
      </c>
      <c r="M496" s="65">
        <f>$J$496-EFEITO!$K$496*EFEITO!$Y$496</f>
        <v>0</v>
      </c>
      <c r="N496" s="65">
        <f ca="1">$K$496-EFEITO!$M$496*EFEITO!$Z$496</f>
        <v>0</v>
      </c>
      <c r="O496" s="65">
        <f>$L$496-EFEITO!$O$496*EFEITO!$AA$496</f>
        <v>0</v>
      </c>
      <c r="P496" s="48"/>
      <c r="Q496" s="48"/>
      <c r="R496" s="48"/>
      <c r="S496" s="48"/>
      <c r="T496" s="48"/>
      <c r="U496" s="48"/>
      <c r="V496" s="48"/>
      <c r="W496" s="48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</row>
    <row r="497" spans="1:36" ht="11.25" customHeight="1" x14ac:dyDescent="0.2">
      <c r="A497" s="44" t="s">
        <v>21</v>
      </c>
      <c r="B497" s="44" t="s">
        <v>33</v>
      </c>
      <c r="C497" s="44" t="s">
        <v>23</v>
      </c>
      <c r="D497" s="44" t="s">
        <v>34</v>
      </c>
      <c r="E497" s="44" t="s">
        <v>25</v>
      </c>
      <c r="F497" s="44" t="s">
        <v>25</v>
      </c>
      <c r="G497" s="44" t="s">
        <v>25</v>
      </c>
      <c r="H497" s="44" t="s">
        <v>25</v>
      </c>
      <c r="I497" s="64">
        <v>44531</v>
      </c>
      <c r="J497" s="65">
        <f>EFEITO!$J$497*EFEITO!$Y$497</f>
        <v>0</v>
      </c>
      <c r="K497" s="65">
        <f ca="1">EFEITO!$L$497*EFEITO!$Z$497</f>
        <v>65558.519842699694</v>
      </c>
      <c r="L497" s="65">
        <f>EFEITO!$N$497*EFEITO!$AA$497</f>
        <v>21418.820340296064</v>
      </c>
      <c r="M497" s="65">
        <f>$J$497-EFEITO!$K$497*EFEITO!$Y$497</f>
        <v>0</v>
      </c>
      <c r="N497" s="65">
        <f ca="1">$K$497-EFEITO!$M$497*EFEITO!$Z$497</f>
        <v>0</v>
      </c>
      <c r="O497" s="65">
        <f>$L$497-EFEITO!$O$497*EFEITO!$AA$497</f>
        <v>0</v>
      </c>
      <c r="P497" s="48"/>
      <c r="Q497" s="48"/>
      <c r="R497" s="48"/>
      <c r="S497" s="48"/>
      <c r="T497" s="48"/>
      <c r="U497" s="48"/>
      <c r="V497" s="48"/>
      <c r="W497" s="48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</row>
    <row r="498" spans="1:36" ht="11.25" customHeight="1" x14ac:dyDescent="0.2">
      <c r="A498" s="44" t="s">
        <v>28</v>
      </c>
      <c r="B498" s="44" t="s">
        <v>33</v>
      </c>
      <c r="C498" s="44" t="s">
        <v>23</v>
      </c>
      <c r="D498" s="44" t="s">
        <v>34</v>
      </c>
      <c r="E498" s="44" t="s">
        <v>25</v>
      </c>
      <c r="F498" s="44" t="s">
        <v>25</v>
      </c>
      <c r="G498" s="44" t="s">
        <v>25</v>
      </c>
      <c r="H498" s="44" t="s">
        <v>25</v>
      </c>
      <c r="I498" s="64">
        <v>44531</v>
      </c>
      <c r="J498" s="65">
        <f>EFEITO!$J$498*EFEITO!$Y$498</f>
        <v>0</v>
      </c>
      <c r="K498" s="65">
        <f ca="1">EFEITO!$L$498*EFEITO!$Z$498</f>
        <v>1447.7942923490516</v>
      </c>
      <c r="L498" s="65">
        <f>EFEITO!$N$498*EFEITO!$AA$498</f>
        <v>473.01320883899666</v>
      </c>
      <c r="M498" s="65">
        <f>$J$498-EFEITO!$K$498*EFEITO!$Y$498</f>
        <v>0</v>
      </c>
      <c r="N498" s="65">
        <f ca="1">$K$498-EFEITO!$M$498*EFEITO!$Z$498</f>
        <v>0</v>
      </c>
      <c r="O498" s="65">
        <f>$L$498-EFEITO!$O$498*EFEITO!$AA$498</f>
        <v>0</v>
      </c>
      <c r="P498" s="48"/>
      <c r="Q498" s="48"/>
      <c r="R498" s="48"/>
      <c r="S498" s="48"/>
      <c r="T498" s="48"/>
      <c r="U498" s="48"/>
      <c r="V498" s="48"/>
      <c r="W498" s="48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</row>
    <row r="499" spans="1:36" ht="11.25" customHeight="1" x14ac:dyDescent="0.2">
      <c r="A499" s="44" t="s">
        <v>21</v>
      </c>
      <c r="B499" s="44" t="s">
        <v>33</v>
      </c>
      <c r="C499" s="44" t="s">
        <v>23</v>
      </c>
      <c r="D499" s="44" t="s">
        <v>34</v>
      </c>
      <c r="E499" s="44" t="s">
        <v>25</v>
      </c>
      <c r="F499" s="44" t="s">
        <v>25</v>
      </c>
      <c r="G499" s="44" t="s">
        <v>25</v>
      </c>
      <c r="H499" s="44" t="s">
        <v>25</v>
      </c>
      <c r="I499" s="64">
        <v>44562</v>
      </c>
      <c r="J499" s="65">
        <f>EFEITO!$J$499*EFEITO!$Y$499</f>
        <v>0</v>
      </c>
      <c r="K499" s="65">
        <f ca="1">EFEITO!$L$499*EFEITO!$Z$499</f>
        <v>46316.531445590896</v>
      </c>
      <c r="L499" s="65">
        <f>EFEITO!$N$499*EFEITO!$AA$499</f>
        <v>15132.212688741085</v>
      </c>
      <c r="M499" s="65">
        <f>$J$499-EFEITO!$K$499*EFEITO!$Y$499</f>
        <v>0</v>
      </c>
      <c r="N499" s="65">
        <f ca="1">$K$499-EFEITO!$M$499*EFEITO!$Z$499</f>
        <v>0</v>
      </c>
      <c r="O499" s="65">
        <f>$L$499-EFEITO!$O$499*EFEITO!$AA$499</f>
        <v>0</v>
      </c>
      <c r="P499" s="48"/>
      <c r="Q499" s="48"/>
      <c r="R499" s="48"/>
      <c r="S499" s="48"/>
      <c r="T499" s="48"/>
      <c r="U499" s="48"/>
      <c r="V499" s="48"/>
      <c r="W499" s="48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</row>
    <row r="500" spans="1:36" ht="11.25" customHeight="1" x14ac:dyDescent="0.2">
      <c r="A500" s="44" t="s">
        <v>28</v>
      </c>
      <c r="B500" s="44" t="s">
        <v>33</v>
      </c>
      <c r="C500" s="44" t="s">
        <v>23</v>
      </c>
      <c r="D500" s="44" t="s">
        <v>34</v>
      </c>
      <c r="E500" s="44" t="s">
        <v>25</v>
      </c>
      <c r="F500" s="44" t="s">
        <v>25</v>
      </c>
      <c r="G500" s="44" t="s">
        <v>25</v>
      </c>
      <c r="H500" s="44" t="s">
        <v>25</v>
      </c>
      <c r="I500" s="64">
        <v>44562</v>
      </c>
      <c r="J500" s="65">
        <f>EFEITO!$J$500*EFEITO!$Y$500</f>
        <v>0</v>
      </c>
      <c r="K500" s="65">
        <f ca="1">EFEITO!$L$500*EFEITO!$Z$500</f>
        <v>3632.1638032001183</v>
      </c>
      <c r="L500" s="65">
        <f>EFEITO!$N$500*EFEITO!$AA$500</f>
        <v>1186.6751130735436</v>
      </c>
      <c r="M500" s="65">
        <f>$J$500-EFEITO!$K$500*EFEITO!$Y$500</f>
        <v>0</v>
      </c>
      <c r="N500" s="65">
        <f ca="1">$K$500-EFEITO!$M$500*EFEITO!$Z$500</f>
        <v>0</v>
      </c>
      <c r="O500" s="65">
        <f>$L$500-EFEITO!$O$500*EFEITO!$AA$500</f>
        <v>0</v>
      </c>
      <c r="P500" s="48"/>
      <c r="Q500" s="48"/>
      <c r="R500" s="48"/>
      <c r="S500" s="48"/>
      <c r="T500" s="48"/>
      <c r="U500" s="48"/>
      <c r="V500" s="48"/>
      <c r="W500" s="48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</row>
    <row r="501" spans="1:36" ht="11.25" customHeight="1" x14ac:dyDescent="0.2">
      <c r="A501" s="44" t="s">
        <v>21</v>
      </c>
      <c r="B501" s="44" t="s">
        <v>33</v>
      </c>
      <c r="C501" s="44" t="s">
        <v>23</v>
      </c>
      <c r="D501" s="44" t="s">
        <v>34</v>
      </c>
      <c r="E501" s="44" t="s">
        <v>25</v>
      </c>
      <c r="F501" s="44" t="s">
        <v>25</v>
      </c>
      <c r="G501" s="44" t="s">
        <v>25</v>
      </c>
      <c r="H501" s="44" t="s">
        <v>25</v>
      </c>
      <c r="I501" s="64">
        <v>44593</v>
      </c>
      <c r="J501" s="65">
        <f>EFEITO!$J$501*EFEITO!$Y$501</f>
        <v>0</v>
      </c>
      <c r="K501" s="65">
        <f ca="1">EFEITO!$L$501*EFEITO!$Z$501</f>
        <v>62848.737760637261</v>
      </c>
      <c r="L501" s="65">
        <f>EFEITO!$N$501*EFEITO!$AA$501</f>
        <v>20533.499321512998</v>
      </c>
      <c r="M501" s="65">
        <f>$J$501-EFEITO!$K$501*EFEITO!$Y$501</f>
        <v>0</v>
      </c>
      <c r="N501" s="65">
        <f ca="1">$K$501-EFEITO!$M$501*EFEITO!$Z$501</f>
        <v>0</v>
      </c>
      <c r="O501" s="65">
        <f>$L$501-EFEITO!$O$501*EFEITO!$AA$501</f>
        <v>0</v>
      </c>
      <c r="P501" s="48"/>
      <c r="Q501" s="48"/>
      <c r="R501" s="48"/>
      <c r="S501" s="48"/>
      <c r="T501" s="48"/>
      <c r="U501" s="48"/>
      <c r="V501" s="48"/>
      <c r="W501" s="48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</row>
    <row r="502" spans="1:36" ht="11.25" customHeight="1" x14ac:dyDescent="0.2">
      <c r="A502" s="44" t="s">
        <v>28</v>
      </c>
      <c r="B502" s="44" t="s">
        <v>33</v>
      </c>
      <c r="C502" s="44" t="s">
        <v>23</v>
      </c>
      <c r="D502" s="44" t="s">
        <v>34</v>
      </c>
      <c r="E502" s="44" t="s">
        <v>25</v>
      </c>
      <c r="F502" s="44" t="s">
        <v>25</v>
      </c>
      <c r="G502" s="44" t="s">
        <v>25</v>
      </c>
      <c r="H502" s="44" t="s">
        <v>25</v>
      </c>
      <c r="I502" s="64">
        <v>44593</v>
      </c>
      <c r="J502" s="65">
        <f>EFEITO!$J$502*EFEITO!$Y$502</f>
        <v>0</v>
      </c>
      <c r="K502" s="65">
        <f ca="1">EFEITO!$L$502*EFEITO!$Z$502</f>
        <v>3225.2184652128317</v>
      </c>
      <c r="L502" s="65">
        <f>EFEITO!$N$502*EFEITO!$AA$502</f>
        <v>1053.7207830553475</v>
      </c>
      <c r="M502" s="65">
        <f>$J$502-EFEITO!$K$502*EFEITO!$Y$502</f>
        <v>0</v>
      </c>
      <c r="N502" s="65">
        <f ca="1">$K$502-EFEITO!$M$502*EFEITO!$Z$502</f>
        <v>0</v>
      </c>
      <c r="O502" s="65">
        <f>$L$502-EFEITO!$O$502*EFEITO!$AA$502</f>
        <v>0</v>
      </c>
      <c r="P502" s="48"/>
      <c r="Q502" s="48"/>
      <c r="R502" s="48"/>
      <c r="S502" s="48"/>
      <c r="T502" s="48"/>
      <c r="U502" s="48"/>
      <c r="V502" s="48"/>
      <c r="W502" s="48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</row>
    <row r="503" spans="1:36" ht="11.25" customHeight="1" x14ac:dyDescent="0.2">
      <c r="A503" s="44" t="s">
        <v>21</v>
      </c>
      <c r="B503" s="44" t="s">
        <v>33</v>
      </c>
      <c r="C503" s="44" t="s">
        <v>23</v>
      </c>
      <c r="D503" s="44" t="s">
        <v>34</v>
      </c>
      <c r="E503" s="44" t="s">
        <v>25</v>
      </c>
      <c r="F503" s="44" t="s">
        <v>25</v>
      </c>
      <c r="G503" s="44" t="s">
        <v>25</v>
      </c>
      <c r="H503" s="44" t="s">
        <v>25</v>
      </c>
      <c r="I503" s="64">
        <v>44621</v>
      </c>
      <c r="J503" s="65">
        <f>EFEITO!$J$503*EFEITO!$Y$503</f>
        <v>0</v>
      </c>
      <c r="K503" s="65">
        <f ca="1">EFEITO!$L$503*EFEITO!$Z$503</f>
        <v>61623.329327147447</v>
      </c>
      <c r="L503" s="65">
        <f>EFEITO!$N$503*EFEITO!$AA$503</f>
        <v>20133.1424625818</v>
      </c>
      <c r="M503" s="65">
        <f>$J$503-EFEITO!$K$503*EFEITO!$Y$503</f>
        <v>0</v>
      </c>
      <c r="N503" s="65">
        <f ca="1">$K$503-EFEITO!$M$503*EFEITO!$Z$503</f>
        <v>0</v>
      </c>
      <c r="O503" s="65">
        <f>$L$503-EFEITO!$O$503*EFEITO!$AA$503</f>
        <v>0</v>
      </c>
      <c r="P503" s="48"/>
      <c r="Q503" s="48"/>
      <c r="R503" s="48"/>
      <c r="S503" s="48"/>
      <c r="T503" s="48"/>
      <c r="U503" s="48"/>
      <c r="V503" s="48"/>
      <c r="W503" s="48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</row>
    <row r="504" spans="1:36" ht="11.25" customHeight="1" x14ac:dyDescent="0.2">
      <c r="A504" s="44" t="s">
        <v>27</v>
      </c>
      <c r="B504" s="44" t="s">
        <v>33</v>
      </c>
      <c r="C504" s="44" t="s">
        <v>23</v>
      </c>
      <c r="D504" s="44" t="s">
        <v>34</v>
      </c>
      <c r="E504" s="44" t="s">
        <v>25</v>
      </c>
      <c r="F504" s="44" t="s">
        <v>25</v>
      </c>
      <c r="G504" s="44" t="s">
        <v>25</v>
      </c>
      <c r="H504" s="44" t="s">
        <v>25</v>
      </c>
      <c r="I504" s="64">
        <v>44621</v>
      </c>
      <c r="J504" s="65">
        <f>EFEITO!$J$504*EFEITO!$Y$504</f>
        <v>0</v>
      </c>
      <c r="K504" s="65">
        <f ca="1">EFEITO!$L$504*EFEITO!$Z$504</f>
        <v>-1428.2575907296416</v>
      </c>
      <c r="L504" s="65">
        <f>EFEITO!$N$504*EFEITO!$AA$504</f>
        <v>-466.63031454803115</v>
      </c>
      <c r="M504" s="65">
        <f>$J$504-EFEITO!$K$504*EFEITO!$Y$504</f>
        <v>0</v>
      </c>
      <c r="N504" s="65">
        <f ca="1">$K$504-EFEITO!$M$504*EFEITO!$Z$504</f>
        <v>0</v>
      </c>
      <c r="O504" s="65">
        <f>$L$504-EFEITO!$O$504*EFEITO!$AA$504</f>
        <v>0</v>
      </c>
      <c r="P504" s="48"/>
      <c r="Q504" s="48"/>
      <c r="R504" s="48"/>
      <c r="S504" s="48"/>
      <c r="T504" s="48"/>
      <c r="U504" s="48"/>
      <c r="V504" s="48"/>
      <c r="W504" s="48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</row>
    <row r="505" spans="1:36" ht="11.25" customHeight="1" x14ac:dyDescent="0.2">
      <c r="A505" s="44" t="s">
        <v>28</v>
      </c>
      <c r="B505" s="44" t="s">
        <v>33</v>
      </c>
      <c r="C505" s="44" t="s">
        <v>23</v>
      </c>
      <c r="D505" s="44" t="s">
        <v>34</v>
      </c>
      <c r="E505" s="44" t="s">
        <v>25</v>
      </c>
      <c r="F505" s="44" t="s">
        <v>25</v>
      </c>
      <c r="G505" s="44" t="s">
        <v>25</v>
      </c>
      <c r="H505" s="44" t="s">
        <v>25</v>
      </c>
      <c r="I505" s="64">
        <v>44621</v>
      </c>
      <c r="J505" s="65">
        <f>EFEITO!$J$505*EFEITO!$Y$505</f>
        <v>0</v>
      </c>
      <c r="K505" s="65">
        <f ca="1">EFEITO!$L$505*EFEITO!$Z$505</f>
        <v>2685.6729609150798</v>
      </c>
      <c r="L505" s="65">
        <f>EFEITO!$N$505*EFEITO!$AA$505</f>
        <v>877.44425561549167</v>
      </c>
      <c r="M505" s="65">
        <f>$J$505-EFEITO!$K$505*EFEITO!$Y$505</f>
        <v>0</v>
      </c>
      <c r="N505" s="65">
        <f ca="1">$K$505-EFEITO!$M$505*EFEITO!$Z$505</f>
        <v>0</v>
      </c>
      <c r="O505" s="65">
        <f>$L$505-EFEITO!$O$505*EFEITO!$AA$505</f>
        <v>0</v>
      </c>
      <c r="P505" s="48"/>
      <c r="Q505" s="48"/>
      <c r="R505" s="48"/>
      <c r="S505" s="48"/>
      <c r="T505" s="48"/>
      <c r="U505" s="48"/>
      <c r="V505" s="48"/>
      <c r="W505" s="48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</row>
    <row r="506" spans="1:36" ht="11.25" customHeight="1" x14ac:dyDescent="0.2">
      <c r="A506" s="44" t="s">
        <v>21</v>
      </c>
      <c r="B506" s="44" t="s">
        <v>33</v>
      </c>
      <c r="C506" s="44" t="s">
        <v>23</v>
      </c>
      <c r="D506" s="44" t="s">
        <v>34</v>
      </c>
      <c r="E506" s="44" t="s">
        <v>25</v>
      </c>
      <c r="F506" s="44" t="s">
        <v>25</v>
      </c>
      <c r="G506" s="44" t="s">
        <v>25</v>
      </c>
      <c r="H506" s="44" t="s">
        <v>25</v>
      </c>
      <c r="I506" s="64">
        <v>44652</v>
      </c>
      <c r="J506" s="65">
        <f>EFEITO!$J$506*EFEITO!$Y$506</f>
        <v>0</v>
      </c>
      <c r="K506" s="65">
        <f ca="1">EFEITO!$L$506*EFEITO!$Z$506</f>
        <v>61616.262860604256</v>
      </c>
      <c r="L506" s="65">
        <f>EFEITO!$N$506*EFEITO!$AA$506</f>
        <v>20130.833756136133</v>
      </c>
      <c r="M506" s="65">
        <f>$J$506-EFEITO!$K$506*EFEITO!$Y$506</f>
        <v>0</v>
      </c>
      <c r="N506" s="65">
        <f ca="1">$K$506-EFEITO!$M$506*EFEITO!$Z$506</f>
        <v>0</v>
      </c>
      <c r="O506" s="65">
        <f>$L$506-EFEITO!$O$506*EFEITO!$AA$506</f>
        <v>0</v>
      </c>
      <c r="P506" s="48"/>
      <c r="Q506" s="48"/>
      <c r="R506" s="48"/>
      <c r="S506" s="48"/>
      <c r="T506" s="48"/>
      <c r="U506" s="48"/>
      <c r="V506" s="48"/>
      <c r="W506" s="48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</row>
    <row r="507" spans="1:36" ht="11.25" customHeight="1" x14ac:dyDescent="0.2">
      <c r="A507" s="44" t="s">
        <v>28</v>
      </c>
      <c r="B507" s="44" t="s">
        <v>33</v>
      </c>
      <c r="C507" s="44" t="s">
        <v>23</v>
      </c>
      <c r="D507" s="44" t="s">
        <v>34</v>
      </c>
      <c r="E507" s="44" t="s">
        <v>25</v>
      </c>
      <c r="F507" s="44" t="s">
        <v>25</v>
      </c>
      <c r="G507" s="44" t="s">
        <v>25</v>
      </c>
      <c r="H507" s="44" t="s">
        <v>25</v>
      </c>
      <c r="I507" s="64">
        <v>44652</v>
      </c>
      <c r="J507" s="65">
        <f>EFEITO!$J$507*EFEITO!$Y$507</f>
        <v>0</v>
      </c>
      <c r="K507" s="65">
        <f ca="1">EFEITO!$L$507*EFEITO!$Z$507</f>
        <v>2233.834776653403</v>
      </c>
      <c r="L507" s="65">
        <f>EFEITO!$N$507*EFEITO!$AA$507</f>
        <v>729.82284935422558</v>
      </c>
      <c r="M507" s="65">
        <f>$J$507-EFEITO!$K$507*EFEITO!$Y$507</f>
        <v>0</v>
      </c>
      <c r="N507" s="65">
        <f ca="1">$K$507-EFEITO!$M$507*EFEITO!$Z$507</f>
        <v>0</v>
      </c>
      <c r="O507" s="65">
        <f>$L$507-EFEITO!$O$507*EFEITO!$AA$507</f>
        <v>0</v>
      </c>
      <c r="P507" s="48"/>
      <c r="Q507" s="48"/>
      <c r="R507" s="48"/>
      <c r="S507" s="48"/>
      <c r="T507" s="48"/>
      <c r="U507" s="48"/>
      <c r="V507" s="48"/>
      <c r="W507" s="48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</row>
    <row r="508" spans="1:36" ht="11.25" customHeight="1" x14ac:dyDescent="0.2">
      <c r="A508" s="44" t="s">
        <v>21</v>
      </c>
      <c r="B508" s="44" t="s">
        <v>33</v>
      </c>
      <c r="C508" s="44" t="s">
        <v>23</v>
      </c>
      <c r="D508" s="44" t="s">
        <v>34</v>
      </c>
      <c r="E508" s="44" t="s">
        <v>25</v>
      </c>
      <c r="F508" s="44" t="s">
        <v>25</v>
      </c>
      <c r="G508" s="44" t="s">
        <v>25</v>
      </c>
      <c r="H508" s="44" t="s">
        <v>25</v>
      </c>
      <c r="I508" s="64">
        <v>44682</v>
      </c>
      <c r="J508" s="65">
        <f>EFEITO!$J$508*EFEITO!$Y$508</f>
        <v>0</v>
      </c>
      <c r="K508" s="65">
        <f ca="1">EFEITO!$L$508*EFEITO!$Z$508</f>
        <v>65121.230266026934</v>
      </c>
      <c r="L508" s="65">
        <f>EFEITO!$N$508*EFEITO!$AA$508</f>
        <v>21275.952153187645</v>
      </c>
      <c r="M508" s="65">
        <f>$J$508-EFEITO!$K$508*EFEITO!$Y$508</f>
        <v>0</v>
      </c>
      <c r="N508" s="65">
        <f ca="1">$K$508-EFEITO!$M$508*EFEITO!$Z$508</f>
        <v>0</v>
      </c>
      <c r="O508" s="65">
        <f>$L$508-EFEITO!$O$508*EFEITO!$AA$508</f>
        <v>0</v>
      </c>
      <c r="P508" s="48"/>
      <c r="Q508" s="48"/>
      <c r="R508" s="48"/>
      <c r="S508" s="48"/>
      <c r="T508" s="48"/>
      <c r="U508" s="48"/>
      <c r="V508" s="48"/>
      <c r="W508" s="48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</row>
    <row r="509" spans="1:36" ht="11.25" customHeight="1" x14ac:dyDescent="0.2">
      <c r="A509" s="44" t="s">
        <v>28</v>
      </c>
      <c r="B509" s="44" t="s">
        <v>33</v>
      </c>
      <c r="C509" s="44" t="s">
        <v>23</v>
      </c>
      <c r="D509" s="44" t="s">
        <v>34</v>
      </c>
      <c r="E509" s="44" t="s">
        <v>25</v>
      </c>
      <c r="F509" s="44" t="s">
        <v>25</v>
      </c>
      <c r="G509" s="44" t="s">
        <v>25</v>
      </c>
      <c r="H509" s="44" t="s">
        <v>25</v>
      </c>
      <c r="I509" s="64">
        <v>44682</v>
      </c>
      <c r="J509" s="65">
        <f>EFEITO!$J$509*EFEITO!$Y$509</f>
        <v>0</v>
      </c>
      <c r="K509" s="65">
        <f ca="1">EFEITO!$L$509*EFEITO!$Z$509</f>
        <v>3125.4565846030778</v>
      </c>
      <c r="L509" s="65">
        <f>EFEITO!$N$509*EFEITO!$AA$509</f>
        <v>1021.1272802929703</v>
      </c>
      <c r="M509" s="65">
        <f>$J$509-EFEITO!$K$509*EFEITO!$Y$509</f>
        <v>0</v>
      </c>
      <c r="N509" s="65">
        <f ca="1">$K$509-EFEITO!$M$509*EFEITO!$Z$509</f>
        <v>0</v>
      </c>
      <c r="O509" s="65">
        <f>$L$509-EFEITO!$O$509*EFEITO!$AA$509</f>
        <v>0</v>
      </c>
      <c r="P509" s="48"/>
      <c r="Q509" s="48"/>
      <c r="R509" s="48"/>
      <c r="S509" s="48"/>
      <c r="T509" s="48"/>
      <c r="U509" s="48"/>
      <c r="V509" s="48"/>
      <c r="W509" s="48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</row>
    <row r="510" spans="1:36" ht="11.25" customHeight="1" x14ac:dyDescent="0.2">
      <c r="A510" s="44" t="s">
        <v>21</v>
      </c>
      <c r="B510" s="44" t="s">
        <v>33</v>
      </c>
      <c r="C510" s="44" t="s">
        <v>23</v>
      </c>
      <c r="D510" s="44" t="s">
        <v>34</v>
      </c>
      <c r="E510" s="44" t="s">
        <v>25</v>
      </c>
      <c r="F510" s="44" t="s">
        <v>25</v>
      </c>
      <c r="G510" s="44" t="s">
        <v>25</v>
      </c>
      <c r="H510" s="44" t="s">
        <v>25</v>
      </c>
      <c r="I510" s="64">
        <v>44713</v>
      </c>
      <c r="J510" s="65">
        <f>EFEITO!$J$510*EFEITO!$Y$510</f>
        <v>0</v>
      </c>
      <c r="K510" s="65">
        <f ca="1">EFEITO!$L$510*EFEITO!$Z$510</f>
        <v>64362.208624387727</v>
      </c>
      <c r="L510" s="65">
        <f>EFEITO!$N$510*EFEITO!$AA$510</f>
        <v>21027.969919670559</v>
      </c>
      <c r="M510" s="65">
        <f>$J$510-EFEITO!$K$510*EFEITO!$Y$510</f>
        <v>0</v>
      </c>
      <c r="N510" s="65">
        <f ca="1">$K$510-EFEITO!$M$510*EFEITO!$Z$510</f>
        <v>0</v>
      </c>
      <c r="O510" s="65">
        <f>$L$510-EFEITO!$O$510*EFEITO!$AA$510</f>
        <v>0</v>
      </c>
      <c r="P510" s="48"/>
      <c r="Q510" s="48"/>
      <c r="R510" s="48"/>
      <c r="S510" s="48"/>
      <c r="T510" s="48"/>
      <c r="U510" s="48"/>
      <c r="V510" s="48"/>
      <c r="W510" s="48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</row>
    <row r="511" spans="1:36" ht="11.25" customHeight="1" x14ac:dyDescent="0.2">
      <c r="A511" s="44" t="s">
        <v>28</v>
      </c>
      <c r="B511" s="44" t="s">
        <v>33</v>
      </c>
      <c r="C511" s="44" t="s">
        <v>23</v>
      </c>
      <c r="D511" s="44" t="s">
        <v>34</v>
      </c>
      <c r="E511" s="44" t="s">
        <v>25</v>
      </c>
      <c r="F511" s="44" t="s">
        <v>25</v>
      </c>
      <c r="G511" s="44" t="s">
        <v>25</v>
      </c>
      <c r="H511" s="44" t="s">
        <v>25</v>
      </c>
      <c r="I511" s="64">
        <v>44713</v>
      </c>
      <c r="J511" s="65">
        <f>EFEITO!$J$511*EFEITO!$Y$511</f>
        <v>0</v>
      </c>
      <c r="K511" s="65">
        <f ca="1">EFEITO!$L$511*EFEITO!$Z$511</f>
        <v>6374.3684964607255</v>
      </c>
      <c r="L511" s="65">
        <f>EFEITO!$N$511*EFEITO!$AA$511</f>
        <v>2082.5890202543824</v>
      </c>
      <c r="M511" s="65">
        <f>$J$511-EFEITO!$K$511*EFEITO!$Y$511</f>
        <v>0</v>
      </c>
      <c r="N511" s="65">
        <f ca="1">$K$511-EFEITO!$M$511*EFEITO!$Z$511</f>
        <v>0</v>
      </c>
      <c r="O511" s="65">
        <f>$L$511-EFEITO!$O$511*EFEITO!$AA$511</f>
        <v>0</v>
      </c>
      <c r="P511" s="48"/>
      <c r="Q511" s="48"/>
      <c r="R511" s="48"/>
      <c r="S511" s="48"/>
      <c r="T511" s="48"/>
      <c r="U511" s="48"/>
      <c r="V511" s="48"/>
      <c r="W511" s="48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</row>
    <row r="512" spans="1:36" ht="11.25" customHeight="1" x14ac:dyDescent="0.2">
      <c r="A512" s="44" t="s">
        <v>21</v>
      </c>
      <c r="B512" s="44" t="s">
        <v>33</v>
      </c>
      <c r="C512" s="44" t="s">
        <v>23</v>
      </c>
      <c r="D512" s="44" t="s">
        <v>34</v>
      </c>
      <c r="E512" s="44" t="s">
        <v>25</v>
      </c>
      <c r="F512" s="44" t="s">
        <v>25</v>
      </c>
      <c r="G512" s="44" t="s">
        <v>25</v>
      </c>
      <c r="H512" s="44" t="s">
        <v>25</v>
      </c>
      <c r="I512" s="64">
        <v>44743</v>
      </c>
      <c r="J512" s="65">
        <f>EFEITO!$J$512*EFEITO!$Y$512</f>
        <v>0</v>
      </c>
      <c r="K512" s="65">
        <f ca="1">EFEITO!$L$512*EFEITO!$Z$512</f>
        <v>59552.438955489975</v>
      </c>
      <c r="L512" s="65">
        <f>EFEITO!$N$512*EFEITO!$AA$512</f>
        <v>19456.555667739456</v>
      </c>
      <c r="M512" s="65">
        <f>$J$512-EFEITO!$K$512*EFEITO!$Y$512</f>
        <v>0</v>
      </c>
      <c r="N512" s="65">
        <f ca="1">$K$512-EFEITO!$M$512*EFEITO!$Z$512</f>
        <v>0</v>
      </c>
      <c r="O512" s="65">
        <f>$L$512-EFEITO!$O$512*EFEITO!$AA$512</f>
        <v>0</v>
      </c>
      <c r="P512" s="48"/>
      <c r="Q512" s="48"/>
      <c r="R512" s="48"/>
      <c r="S512" s="48"/>
      <c r="T512" s="48"/>
      <c r="U512" s="48"/>
      <c r="V512" s="48"/>
      <c r="W512" s="48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</row>
    <row r="513" spans="1:36" ht="11.25" customHeight="1" x14ac:dyDescent="0.2">
      <c r="A513" s="44" t="s">
        <v>28</v>
      </c>
      <c r="B513" s="44" t="s">
        <v>33</v>
      </c>
      <c r="C513" s="44" t="s">
        <v>23</v>
      </c>
      <c r="D513" s="44" t="s">
        <v>34</v>
      </c>
      <c r="E513" s="44" t="s">
        <v>25</v>
      </c>
      <c r="F513" s="44" t="s">
        <v>25</v>
      </c>
      <c r="G513" s="44" t="s">
        <v>25</v>
      </c>
      <c r="H513" s="44" t="s">
        <v>25</v>
      </c>
      <c r="I513" s="64">
        <v>44743</v>
      </c>
      <c r="J513" s="65">
        <f>EFEITO!$J$513*EFEITO!$Y$513</f>
        <v>0</v>
      </c>
      <c r="K513" s="65">
        <f ca="1">EFEITO!$L$513*EFEITO!$Z$513</f>
        <v>7189.090521440382</v>
      </c>
      <c r="L513" s="65">
        <f>EFEITO!$N$513*EFEITO!$AA$513</f>
        <v>2348.7692928137949</v>
      </c>
      <c r="M513" s="65">
        <f>$J$513-EFEITO!$K$513*EFEITO!$Y$513</f>
        <v>0</v>
      </c>
      <c r="N513" s="65">
        <f ca="1">$K$513-EFEITO!$M$513*EFEITO!$Z$513</f>
        <v>0</v>
      </c>
      <c r="O513" s="65">
        <f>$L$513-EFEITO!$O$513*EFEITO!$AA$513</f>
        <v>0</v>
      </c>
      <c r="P513" s="48"/>
      <c r="Q513" s="48"/>
      <c r="R513" s="48"/>
      <c r="S513" s="48"/>
      <c r="T513" s="48"/>
      <c r="U513" s="48"/>
      <c r="V513" s="48"/>
      <c r="W513" s="48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</row>
    <row r="514" spans="1:36" ht="11.25" customHeight="1" x14ac:dyDescent="0.2">
      <c r="A514" s="44" t="s">
        <v>21</v>
      </c>
      <c r="B514" s="44" t="s">
        <v>33</v>
      </c>
      <c r="C514" s="44" t="s">
        <v>23</v>
      </c>
      <c r="D514" s="44" t="s">
        <v>34</v>
      </c>
      <c r="E514" s="44" t="s">
        <v>25</v>
      </c>
      <c r="F514" s="44" t="s">
        <v>25</v>
      </c>
      <c r="G514" s="44" t="s">
        <v>25</v>
      </c>
      <c r="H514" s="44" t="s">
        <v>25</v>
      </c>
      <c r="I514" s="64">
        <v>44774</v>
      </c>
      <c r="J514" s="65">
        <f>EFEITO!$J$514*EFEITO!$Y$514</f>
        <v>0</v>
      </c>
      <c r="K514" s="65">
        <f ca="1">EFEITO!$L$514*EFEITO!$Z$514</f>
        <v>66560.295393822642</v>
      </c>
      <c r="L514" s="65">
        <f>EFEITO!$N$514*EFEITO!$AA$514</f>
        <v>21746.113430534933</v>
      </c>
      <c r="M514" s="65">
        <f>$J$514-EFEITO!$K$514*EFEITO!$Y$514</f>
        <v>0</v>
      </c>
      <c r="N514" s="65">
        <f ca="1">$K$514-EFEITO!$M$514*EFEITO!$Z$514</f>
        <v>0</v>
      </c>
      <c r="O514" s="65">
        <f>$L$514-EFEITO!$O$514*EFEITO!$AA$514</f>
        <v>0</v>
      </c>
      <c r="P514" s="48"/>
      <c r="Q514" s="48"/>
      <c r="R514" s="48"/>
      <c r="S514" s="48"/>
      <c r="T514" s="48"/>
      <c r="U514" s="48"/>
      <c r="V514" s="48"/>
      <c r="W514" s="48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</row>
    <row r="515" spans="1:36" ht="11.25" customHeight="1" x14ac:dyDescent="0.2">
      <c r="A515" s="44" t="s">
        <v>28</v>
      </c>
      <c r="B515" s="44" t="s">
        <v>33</v>
      </c>
      <c r="C515" s="44" t="s">
        <v>23</v>
      </c>
      <c r="D515" s="44" t="s">
        <v>34</v>
      </c>
      <c r="E515" s="44" t="s">
        <v>25</v>
      </c>
      <c r="F515" s="44" t="s">
        <v>25</v>
      </c>
      <c r="G515" s="44" t="s">
        <v>25</v>
      </c>
      <c r="H515" s="44" t="s">
        <v>25</v>
      </c>
      <c r="I515" s="64">
        <v>44774</v>
      </c>
      <c r="J515" s="65">
        <f>EFEITO!$J$515*EFEITO!$Y$515</f>
        <v>0</v>
      </c>
      <c r="K515" s="65">
        <f ca="1">EFEITO!$L$515*EFEITO!$Z$515</f>
        <v>5338.0919616269084</v>
      </c>
      <c r="L515" s="65">
        <f>EFEITO!$N$515*EFEITO!$AA$515</f>
        <v>1744.024010310191</v>
      </c>
      <c r="M515" s="65">
        <f>$J$515-EFEITO!$K$515*EFEITO!$Y$515</f>
        <v>0</v>
      </c>
      <c r="N515" s="65">
        <f ca="1">$K$515-EFEITO!$M$515*EFEITO!$Z$515</f>
        <v>0</v>
      </c>
      <c r="O515" s="65">
        <f>$L$515-EFEITO!$O$515*EFEITO!$AA$515</f>
        <v>0</v>
      </c>
      <c r="P515" s="48"/>
      <c r="Q515" s="48"/>
      <c r="R515" s="48"/>
      <c r="S515" s="48"/>
      <c r="T515" s="48"/>
      <c r="U515" s="48"/>
      <c r="V515" s="48"/>
      <c r="W515" s="48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</row>
    <row r="516" spans="1:36" ht="11.25" customHeight="1" x14ac:dyDescent="0.2">
      <c r="A516" s="44" t="s">
        <v>28</v>
      </c>
      <c r="B516" s="44" t="s">
        <v>33</v>
      </c>
      <c r="C516" s="44" t="s">
        <v>23</v>
      </c>
      <c r="D516" s="44" t="s">
        <v>34</v>
      </c>
      <c r="E516" s="44" t="s">
        <v>25</v>
      </c>
      <c r="F516" s="44" t="s">
        <v>25</v>
      </c>
      <c r="G516" s="44" t="s">
        <v>25</v>
      </c>
      <c r="H516" s="44" t="s">
        <v>25</v>
      </c>
      <c r="I516" s="64">
        <v>44774</v>
      </c>
      <c r="J516" s="65">
        <f>EFEITO!$J$516*EFEITO!$Y$516</f>
        <v>0</v>
      </c>
      <c r="K516" s="65">
        <f ca="1">EFEITO!$L$516*EFEITO!$Z$516</f>
        <v>-749.04545357823463</v>
      </c>
      <c r="L516" s="65">
        <f>EFEITO!$N$516*EFEITO!$AA$516</f>
        <v>-244.72288324084752</v>
      </c>
      <c r="M516" s="65">
        <f>$J$516-EFEITO!$K$516*EFEITO!$Y$516</f>
        <v>0</v>
      </c>
      <c r="N516" s="65">
        <f ca="1">$K$516-EFEITO!$M$516*EFEITO!$Z$516</f>
        <v>0</v>
      </c>
      <c r="O516" s="65">
        <f>$L$516-EFEITO!$O$516*EFEITO!$AA$516</f>
        <v>0</v>
      </c>
      <c r="P516" s="48"/>
      <c r="Q516" s="48"/>
      <c r="R516" s="48"/>
      <c r="S516" s="48"/>
      <c r="T516" s="48"/>
      <c r="U516" s="48"/>
      <c r="V516" s="48"/>
      <c r="W516" s="48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</row>
    <row r="517" spans="1:36" ht="11.25" customHeight="1" x14ac:dyDescent="0.2">
      <c r="A517" s="44" t="s">
        <v>21</v>
      </c>
      <c r="B517" s="44" t="s">
        <v>33</v>
      </c>
      <c r="C517" s="44" t="s">
        <v>23</v>
      </c>
      <c r="D517" s="44" t="s">
        <v>42</v>
      </c>
      <c r="E517" s="44" t="s">
        <v>25</v>
      </c>
      <c r="F517" s="44" t="s">
        <v>25</v>
      </c>
      <c r="G517" s="44" t="s">
        <v>25</v>
      </c>
      <c r="H517" s="44" t="s">
        <v>25</v>
      </c>
      <c r="I517" s="64">
        <v>44440</v>
      </c>
      <c r="J517" s="65">
        <f>EFEITO!$J$517*EFEITO!$Y$517</f>
        <v>0</v>
      </c>
      <c r="K517" s="65">
        <f ca="1">EFEITO!$L$517*EFEITO!$Z$517</f>
        <v>45164.697399050776</v>
      </c>
      <c r="L517" s="65">
        <f>EFEITO!$N$517*EFEITO!$AA$517</f>
        <v>14755.89353809714</v>
      </c>
      <c r="M517" s="65">
        <f>$J$517-EFEITO!$K$517*EFEITO!$Y$517</f>
        <v>0</v>
      </c>
      <c r="N517" s="65">
        <f ca="1">$K$517-EFEITO!$M$517*EFEITO!$Z$517</f>
        <v>0</v>
      </c>
      <c r="O517" s="65">
        <f>$L$517-EFEITO!$O$517*EFEITO!$AA$517</f>
        <v>0</v>
      </c>
      <c r="P517" s="48"/>
      <c r="Q517" s="48"/>
      <c r="R517" s="48"/>
      <c r="S517" s="48"/>
      <c r="T517" s="48"/>
      <c r="U517" s="48"/>
      <c r="V517" s="48"/>
      <c r="W517" s="48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</row>
    <row r="518" spans="1:36" ht="11.25" customHeight="1" x14ac:dyDescent="0.2">
      <c r="A518" s="44" t="s">
        <v>21</v>
      </c>
      <c r="B518" s="44" t="s">
        <v>33</v>
      </c>
      <c r="C518" s="44" t="s">
        <v>23</v>
      </c>
      <c r="D518" s="44" t="s">
        <v>42</v>
      </c>
      <c r="E518" s="44" t="s">
        <v>25</v>
      </c>
      <c r="F518" s="44" t="s">
        <v>25</v>
      </c>
      <c r="G518" s="44" t="s">
        <v>25</v>
      </c>
      <c r="H518" s="44" t="s">
        <v>25</v>
      </c>
      <c r="I518" s="64">
        <v>44470</v>
      </c>
      <c r="J518" s="65">
        <f>EFEITO!$J$518*EFEITO!$Y$518</f>
        <v>0</v>
      </c>
      <c r="K518" s="65">
        <f ca="1">EFEITO!$L$518*EFEITO!$Z$518</f>
        <v>43946.355432104159</v>
      </c>
      <c r="L518" s="65">
        <f>EFEITO!$N$518*EFEITO!$AA$518</f>
        <v>14357.84538561161</v>
      </c>
      <c r="M518" s="65">
        <f>$J$518-EFEITO!$K$518*EFEITO!$Y$518</f>
        <v>0</v>
      </c>
      <c r="N518" s="65">
        <f ca="1">$K$518-EFEITO!$M$518*EFEITO!$Z$518</f>
        <v>0</v>
      </c>
      <c r="O518" s="65">
        <f>$L$518-EFEITO!$O$518*EFEITO!$AA$518</f>
        <v>0</v>
      </c>
      <c r="P518" s="48"/>
      <c r="Q518" s="48"/>
      <c r="R518" s="48"/>
      <c r="S518" s="48"/>
      <c r="T518" s="48"/>
      <c r="U518" s="48"/>
      <c r="V518" s="48"/>
      <c r="W518" s="48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</row>
    <row r="519" spans="1:36" ht="11.25" customHeight="1" x14ac:dyDescent="0.2">
      <c r="A519" s="44" t="s">
        <v>21</v>
      </c>
      <c r="B519" s="44" t="s">
        <v>33</v>
      </c>
      <c r="C519" s="44" t="s">
        <v>23</v>
      </c>
      <c r="D519" s="44" t="s">
        <v>42</v>
      </c>
      <c r="E519" s="44" t="s">
        <v>25</v>
      </c>
      <c r="F519" s="44" t="s">
        <v>25</v>
      </c>
      <c r="G519" s="44" t="s">
        <v>25</v>
      </c>
      <c r="H519" s="44" t="s">
        <v>25</v>
      </c>
      <c r="I519" s="64">
        <v>44501</v>
      </c>
      <c r="J519" s="65">
        <f>EFEITO!$J$519*EFEITO!$Y$519</f>
        <v>0</v>
      </c>
      <c r="K519" s="65">
        <f ca="1">EFEITO!$L$519*EFEITO!$Z$519</f>
        <v>46647.408349613244</v>
      </c>
      <c r="L519" s="65">
        <f>EFEITO!$N$519*EFEITO!$AA$519</f>
        <v>15240.31447290297</v>
      </c>
      <c r="M519" s="65">
        <f>$J$519-EFEITO!$K$519*EFEITO!$Y$519</f>
        <v>0</v>
      </c>
      <c r="N519" s="65">
        <f ca="1">$K$519-EFEITO!$M$519*EFEITO!$Z$519</f>
        <v>0</v>
      </c>
      <c r="O519" s="65">
        <f>$L$519-EFEITO!$O$519*EFEITO!$AA$519</f>
        <v>0</v>
      </c>
      <c r="P519" s="48"/>
      <c r="Q519" s="48"/>
      <c r="R519" s="48"/>
      <c r="S519" s="48"/>
      <c r="T519" s="48"/>
      <c r="U519" s="48"/>
      <c r="V519" s="48"/>
      <c r="W519" s="48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</row>
    <row r="520" spans="1:36" ht="11.25" customHeight="1" x14ac:dyDescent="0.2">
      <c r="A520" s="44" t="s">
        <v>21</v>
      </c>
      <c r="B520" s="44" t="s">
        <v>33</v>
      </c>
      <c r="C520" s="44" t="s">
        <v>23</v>
      </c>
      <c r="D520" s="44" t="s">
        <v>42</v>
      </c>
      <c r="E520" s="44" t="s">
        <v>25</v>
      </c>
      <c r="F520" s="44" t="s">
        <v>25</v>
      </c>
      <c r="G520" s="44" t="s">
        <v>25</v>
      </c>
      <c r="H520" s="44" t="s">
        <v>25</v>
      </c>
      <c r="I520" s="64">
        <v>44531</v>
      </c>
      <c r="J520" s="65">
        <f>EFEITO!$J$520*EFEITO!$Y$520</f>
        <v>0</v>
      </c>
      <c r="K520" s="65">
        <f ca="1">EFEITO!$L$520*EFEITO!$Z$520</f>
        <v>53632.818364808714</v>
      </c>
      <c r="L520" s="65">
        <f>EFEITO!$N$520*EFEITO!$AA$520</f>
        <v>17522.538697576911</v>
      </c>
      <c r="M520" s="65">
        <f>$J$520-EFEITO!$K$520*EFEITO!$Y$520</f>
        <v>0</v>
      </c>
      <c r="N520" s="65">
        <f ca="1">$K$520-EFEITO!$M$520*EFEITO!$Z$520</f>
        <v>0</v>
      </c>
      <c r="O520" s="65">
        <f>$L$520-EFEITO!$O$520*EFEITO!$AA$520</f>
        <v>0</v>
      </c>
      <c r="P520" s="48"/>
      <c r="Q520" s="48"/>
      <c r="R520" s="48"/>
      <c r="S520" s="48"/>
      <c r="T520" s="48"/>
      <c r="U520" s="48"/>
      <c r="V520" s="48"/>
      <c r="W520" s="48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</row>
    <row r="521" spans="1:36" ht="11.25" customHeight="1" x14ac:dyDescent="0.2">
      <c r="A521" s="44" t="s">
        <v>21</v>
      </c>
      <c r="B521" s="44" t="s">
        <v>33</v>
      </c>
      <c r="C521" s="44" t="s">
        <v>23</v>
      </c>
      <c r="D521" s="44" t="s">
        <v>42</v>
      </c>
      <c r="E521" s="44" t="s">
        <v>25</v>
      </c>
      <c r="F521" s="44" t="s">
        <v>25</v>
      </c>
      <c r="G521" s="44" t="s">
        <v>25</v>
      </c>
      <c r="H521" s="44" t="s">
        <v>25</v>
      </c>
      <c r="I521" s="64">
        <v>44562</v>
      </c>
      <c r="J521" s="65">
        <f>EFEITO!$J$521*EFEITO!$Y$521</f>
        <v>0</v>
      </c>
      <c r="K521" s="65">
        <f ca="1">EFEITO!$L$521*EFEITO!$Z$521</f>
        <v>55076.455912132355</v>
      </c>
      <c r="L521" s="65">
        <f>EFEITO!$N$521*EFEITO!$AA$521</f>
        <v>17994.193843800807</v>
      </c>
      <c r="M521" s="65">
        <f>$J$521-EFEITO!$K$521*EFEITO!$Y$521</f>
        <v>0</v>
      </c>
      <c r="N521" s="65">
        <f ca="1">$K$521-EFEITO!$M$521*EFEITO!$Z$521</f>
        <v>0</v>
      </c>
      <c r="O521" s="65">
        <f>$L$521-EFEITO!$O$521*EFEITO!$AA$521</f>
        <v>0</v>
      </c>
      <c r="P521" s="48"/>
      <c r="Q521" s="48"/>
      <c r="R521" s="48"/>
      <c r="S521" s="48"/>
      <c r="T521" s="48"/>
      <c r="U521" s="48"/>
      <c r="V521" s="48"/>
      <c r="W521" s="48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</row>
    <row r="522" spans="1:36" ht="11.25" customHeight="1" x14ac:dyDescent="0.2">
      <c r="A522" s="44" t="s">
        <v>27</v>
      </c>
      <c r="B522" s="44" t="s">
        <v>33</v>
      </c>
      <c r="C522" s="44" t="s">
        <v>23</v>
      </c>
      <c r="D522" s="44" t="s">
        <v>42</v>
      </c>
      <c r="E522" s="44" t="s">
        <v>25</v>
      </c>
      <c r="F522" s="44" t="s">
        <v>25</v>
      </c>
      <c r="G522" s="44" t="s">
        <v>25</v>
      </c>
      <c r="H522" s="44" t="s">
        <v>25</v>
      </c>
      <c r="I522" s="64">
        <v>44562</v>
      </c>
      <c r="J522" s="65">
        <f>EFEITO!$J$522*EFEITO!$Y$522</f>
        <v>0</v>
      </c>
      <c r="K522" s="65">
        <f ca="1">EFEITO!$L$522*EFEITO!$Z$522</f>
        <v>-1091.9769181742631</v>
      </c>
      <c r="L522" s="65">
        <f>EFEITO!$N$522*EFEITO!$AA$522</f>
        <v>-356.76304898651853</v>
      </c>
      <c r="M522" s="65">
        <f>$J$522-EFEITO!$K$522*EFEITO!$Y$522</f>
        <v>0</v>
      </c>
      <c r="N522" s="65">
        <f ca="1">$K$522-EFEITO!$M$522*EFEITO!$Z$522</f>
        <v>0</v>
      </c>
      <c r="O522" s="65">
        <f>$L$522-EFEITO!$O$522*EFEITO!$AA$522</f>
        <v>0</v>
      </c>
      <c r="P522" s="48"/>
      <c r="Q522" s="48"/>
      <c r="R522" s="48"/>
      <c r="S522" s="48"/>
      <c r="T522" s="48"/>
      <c r="U522" s="48"/>
      <c r="V522" s="48"/>
      <c r="W522" s="48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</row>
    <row r="523" spans="1:36" ht="11.25" customHeight="1" x14ac:dyDescent="0.2">
      <c r="A523" s="44" t="s">
        <v>21</v>
      </c>
      <c r="B523" s="44" t="s">
        <v>33</v>
      </c>
      <c r="C523" s="44" t="s">
        <v>23</v>
      </c>
      <c r="D523" s="44" t="s">
        <v>42</v>
      </c>
      <c r="E523" s="44" t="s">
        <v>25</v>
      </c>
      <c r="F523" s="44" t="s">
        <v>25</v>
      </c>
      <c r="G523" s="44" t="s">
        <v>25</v>
      </c>
      <c r="H523" s="44" t="s">
        <v>25</v>
      </c>
      <c r="I523" s="64">
        <v>44593</v>
      </c>
      <c r="J523" s="65">
        <f>EFEITO!$J$523*EFEITO!$Y$523</f>
        <v>0</v>
      </c>
      <c r="K523" s="65">
        <f ca="1">EFEITO!$L$523*EFEITO!$Z$523</f>
        <v>64541.364334982747</v>
      </c>
      <c r="L523" s="65">
        <f>EFEITO!$N$523*EFEITO!$AA$523</f>
        <v>21086.502418381329</v>
      </c>
      <c r="M523" s="65">
        <f>$J$523-EFEITO!$K$523*EFEITO!$Y$523</f>
        <v>0</v>
      </c>
      <c r="N523" s="65">
        <f ca="1">$K$523-EFEITO!$M$523*EFEITO!$Z$523</f>
        <v>0</v>
      </c>
      <c r="O523" s="65">
        <f>$L$523-EFEITO!$O$523*EFEITO!$AA$523</f>
        <v>0</v>
      </c>
      <c r="P523" s="48"/>
      <c r="Q523" s="48"/>
      <c r="R523" s="48"/>
      <c r="S523" s="48"/>
      <c r="T523" s="48"/>
      <c r="U523" s="48"/>
      <c r="V523" s="48"/>
      <c r="W523" s="48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</row>
    <row r="524" spans="1:36" ht="11.25" customHeight="1" x14ac:dyDescent="0.2">
      <c r="A524" s="44" t="s">
        <v>21</v>
      </c>
      <c r="B524" s="44" t="s">
        <v>33</v>
      </c>
      <c r="C524" s="44" t="s">
        <v>23</v>
      </c>
      <c r="D524" s="44" t="s">
        <v>42</v>
      </c>
      <c r="E524" s="44" t="s">
        <v>25</v>
      </c>
      <c r="F524" s="44" t="s">
        <v>25</v>
      </c>
      <c r="G524" s="44" t="s">
        <v>25</v>
      </c>
      <c r="H524" s="44" t="s">
        <v>25</v>
      </c>
      <c r="I524" s="64">
        <v>44621</v>
      </c>
      <c r="J524" s="65">
        <f>EFEITO!$J$524*EFEITO!$Y$524</f>
        <v>0</v>
      </c>
      <c r="K524" s="65">
        <f ca="1">EFEITO!$L$524*EFEITO!$Z$524</f>
        <v>61613.353139086466</v>
      </c>
      <c r="L524" s="65">
        <f>EFEITO!$N$524*EFEITO!$AA$524</f>
        <v>20129.883112305561</v>
      </c>
      <c r="M524" s="65">
        <f>$J$524-EFEITO!$K$524*EFEITO!$Y$524</f>
        <v>0</v>
      </c>
      <c r="N524" s="65">
        <f ca="1">$K$524-EFEITO!$M$524*EFEITO!$Z$524</f>
        <v>0</v>
      </c>
      <c r="O524" s="65">
        <f>$L$524-EFEITO!$O$524*EFEITO!$AA$524</f>
        <v>0</v>
      </c>
      <c r="P524" s="48"/>
      <c r="Q524" s="48"/>
      <c r="R524" s="48"/>
      <c r="S524" s="48"/>
      <c r="T524" s="48"/>
      <c r="U524" s="48"/>
      <c r="V524" s="48"/>
      <c r="W524" s="48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</row>
    <row r="525" spans="1:36" ht="11.25" customHeight="1" x14ac:dyDescent="0.2">
      <c r="A525" s="44" t="s">
        <v>21</v>
      </c>
      <c r="B525" s="44" t="s">
        <v>33</v>
      </c>
      <c r="C525" s="44" t="s">
        <v>23</v>
      </c>
      <c r="D525" s="44" t="s">
        <v>42</v>
      </c>
      <c r="E525" s="44" t="s">
        <v>25</v>
      </c>
      <c r="F525" s="44" t="s">
        <v>25</v>
      </c>
      <c r="G525" s="44" t="s">
        <v>25</v>
      </c>
      <c r="H525" s="44" t="s">
        <v>25</v>
      </c>
      <c r="I525" s="64">
        <v>44652</v>
      </c>
      <c r="J525" s="65">
        <f>EFEITO!$J$525*EFEITO!$Y$525</f>
        <v>0</v>
      </c>
      <c r="K525" s="65">
        <f ca="1">EFEITO!$L$525*EFEITO!$Z$525</f>
        <v>49726.725064434315</v>
      </c>
      <c r="L525" s="65">
        <f>EFEITO!$N$525*EFEITO!$AA$525</f>
        <v>16246.36725816834</v>
      </c>
      <c r="M525" s="65">
        <f>$J$525-EFEITO!$K$525*EFEITO!$Y$525</f>
        <v>0</v>
      </c>
      <c r="N525" s="65">
        <f ca="1">$K$525-EFEITO!$M$525*EFEITO!$Z$525</f>
        <v>0</v>
      </c>
      <c r="O525" s="65">
        <f>$L$525-EFEITO!$O$525*EFEITO!$AA$525</f>
        <v>0</v>
      </c>
      <c r="P525" s="48"/>
      <c r="Q525" s="48"/>
      <c r="R525" s="48"/>
      <c r="S525" s="48"/>
      <c r="T525" s="48"/>
      <c r="U525" s="48"/>
      <c r="V525" s="48"/>
      <c r="W525" s="48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</row>
    <row r="526" spans="1:36" ht="11.25" customHeight="1" x14ac:dyDescent="0.2">
      <c r="A526" s="44" t="s">
        <v>21</v>
      </c>
      <c r="B526" s="44" t="s">
        <v>33</v>
      </c>
      <c r="C526" s="44" t="s">
        <v>23</v>
      </c>
      <c r="D526" s="44" t="s">
        <v>42</v>
      </c>
      <c r="E526" s="44" t="s">
        <v>25</v>
      </c>
      <c r="F526" s="44" t="s">
        <v>25</v>
      </c>
      <c r="G526" s="44" t="s">
        <v>25</v>
      </c>
      <c r="H526" s="44" t="s">
        <v>25</v>
      </c>
      <c r="I526" s="64">
        <v>44682</v>
      </c>
      <c r="J526" s="65">
        <f>EFEITO!$J$526*EFEITO!$Y$526</f>
        <v>0</v>
      </c>
      <c r="K526" s="65">
        <f ca="1">EFEITO!$L$526*EFEITO!$Z$526</f>
        <v>47810.465607721955</v>
      </c>
      <c r="L526" s="65">
        <f>EFEITO!$N$526*EFEITO!$AA$526</f>
        <v>15620.300392607682</v>
      </c>
      <c r="M526" s="65">
        <f>$J$526-EFEITO!$K$526*EFEITO!$Y$526</f>
        <v>0</v>
      </c>
      <c r="N526" s="65">
        <f ca="1">$K$526-EFEITO!$M$526*EFEITO!$Z$526</f>
        <v>0</v>
      </c>
      <c r="O526" s="65">
        <f>$L$526-EFEITO!$O$526*EFEITO!$AA$526</f>
        <v>0</v>
      </c>
      <c r="P526" s="48"/>
      <c r="Q526" s="48"/>
      <c r="R526" s="48"/>
      <c r="S526" s="48"/>
      <c r="T526" s="48"/>
      <c r="U526" s="48"/>
      <c r="V526" s="48"/>
      <c r="W526" s="48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</row>
    <row r="527" spans="1:36" ht="11.25" customHeight="1" x14ac:dyDescent="0.2">
      <c r="A527" s="44" t="s">
        <v>21</v>
      </c>
      <c r="B527" s="44" t="s">
        <v>33</v>
      </c>
      <c r="C527" s="44" t="s">
        <v>23</v>
      </c>
      <c r="D527" s="44" t="s">
        <v>42</v>
      </c>
      <c r="E527" s="44" t="s">
        <v>25</v>
      </c>
      <c r="F527" s="44" t="s">
        <v>25</v>
      </c>
      <c r="G527" s="44" t="s">
        <v>25</v>
      </c>
      <c r="H527" s="44" t="s">
        <v>25</v>
      </c>
      <c r="I527" s="64">
        <v>44713</v>
      </c>
      <c r="J527" s="65">
        <f>EFEITO!$J$527*EFEITO!$Y$527</f>
        <v>0</v>
      </c>
      <c r="K527" s="65">
        <f ca="1">EFEITO!$L$527*EFEITO!$Z$527</f>
        <v>51273.034213885498</v>
      </c>
      <c r="L527" s="65">
        <f>EFEITO!$N$527*EFEITO!$AA$527</f>
        <v>16751.566550985186</v>
      </c>
      <c r="M527" s="65">
        <f>$J$527-EFEITO!$K$527*EFEITO!$Y$527</f>
        <v>0</v>
      </c>
      <c r="N527" s="65">
        <f ca="1">$K$527-EFEITO!$M$527*EFEITO!$Z$527</f>
        <v>0</v>
      </c>
      <c r="O527" s="65">
        <f>$L$527-EFEITO!$O$527*EFEITO!$AA$527</f>
        <v>0</v>
      </c>
      <c r="P527" s="48"/>
      <c r="Q527" s="48"/>
      <c r="R527" s="48"/>
      <c r="S527" s="48"/>
      <c r="T527" s="48"/>
      <c r="U527" s="48"/>
      <c r="V527" s="48"/>
      <c r="W527" s="48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</row>
    <row r="528" spans="1:36" ht="11.25" customHeight="1" x14ac:dyDescent="0.2">
      <c r="A528" s="44" t="s">
        <v>21</v>
      </c>
      <c r="B528" s="44" t="s">
        <v>33</v>
      </c>
      <c r="C528" s="44" t="s">
        <v>23</v>
      </c>
      <c r="D528" s="44" t="s">
        <v>42</v>
      </c>
      <c r="E528" s="44" t="s">
        <v>25</v>
      </c>
      <c r="F528" s="44" t="s">
        <v>25</v>
      </c>
      <c r="G528" s="44" t="s">
        <v>25</v>
      </c>
      <c r="H528" s="44" t="s">
        <v>25</v>
      </c>
      <c r="I528" s="64">
        <v>44743</v>
      </c>
      <c r="J528" s="65">
        <f>EFEITO!$J$528*EFEITO!$Y$528</f>
        <v>0</v>
      </c>
      <c r="K528" s="65">
        <f ca="1">EFEITO!$L$528*EFEITO!$Z$528</f>
        <v>46372.64750343388</v>
      </c>
      <c r="L528" s="65">
        <f>EFEITO!$N$528*EFEITO!$AA$528</f>
        <v>15150.546534044923</v>
      </c>
      <c r="M528" s="65">
        <f>$J$528-EFEITO!$K$528*EFEITO!$Y$528</f>
        <v>0</v>
      </c>
      <c r="N528" s="65">
        <f ca="1">$K$528-EFEITO!$M$528*EFEITO!$Z$528</f>
        <v>0</v>
      </c>
      <c r="O528" s="65">
        <f>$L$528-EFEITO!$O$528*EFEITO!$AA$528</f>
        <v>0</v>
      </c>
      <c r="P528" s="48"/>
      <c r="Q528" s="48"/>
      <c r="R528" s="48"/>
      <c r="S528" s="48"/>
      <c r="T528" s="48"/>
      <c r="U528" s="48"/>
      <c r="V528" s="48"/>
      <c r="W528" s="48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</row>
    <row r="529" spans="1:36" ht="11.25" customHeight="1" x14ac:dyDescent="0.2">
      <c r="A529" s="44" t="s">
        <v>21</v>
      </c>
      <c r="B529" s="44" t="s">
        <v>33</v>
      </c>
      <c r="C529" s="44" t="s">
        <v>23</v>
      </c>
      <c r="D529" s="44" t="s">
        <v>42</v>
      </c>
      <c r="E529" s="44" t="s">
        <v>25</v>
      </c>
      <c r="F529" s="44" t="s">
        <v>25</v>
      </c>
      <c r="G529" s="44" t="s">
        <v>25</v>
      </c>
      <c r="H529" s="44" t="s">
        <v>25</v>
      </c>
      <c r="I529" s="64">
        <v>44774</v>
      </c>
      <c r="J529" s="65">
        <f>EFEITO!$J$529*EFEITO!$Y$529</f>
        <v>0</v>
      </c>
      <c r="K529" s="65">
        <f ca="1">EFEITO!$L$529*EFEITO!$Z$529</f>
        <v>43221.41909967328</v>
      </c>
      <c r="L529" s="65">
        <f>EFEITO!$N$529*EFEITO!$AA$529</f>
        <v>14120.999265538338</v>
      </c>
      <c r="M529" s="65">
        <f>$J$529-EFEITO!$K$529*EFEITO!$Y$529</f>
        <v>0</v>
      </c>
      <c r="N529" s="65">
        <f ca="1">$K$529-EFEITO!$M$529*EFEITO!$Z$529</f>
        <v>0</v>
      </c>
      <c r="O529" s="65">
        <f>$L$529-EFEITO!$O$529*EFEITO!$AA$529</f>
        <v>0</v>
      </c>
      <c r="P529" s="48"/>
      <c r="Q529" s="48"/>
      <c r="R529" s="48"/>
      <c r="S529" s="48"/>
      <c r="T529" s="48"/>
      <c r="U529" s="48"/>
      <c r="V529" s="48"/>
      <c r="W529" s="48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</row>
    <row r="530" spans="1:36" ht="11.25" customHeight="1" x14ac:dyDescent="0.2">
      <c r="A530" s="44" t="s">
        <v>21</v>
      </c>
      <c r="B530" s="44" t="s">
        <v>33</v>
      </c>
      <c r="C530" s="44" t="s">
        <v>23</v>
      </c>
      <c r="D530" s="44" t="s">
        <v>46</v>
      </c>
      <c r="E530" s="44" t="s">
        <v>47</v>
      </c>
      <c r="F530" s="44" t="s">
        <v>25</v>
      </c>
      <c r="G530" s="44" t="s">
        <v>25</v>
      </c>
      <c r="H530" s="44" t="s">
        <v>25</v>
      </c>
      <c r="I530" s="64">
        <v>44440</v>
      </c>
      <c r="J530" s="65">
        <f>EFEITO!$J$530*EFEITO!$Y$529</f>
        <v>0</v>
      </c>
      <c r="K530" s="65">
        <f ca="1">EFEITO!$L$530*EFEITO!$Z$529</f>
        <v>19584.919861704828</v>
      </c>
      <c r="L530" s="65">
        <f>EFEITO!$N$530*EFEITO!$AA$529</f>
        <v>6398.6478173006508</v>
      </c>
      <c r="M530" s="65">
        <f>$J$530-EFEITO!$K$530*EFEITO!$Y$530</f>
        <v>0</v>
      </c>
      <c r="N530" s="65">
        <f ca="1">$K$530-EFEITO!$M$530*EFEITO!$Z$530</f>
        <v>587.54759585114516</v>
      </c>
      <c r="O530" s="65">
        <f>$L$530-EFEITO!$O$530*EFEITO!$AA$530</f>
        <v>191.95943451901985</v>
      </c>
      <c r="P530" s="48"/>
      <c r="Q530" s="48"/>
      <c r="R530" s="48"/>
      <c r="S530" s="48"/>
      <c r="T530" s="48"/>
      <c r="U530" s="48"/>
      <c r="V530" s="48"/>
      <c r="W530" s="48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</row>
    <row r="531" spans="1:36" ht="11.25" customHeight="1" x14ac:dyDescent="0.2">
      <c r="A531" s="44" t="s">
        <v>21</v>
      </c>
      <c r="B531" s="44" t="s">
        <v>33</v>
      </c>
      <c r="C531" s="44" t="s">
        <v>23</v>
      </c>
      <c r="D531" s="44" t="s">
        <v>46</v>
      </c>
      <c r="E531" s="44" t="s">
        <v>47</v>
      </c>
      <c r="F531" s="44" t="s">
        <v>25</v>
      </c>
      <c r="G531" s="44" t="s">
        <v>25</v>
      </c>
      <c r="H531" s="44" t="s">
        <v>25</v>
      </c>
      <c r="I531" s="64">
        <v>44470</v>
      </c>
      <c r="J531" s="65">
        <f>EFEITO!$J$531*EFEITO!$Y$529</f>
        <v>0</v>
      </c>
      <c r="K531" s="65">
        <f ca="1">EFEITO!$L$531*EFEITO!$Z$529</f>
        <v>18335.817981570202</v>
      </c>
      <c r="L531" s="65">
        <f>EFEITO!$N$531*EFEITO!$AA$529</f>
        <v>5990.5500014633881</v>
      </c>
      <c r="M531" s="65">
        <f>$J$531-EFEITO!$K$531*EFEITO!$Y$531</f>
        <v>0</v>
      </c>
      <c r="N531" s="65">
        <f ca="1">$K$531-EFEITO!$M$531*EFEITO!$Z$531</f>
        <v>550.07453944710869</v>
      </c>
      <c r="O531" s="65">
        <f>$L$531-EFEITO!$O$531*EFEITO!$AA$531</f>
        <v>179.71650004390176</v>
      </c>
      <c r="P531" s="48"/>
      <c r="Q531" s="48"/>
      <c r="R531" s="48"/>
      <c r="S531" s="48"/>
      <c r="T531" s="48"/>
      <c r="U531" s="48"/>
      <c r="V531" s="48"/>
      <c r="W531" s="48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</row>
    <row r="532" spans="1:36" ht="11.25" customHeight="1" x14ac:dyDescent="0.2">
      <c r="A532" s="44" t="s">
        <v>21</v>
      </c>
      <c r="B532" s="44" t="s">
        <v>33</v>
      </c>
      <c r="C532" s="44" t="s">
        <v>23</v>
      </c>
      <c r="D532" s="44" t="s">
        <v>46</v>
      </c>
      <c r="E532" s="44" t="s">
        <v>47</v>
      </c>
      <c r="F532" s="44" t="s">
        <v>25</v>
      </c>
      <c r="G532" s="44" t="s">
        <v>25</v>
      </c>
      <c r="H532" s="44" t="s">
        <v>25</v>
      </c>
      <c r="I532" s="64">
        <v>44501</v>
      </c>
      <c r="J532" s="65">
        <f>EFEITO!$J$532*EFEITO!$Y$529</f>
        <v>0</v>
      </c>
      <c r="K532" s="65">
        <f ca="1">EFEITO!$L$532*EFEITO!$Z$529</f>
        <v>18174.951949086975</v>
      </c>
      <c r="L532" s="65">
        <f>EFEITO!$N$532*EFEITO!$AA$529</f>
        <v>5937.9929782590543</v>
      </c>
      <c r="M532" s="65">
        <f>$J$532-EFEITO!$K$532*EFEITO!$Y$532</f>
        <v>0</v>
      </c>
      <c r="N532" s="65">
        <f ca="1">$K$532-EFEITO!$M$532*EFEITO!$Z$532</f>
        <v>545.24855847261279</v>
      </c>
      <c r="O532" s="65">
        <f>$L$532-EFEITO!$O$532*EFEITO!$AA$532</f>
        <v>178.13978934777151</v>
      </c>
      <c r="P532" s="48"/>
      <c r="Q532" s="48"/>
      <c r="R532" s="48"/>
      <c r="S532" s="48"/>
      <c r="T532" s="48"/>
      <c r="U532" s="48"/>
      <c r="V532" s="48"/>
      <c r="W532" s="48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</row>
    <row r="533" spans="1:36" ht="11.25" customHeight="1" x14ac:dyDescent="0.2">
      <c r="A533" s="44" t="s">
        <v>21</v>
      </c>
      <c r="B533" s="44" t="s">
        <v>33</v>
      </c>
      <c r="C533" s="44" t="s">
        <v>23</v>
      </c>
      <c r="D533" s="44" t="s">
        <v>46</v>
      </c>
      <c r="E533" s="44" t="s">
        <v>47</v>
      </c>
      <c r="F533" s="44" t="s">
        <v>25</v>
      </c>
      <c r="G533" s="44" t="s">
        <v>25</v>
      </c>
      <c r="H533" s="44" t="s">
        <v>25</v>
      </c>
      <c r="I533" s="64">
        <v>44531</v>
      </c>
      <c r="J533" s="65">
        <f>EFEITO!$J$533*EFEITO!$Y$529</f>
        <v>0</v>
      </c>
      <c r="K533" s="65">
        <f ca="1">EFEITO!$L$533*EFEITO!$Z$529</f>
        <v>19390.799869018349</v>
      </c>
      <c r="L533" s="65">
        <f>EFEITO!$N$533*EFEITO!$AA$529</f>
        <v>6335.2262931755249</v>
      </c>
      <c r="M533" s="65">
        <f>$J$533-EFEITO!$K$533*EFEITO!$Y$533</f>
        <v>0</v>
      </c>
      <c r="N533" s="65">
        <f ca="1">$K$533-EFEITO!$M$533*EFEITO!$Z$533</f>
        <v>581.72399607054831</v>
      </c>
      <c r="O533" s="65">
        <f>$L$533-EFEITO!$O$533*EFEITO!$AA$533</f>
        <v>190.05678879526567</v>
      </c>
      <c r="P533" s="48"/>
      <c r="Q533" s="48"/>
      <c r="R533" s="48"/>
      <c r="S533" s="48"/>
      <c r="T533" s="48"/>
      <c r="U533" s="48"/>
      <c r="V533" s="48"/>
      <c r="W533" s="48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</row>
    <row r="534" spans="1:36" ht="11.25" customHeight="1" x14ac:dyDescent="0.2">
      <c r="A534" s="44" t="s">
        <v>21</v>
      </c>
      <c r="B534" s="44" t="s">
        <v>33</v>
      </c>
      <c r="C534" s="44" t="s">
        <v>23</v>
      </c>
      <c r="D534" s="44" t="s">
        <v>46</v>
      </c>
      <c r="E534" s="44" t="s">
        <v>47</v>
      </c>
      <c r="F534" s="44" t="s">
        <v>25</v>
      </c>
      <c r="G534" s="44" t="s">
        <v>25</v>
      </c>
      <c r="H534" s="44" t="s">
        <v>25</v>
      </c>
      <c r="I534" s="64">
        <v>44562</v>
      </c>
      <c r="J534" s="65">
        <f>EFEITO!$J$534*EFEITO!$Y$529</f>
        <v>0</v>
      </c>
      <c r="K534" s="65">
        <f ca="1">EFEITO!$L$534*EFEITO!$Z$529</f>
        <v>19185.040990260735</v>
      </c>
      <c r="L534" s="65">
        <f>EFEITO!$N$534*EFEITO!$AA$529</f>
        <v>6268.0021937281226</v>
      </c>
      <c r="M534" s="65">
        <f>$J$534-EFEITO!$K$534*EFEITO!$Y$534</f>
        <v>0</v>
      </c>
      <c r="N534" s="65">
        <f ca="1">$K$534-EFEITO!$M$534*EFEITO!$Z$534</f>
        <v>575.55122970782395</v>
      </c>
      <c r="O534" s="65">
        <f>$L$534-EFEITO!$O$534*EFEITO!$AA$534</f>
        <v>188.04006581184331</v>
      </c>
      <c r="P534" s="48"/>
      <c r="Q534" s="48"/>
      <c r="R534" s="48"/>
      <c r="S534" s="48"/>
      <c r="T534" s="48"/>
      <c r="U534" s="48"/>
      <c r="V534" s="48"/>
      <c r="W534" s="48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</row>
    <row r="535" spans="1:36" ht="11.25" customHeight="1" x14ac:dyDescent="0.2">
      <c r="A535" s="44" t="s">
        <v>21</v>
      </c>
      <c r="B535" s="44" t="s">
        <v>33</v>
      </c>
      <c r="C535" s="44" t="s">
        <v>23</v>
      </c>
      <c r="D535" s="44" t="s">
        <v>46</v>
      </c>
      <c r="E535" s="44" t="s">
        <v>47</v>
      </c>
      <c r="F535" s="44" t="s">
        <v>25</v>
      </c>
      <c r="G535" s="44" t="s">
        <v>25</v>
      </c>
      <c r="H535" s="44" t="s">
        <v>25</v>
      </c>
      <c r="I535" s="64">
        <v>44593</v>
      </c>
      <c r="J535" s="65">
        <f>EFEITO!$J$535*EFEITO!$Y$529</f>
        <v>0</v>
      </c>
      <c r="K535" s="65">
        <f ca="1">EFEITO!$L$535*EFEITO!$Z$529</f>
        <v>16467.776767152562</v>
      </c>
      <c r="L535" s="65">
        <f>EFEITO!$N$535*EFEITO!$AA$529</f>
        <v>5380.2366622378777</v>
      </c>
      <c r="M535" s="65">
        <f>$J$535-EFEITO!$K$535*EFEITO!$Y$535</f>
        <v>0</v>
      </c>
      <c r="N535" s="65">
        <f ca="1">$K$535-EFEITO!$M$535*EFEITO!$Z$535</f>
        <v>494.03330301457572</v>
      </c>
      <c r="O535" s="65">
        <f>$L$535-EFEITO!$O$535*EFEITO!$AA$535</f>
        <v>161.40709986713591</v>
      </c>
      <c r="P535" s="48"/>
      <c r="Q535" s="48"/>
      <c r="R535" s="48"/>
      <c r="S535" s="48"/>
      <c r="T535" s="48"/>
      <c r="U535" s="48"/>
      <c r="V535" s="48"/>
      <c r="W535" s="48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</row>
    <row r="536" spans="1:36" ht="11.25" customHeight="1" x14ac:dyDescent="0.2">
      <c r="A536" s="44" t="s">
        <v>21</v>
      </c>
      <c r="B536" s="44" t="s">
        <v>33</v>
      </c>
      <c r="C536" s="44" t="s">
        <v>23</v>
      </c>
      <c r="D536" s="44" t="s">
        <v>46</v>
      </c>
      <c r="E536" s="44" t="s">
        <v>47</v>
      </c>
      <c r="F536" s="44" t="s">
        <v>25</v>
      </c>
      <c r="G536" s="44" t="s">
        <v>25</v>
      </c>
      <c r="H536" s="44" t="s">
        <v>25</v>
      </c>
      <c r="I536" s="64">
        <v>44621</v>
      </c>
      <c r="J536" s="65">
        <f>EFEITO!$J$536*EFEITO!$Y$529</f>
        <v>0</v>
      </c>
      <c r="K536" s="65">
        <f ca="1">EFEITO!$L$536*EFEITO!$Z$529</f>
        <v>19301.429850972112</v>
      </c>
      <c r="L536" s="65">
        <f>EFEITO!$N$536*EFEITO!$AA$529</f>
        <v>6306.0279469508951</v>
      </c>
      <c r="M536" s="65">
        <f>$J$536-EFEITO!$K$536*EFEITO!$Y$536</f>
        <v>0</v>
      </c>
      <c r="N536" s="65">
        <f ca="1">$K$536-EFEITO!$M$536*EFEITO!$Z$536</f>
        <v>579.04289552916453</v>
      </c>
      <c r="O536" s="65">
        <f>$L$536-EFEITO!$O$536*EFEITO!$AA$536</f>
        <v>189.18083840852705</v>
      </c>
      <c r="P536" s="48"/>
      <c r="Q536" s="48"/>
      <c r="R536" s="48"/>
      <c r="S536" s="48"/>
      <c r="T536" s="48"/>
      <c r="U536" s="48"/>
      <c r="V536" s="48"/>
      <c r="W536" s="48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</row>
    <row r="537" spans="1:36" ht="11.25" customHeight="1" x14ac:dyDescent="0.2">
      <c r="A537" s="44" t="s">
        <v>21</v>
      </c>
      <c r="B537" s="44" t="s">
        <v>33</v>
      </c>
      <c r="C537" s="44" t="s">
        <v>23</v>
      </c>
      <c r="D537" s="44" t="s">
        <v>46</v>
      </c>
      <c r="E537" s="44" t="s">
        <v>47</v>
      </c>
      <c r="F537" s="44" t="s">
        <v>25</v>
      </c>
      <c r="G537" s="44" t="s">
        <v>25</v>
      </c>
      <c r="H537" s="44" t="s">
        <v>25</v>
      </c>
      <c r="I537" s="64">
        <v>44652</v>
      </c>
      <c r="J537" s="65">
        <f>EFEITO!$J$537*EFEITO!$Y$529</f>
        <v>0</v>
      </c>
      <c r="K537" s="65">
        <f ca="1">EFEITO!$L$537*EFEITO!$Z$529</f>
        <v>23045.825769858202</v>
      </c>
      <c r="L537" s="65">
        <f>EFEITO!$N$537*EFEITO!$AA$529</f>
        <v>7529.3707506321134</v>
      </c>
      <c r="M537" s="65">
        <f>$J$537-EFEITO!$K$537*EFEITO!$Y$537</f>
        <v>0</v>
      </c>
      <c r="N537" s="65">
        <f ca="1">$K$537-EFEITO!$M$537*EFEITO!$Z$537</f>
        <v>691.37477309574388</v>
      </c>
      <c r="O537" s="65">
        <f>$L$537-EFEITO!$O$537*EFEITO!$AA$537</f>
        <v>225.88112251896382</v>
      </c>
      <c r="P537" s="48"/>
      <c r="Q537" s="48"/>
      <c r="R537" s="48"/>
      <c r="S537" s="48"/>
      <c r="T537" s="48"/>
      <c r="U537" s="48"/>
      <c r="V537" s="48"/>
      <c r="W537" s="48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</row>
    <row r="538" spans="1:36" ht="11.25" customHeight="1" x14ac:dyDescent="0.2">
      <c r="A538" s="44" t="s">
        <v>21</v>
      </c>
      <c r="B538" s="44" t="s">
        <v>33</v>
      </c>
      <c r="C538" s="44" t="s">
        <v>23</v>
      </c>
      <c r="D538" s="44" t="s">
        <v>46</v>
      </c>
      <c r="E538" s="44" t="s">
        <v>47</v>
      </c>
      <c r="F538" s="44" t="s">
        <v>25</v>
      </c>
      <c r="G538" s="44" t="s">
        <v>25</v>
      </c>
      <c r="H538" s="44" t="s">
        <v>25</v>
      </c>
      <c r="I538" s="64">
        <v>44682</v>
      </c>
      <c r="J538" s="65">
        <f>EFEITO!$J$538*EFEITO!$Y$529</f>
        <v>0</v>
      </c>
      <c r="K538" s="65">
        <f ca="1">EFEITO!$L$538*EFEITO!$Z$529</f>
        <v>17941.342878659136</v>
      </c>
      <c r="L538" s="65">
        <f>EFEITO!$N$538*EFEITO!$AA$529</f>
        <v>5861.6698592904886</v>
      </c>
      <c r="M538" s="65">
        <f>$J$538-EFEITO!$K$538*EFEITO!$Y$538</f>
        <v>0</v>
      </c>
      <c r="N538" s="65">
        <f ca="1">$K$538-EFEITO!$M$538*EFEITO!$Z$538</f>
        <v>538.24028635977447</v>
      </c>
      <c r="O538" s="65">
        <f>$L$538-EFEITO!$O$538*EFEITO!$AA$538</f>
        <v>175.8500957787146</v>
      </c>
      <c r="P538" s="48"/>
      <c r="Q538" s="48"/>
      <c r="R538" s="48"/>
      <c r="S538" s="48"/>
      <c r="T538" s="48"/>
      <c r="U538" s="48"/>
      <c r="V538" s="48"/>
      <c r="W538" s="48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</row>
    <row r="539" spans="1:36" ht="11.25" customHeight="1" x14ac:dyDescent="0.2">
      <c r="A539" s="44" t="s">
        <v>21</v>
      </c>
      <c r="B539" s="44" t="s">
        <v>33</v>
      </c>
      <c r="C539" s="44" t="s">
        <v>23</v>
      </c>
      <c r="D539" s="44" t="s">
        <v>46</v>
      </c>
      <c r="E539" s="44" t="s">
        <v>47</v>
      </c>
      <c r="F539" s="44" t="s">
        <v>25</v>
      </c>
      <c r="G539" s="44" t="s">
        <v>25</v>
      </c>
      <c r="H539" s="44" t="s">
        <v>25</v>
      </c>
      <c r="I539" s="64">
        <v>44713</v>
      </c>
      <c r="J539" s="65">
        <f>EFEITO!$J$539*EFEITO!$Y$529</f>
        <v>0</v>
      </c>
      <c r="K539" s="65">
        <f ca="1">EFEITO!$L$539*EFEITO!$Z$529</f>
        <v>18300.901323356789</v>
      </c>
      <c r="L539" s="65">
        <f>EFEITO!$N$539*EFEITO!$AA$529</f>
        <v>5979.1422754965561</v>
      </c>
      <c r="M539" s="65">
        <f>$J$539-EFEITO!$K$539*EFEITO!$Y$539</f>
        <v>0</v>
      </c>
      <c r="N539" s="65">
        <f ca="1">$K$539-EFEITO!$M$539*EFEITO!$Z$539</f>
        <v>549.02703970070434</v>
      </c>
      <c r="O539" s="65">
        <f>$L$539-EFEITO!$O$539*EFEITO!$AA$539</f>
        <v>179.37426826489627</v>
      </c>
      <c r="P539" s="48"/>
      <c r="Q539" s="48"/>
      <c r="R539" s="48"/>
      <c r="S539" s="48"/>
      <c r="T539" s="48"/>
      <c r="U539" s="48"/>
      <c r="V539" s="48"/>
      <c r="W539" s="48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</row>
    <row r="540" spans="1:36" ht="11.25" customHeight="1" x14ac:dyDescent="0.2">
      <c r="A540" s="44" t="s">
        <v>21</v>
      </c>
      <c r="B540" s="44" t="s">
        <v>33</v>
      </c>
      <c r="C540" s="44" t="s">
        <v>23</v>
      </c>
      <c r="D540" s="44" t="s">
        <v>46</v>
      </c>
      <c r="E540" s="44" t="s">
        <v>47</v>
      </c>
      <c r="F540" s="44" t="s">
        <v>25</v>
      </c>
      <c r="G540" s="44" t="s">
        <v>25</v>
      </c>
      <c r="H540" s="44" t="s">
        <v>25</v>
      </c>
      <c r="I540" s="64">
        <v>44743</v>
      </c>
      <c r="J540" s="65">
        <f>EFEITO!$J$540*EFEITO!$Y$529</f>
        <v>0</v>
      </c>
      <c r="K540" s="65">
        <f ca="1">EFEITO!$L$540*EFEITO!$Z$529</f>
        <v>20648.630913706325</v>
      </c>
      <c r="L540" s="65">
        <f>EFEITO!$N$540*EFEITO!$AA$529</f>
        <v>6746.1760405044952</v>
      </c>
      <c r="M540" s="65">
        <f>$J$540-EFEITO!$K$540*EFEITO!$Y$540</f>
        <v>0</v>
      </c>
      <c r="N540" s="65">
        <f ca="1">$K$540-EFEITO!$M$540*EFEITO!$Z$540</f>
        <v>619.45892741118951</v>
      </c>
      <c r="O540" s="65">
        <f>$L$540-EFEITO!$O$540*EFEITO!$AA$540</f>
        <v>202.38528121513536</v>
      </c>
      <c r="P540" s="48"/>
      <c r="Q540" s="48"/>
      <c r="R540" s="48"/>
      <c r="S540" s="48"/>
      <c r="T540" s="48"/>
      <c r="U540" s="48"/>
      <c r="V540" s="48"/>
      <c r="W540" s="48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</row>
    <row r="541" spans="1:36" ht="11.25" customHeight="1" x14ac:dyDescent="0.2">
      <c r="A541" s="44" t="s">
        <v>21</v>
      </c>
      <c r="B541" s="44" t="s">
        <v>33</v>
      </c>
      <c r="C541" s="44" t="s">
        <v>23</v>
      </c>
      <c r="D541" s="44" t="s">
        <v>46</v>
      </c>
      <c r="E541" s="44" t="s">
        <v>47</v>
      </c>
      <c r="F541" s="44" t="s">
        <v>25</v>
      </c>
      <c r="G541" s="44" t="s">
        <v>25</v>
      </c>
      <c r="H541" s="44" t="s">
        <v>25</v>
      </c>
      <c r="I541" s="64">
        <v>44774</v>
      </c>
      <c r="J541" s="65">
        <f>EFEITO!$J$541*EFEITO!$Y$529</f>
        <v>0</v>
      </c>
      <c r="K541" s="65">
        <f ca="1">EFEITO!$L$541*EFEITO!$Z$529</f>
        <v>20009.739203301364</v>
      </c>
      <c r="L541" s="65">
        <f>EFEITO!$N$541*EFEITO!$AA$529</f>
        <v>6537.4418165637726</v>
      </c>
      <c r="M541" s="65">
        <f>$J$541-EFEITO!$K$541*EFEITO!$Y$541</f>
        <v>0</v>
      </c>
      <c r="N541" s="65">
        <f ca="1">$K$541-EFEITO!$M$541*EFEITO!$Z$541</f>
        <v>600.29217609904299</v>
      </c>
      <c r="O541" s="65">
        <f>$L$541-EFEITO!$O$541*EFEITO!$AA$541</f>
        <v>196.12325449691343</v>
      </c>
      <c r="P541" s="48"/>
      <c r="Q541" s="48"/>
      <c r="R541" s="48"/>
      <c r="S541" s="48"/>
      <c r="T541" s="48"/>
      <c r="U541" s="48"/>
      <c r="V541" s="48"/>
      <c r="W541" s="48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</row>
    <row r="542" spans="1:36" ht="11.25" customHeight="1" x14ac:dyDescent="0.2">
      <c r="A542" s="44" t="s">
        <v>21</v>
      </c>
      <c r="B542" s="44" t="s">
        <v>43</v>
      </c>
      <c r="C542" s="44" t="s">
        <v>23</v>
      </c>
      <c r="D542" s="44" t="s">
        <v>44</v>
      </c>
      <c r="E542" s="44" t="s">
        <v>45</v>
      </c>
      <c r="F542" s="44" t="s">
        <v>25</v>
      </c>
      <c r="G542" s="44" t="s">
        <v>25</v>
      </c>
      <c r="H542" s="44" t="s">
        <v>25</v>
      </c>
      <c r="I542" s="64">
        <v>44440</v>
      </c>
      <c r="J542" s="65">
        <f>EFEITO!$J$542*EFEITO!$Y$542</f>
        <v>0</v>
      </c>
      <c r="K542" s="65">
        <f ca="1">EFEITO!$L$542*EFEITO!$Z$542</f>
        <v>17388.911464782625</v>
      </c>
      <c r="L542" s="65">
        <f>EFEITO!$N$542*EFEITO!$AA$542</f>
        <v>5681.183337743827</v>
      </c>
      <c r="M542" s="65">
        <f>$J$542-EFEITO!$K$542*EFEITO!$Y$542</f>
        <v>0</v>
      </c>
      <c r="N542" s="65">
        <f ca="1">$K$542-EFEITO!$M$542*EFEITO!$Z$542</f>
        <v>0</v>
      </c>
      <c r="O542" s="65">
        <f>$L$542-EFEITO!$O$542*EFEITO!$AA$542</f>
        <v>0</v>
      </c>
      <c r="P542" s="48"/>
      <c r="Q542" s="48"/>
      <c r="R542" s="48"/>
      <c r="S542" s="48"/>
      <c r="T542" s="48"/>
      <c r="U542" s="48"/>
      <c r="V542" s="48"/>
      <c r="W542" s="48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</row>
    <row r="543" spans="1:36" ht="11.25" customHeight="1" x14ac:dyDescent="0.2">
      <c r="A543" s="44" t="s">
        <v>21</v>
      </c>
      <c r="B543" s="44" t="s">
        <v>43</v>
      </c>
      <c r="C543" s="44" t="s">
        <v>23</v>
      </c>
      <c r="D543" s="44" t="s">
        <v>44</v>
      </c>
      <c r="E543" s="44" t="s">
        <v>45</v>
      </c>
      <c r="F543" s="44" t="s">
        <v>25</v>
      </c>
      <c r="G543" s="44" t="s">
        <v>25</v>
      </c>
      <c r="H543" s="44" t="s">
        <v>25</v>
      </c>
      <c r="I543" s="64">
        <v>44470</v>
      </c>
      <c r="J543" s="65">
        <f>EFEITO!$J$543*EFEITO!$Y$543</f>
        <v>0</v>
      </c>
      <c r="K543" s="65">
        <f ca="1">EFEITO!$L$543*EFEITO!$Z$543</f>
        <v>17947.889752074152</v>
      </c>
      <c r="L543" s="65">
        <f>EFEITO!$N$543*EFEITO!$AA$543</f>
        <v>5863.8088079092704</v>
      </c>
      <c r="M543" s="65">
        <f>$J$543-EFEITO!$K$543*EFEITO!$Y$543</f>
        <v>0</v>
      </c>
      <c r="N543" s="65">
        <f ca="1">$K$543-EFEITO!$M$543*EFEITO!$Z$543</f>
        <v>0</v>
      </c>
      <c r="O543" s="65">
        <f>$L$543-EFEITO!$O$543*EFEITO!$AA$543</f>
        <v>0</v>
      </c>
      <c r="P543" s="48"/>
      <c r="Q543" s="48"/>
      <c r="R543" s="48"/>
      <c r="S543" s="48"/>
      <c r="T543" s="48"/>
      <c r="U543" s="48"/>
      <c r="V543" s="48"/>
      <c r="W543" s="48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</row>
    <row r="544" spans="1:36" ht="11.25" customHeight="1" x14ac:dyDescent="0.2">
      <c r="A544" s="44" t="s">
        <v>21</v>
      </c>
      <c r="B544" s="44" t="s">
        <v>43</v>
      </c>
      <c r="C544" s="44" t="s">
        <v>23</v>
      </c>
      <c r="D544" s="44" t="s">
        <v>44</v>
      </c>
      <c r="E544" s="44" t="s">
        <v>45</v>
      </c>
      <c r="F544" s="44" t="s">
        <v>25</v>
      </c>
      <c r="G544" s="44" t="s">
        <v>25</v>
      </c>
      <c r="H544" s="44" t="s">
        <v>25</v>
      </c>
      <c r="I544" s="64">
        <v>44501</v>
      </c>
      <c r="J544" s="65">
        <f>EFEITO!$J$544*EFEITO!$Y$544</f>
        <v>0</v>
      </c>
      <c r="K544" s="65">
        <f ca="1">EFEITO!$L$544*EFEITO!$Z$544</f>
        <v>17377.709036939155</v>
      </c>
      <c r="L544" s="65">
        <f>EFEITO!$N$544*EFEITO!$AA$544</f>
        <v>5677.5233589961344</v>
      </c>
      <c r="M544" s="65">
        <f>$J$544-EFEITO!$K$544*EFEITO!$Y$544</f>
        <v>0</v>
      </c>
      <c r="N544" s="65">
        <f ca="1">$K$544-EFEITO!$M$544*EFEITO!$Z$544</f>
        <v>0</v>
      </c>
      <c r="O544" s="65">
        <f>$L$544-EFEITO!$O$544*EFEITO!$AA$544</f>
        <v>0</v>
      </c>
      <c r="P544" s="48"/>
      <c r="Q544" s="48"/>
      <c r="R544" s="48"/>
      <c r="S544" s="48"/>
      <c r="T544" s="48"/>
      <c r="U544" s="48"/>
      <c r="V544" s="48"/>
      <c r="W544" s="48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</row>
    <row r="545" spans="1:36" ht="11.25" customHeight="1" x14ac:dyDescent="0.2">
      <c r="A545" s="44" t="s">
        <v>21</v>
      </c>
      <c r="B545" s="44" t="s">
        <v>43</v>
      </c>
      <c r="C545" s="44" t="s">
        <v>23</v>
      </c>
      <c r="D545" s="44" t="s">
        <v>44</v>
      </c>
      <c r="E545" s="44" t="s">
        <v>45</v>
      </c>
      <c r="F545" s="44" t="s">
        <v>25</v>
      </c>
      <c r="G545" s="44" t="s">
        <v>25</v>
      </c>
      <c r="H545" s="44" t="s">
        <v>25</v>
      </c>
      <c r="I545" s="64">
        <v>44531</v>
      </c>
      <c r="J545" s="65">
        <f>EFEITO!$J$545*EFEITO!$Y$545</f>
        <v>0</v>
      </c>
      <c r="K545" s="65">
        <f ca="1">EFEITO!$L$545*EFEITO!$Z$545</f>
        <v>17852.09756296366</v>
      </c>
      <c r="L545" s="65">
        <f>EFEITO!$N$545*EFEITO!$AA$545</f>
        <v>5832.5122549443131</v>
      </c>
      <c r="M545" s="65">
        <f>$J$545-EFEITO!$K$545*EFEITO!$Y$545</f>
        <v>0</v>
      </c>
      <c r="N545" s="65">
        <f ca="1">$K$545-EFEITO!$M$545*EFEITO!$Z$545</f>
        <v>0</v>
      </c>
      <c r="O545" s="65">
        <f>$L$545-EFEITO!$O$545*EFEITO!$AA$545</f>
        <v>0</v>
      </c>
      <c r="P545" s="48"/>
      <c r="Q545" s="48"/>
      <c r="R545" s="48"/>
      <c r="S545" s="48"/>
      <c r="T545" s="48"/>
      <c r="U545" s="48"/>
      <c r="V545" s="48"/>
      <c r="W545" s="48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</row>
    <row r="546" spans="1:36" ht="11.25" customHeight="1" x14ac:dyDescent="0.2">
      <c r="A546" s="44" t="s">
        <v>21</v>
      </c>
      <c r="B546" s="44" t="s">
        <v>43</v>
      </c>
      <c r="C546" s="44" t="s">
        <v>23</v>
      </c>
      <c r="D546" s="44" t="s">
        <v>44</v>
      </c>
      <c r="E546" s="44" t="s">
        <v>45</v>
      </c>
      <c r="F546" s="44" t="s">
        <v>25</v>
      </c>
      <c r="G546" s="44" t="s">
        <v>25</v>
      </c>
      <c r="H546" s="44" t="s">
        <v>25</v>
      </c>
      <c r="I546" s="64">
        <v>44562</v>
      </c>
      <c r="J546" s="65">
        <f>EFEITO!$J$546*EFEITO!$Y$546</f>
        <v>0</v>
      </c>
      <c r="K546" s="65">
        <f ca="1">EFEITO!$L$546*EFEITO!$Z$546</f>
        <v>17827.863739465542</v>
      </c>
      <c r="L546" s="65">
        <f>EFEITO!$N$546*EFEITO!$AA$546</f>
        <v>5824.594749898286</v>
      </c>
      <c r="M546" s="65">
        <f>$J$546-EFEITO!$K$546*EFEITO!$Y$546</f>
        <v>0</v>
      </c>
      <c r="N546" s="65">
        <f ca="1">$K$546-EFEITO!$M$546*EFEITO!$Z$546</f>
        <v>0</v>
      </c>
      <c r="O546" s="65">
        <f>$L$546-EFEITO!$O$546*EFEITO!$AA$546</f>
        <v>0</v>
      </c>
      <c r="P546" s="48"/>
      <c r="Q546" s="48"/>
      <c r="R546" s="48"/>
      <c r="S546" s="48"/>
      <c r="T546" s="48"/>
      <c r="U546" s="48"/>
      <c r="V546" s="48"/>
      <c r="W546" s="48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</row>
    <row r="547" spans="1:36" ht="11.25" customHeight="1" x14ac:dyDescent="0.2">
      <c r="A547" s="44" t="s">
        <v>21</v>
      </c>
      <c r="B547" s="44" t="s">
        <v>43</v>
      </c>
      <c r="C547" s="44" t="s">
        <v>23</v>
      </c>
      <c r="D547" s="44" t="s">
        <v>44</v>
      </c>
      <c r="E547" s="44" t="s">
        <v>45</v>
      </c>
      <c r="F547" s="44" t="s">
        <v>25</v>
      </c>
      <c r="G547" s="44" t="s">
        <v>25</v>
      </c>
      <c r="H547" s="44" t="s">
        <v>25</v>
      </c>
      <c r="I547" s="64">
        <v>44593</v>
      </c>
      <c r="J547" s="65">
        <f>EFEITO!$J$547*EFEITO!$Y$547</f>
        <v>0</v>
      </c>
      <c r="K547" s="65">
        <f ca="1">EFEITO!$L$547*EFEITO!$Z$547</f>
        <v>16237.804848621958</v>
      </c>
      <c r="L547" s="65">
        <f>EFEITO!$N$547*EFEITO!$AA$547</f>
        <v>5305.1018480575249</v>
      </c>
      <c r="M547" s="65">
        <f>$J$547-EFEITO!$K$547*EFEITO!$Y$547</f>
        <v>0</v>
      </c>
      <c r="N547" s="65">
        <f ca="1">$K$547-EFEITO!$M$547*EFEITO!$Z$547</f>
        <v>0</v>
      </c>
      <c r="O547" s="65">
        <f>$L$547-EFEITO!$O$547*EFEITO!$AA$547</f>
        <v>0</v>
      </c>
      <c r="P547" s="48"/>
      <c r="Q547" s="48"/>
      <c r="R547" s="48"/>
      <c r="S547" s="48"/>
      <c r="T547" s="48"/>
      <c r="U547" s="48"/>
      <c r="V547" s="48"/>
      <c r="W547" s="48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</row>
    <row r="548" spans="1:36" ht="11.25" customHeight="1" x14ac:dyDescent="0.2">
      <c r="A548" s="44" t="s">
        <v>21</v>
      </c>
      <c r="B548" s="44" t="s">
        <v>43</v>
      </c>
      <c r="C548" s="44" t="s">
        <v>23</v>
      </c>
      <c r="D548" s="44" t="s">
        <v>44</v>
      </c>
      <c r="E548" s="44" t="s">
        <v>45</v>
      </c>
      <c r="F548" s="44" t="s">
        <v>25</v>
      </c>
      <c r="G548" s="44" t="s">
        <v>25</v>
      </c>
      <c r="H548" s="44" t="s">
        <v>25</v>
      </c>
      <c r="I548" s="64">
        <v>44621</v>
      </c>
      <c r="J548" s="65">
        <f>EFEITO!$J$548*EFEITO!$Y$548</f>
        <v>0</v>
      </c>
      <c r="K548" s="65">
        <f ca="1">EFEITO!$L$548*EFEITO!$Z$548</f>
        <v>17919.76937197728</v>
      </c>
      <c r="L548" s="65">
        <f>EFEITO!$N$548*EFEITO!$AA$548</f>
        <v>5854.6215143181253</v>
      </c>
      <c r="M548" s="65">
        <f>$J$548-EFEITO!$K$548*EFEITO!$Y$548</f>
        <v>0</v>
      </c>
      <c r="N548" s="65">
        <f ca="1">$K$548-EFEITO!$M$548*EFEITO!$Z$548</f>
        <v>0</v>
      </c>
      <c r="O548" s="65">
        <f>$L$548-EFEITO!$O$548*EFEITO!$AA$548</f>
        <v>0</v>
      </c>
      <c r="P548" s="48"/>
      <c r="Q548" s="48"/>
      <c r="R548" s="48"/>
      <c r="S548" s="48"/>
      <c r="T548" s="48"/>
      <c r="U548" s="48"/>
      <c r="V548" s="48"/>
      <c r="W548" s="48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</row>
    <row r="549" spans="1:36" ht="11.25" customHeight="1" x14ac:dyDescent="0.2">
      <c r="A549" s="44" t="s">
        <v>21</v>
      </c>
      <c r="B549" s="44" t="s">
        <v>43</v>
      </c>
      <c r="C549" s="44" t="s">
        <v>23</v>
      </c>
      <c r="D549" s="44" t="s">
        <v>44</v>
      </c>
      <c r="E549" s="44" t="s">
        <v>45</v>
      </c>
      <c r="F549" s="44" t="s">
        <v>25</v>
      </c>
      <c r="G549" s="44" t="s">
        <v>25</v>
      </c>
      <c r="H549" s="44" t="s">
        <v>25</v>
      </c>
      <c r="I549" s="64">
        <v>44652</v>
      </c>
      <c r="J549" s="65">
        <f>EFEITO!$J$549*EFEITO!$Y$549</f>
        <v>0</v>
      </c>
      <c r="K549" s="65">
        <f ca="1">EFEITO!$L$549*EFEITO!$Z$549</f>
        <v>17304.550324492004</v>
      </c>
      <c r="L549" s="65">
        <f>EFEITO!$N$549*EFEITO!$AA$549</f>
        <v>5653.6214569703916</v>
      </c>
      <c r="M549" s="65">
        <f>$J$549-EFEITO!$K$549*EFEITO!$Y$549</f>
        <v>0</v>
      </c>
      <c r="N549" s="65">
        <f ca="1">$K$549-EFEITO!$M$549*EFEITO!$Z$549</f>
        <v>0</v>
      </c>
      <c r="O549" s="65">
        <f>$L$549-EFEITO!$O$549*EFEITO!$AA$549</f>
        <v>0</v>
      </c>
      <c r="P549" s="48"/>
      <c r="Q549" s="48"/>
      <c r="R549" s="48"/>
      <c r="S549" s="48"/>
      <c r="T549" s="48"/>
      <c r="U549" s="48"/>
      <c r="V549" s="48"/>
      <c r="W549" s="48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</row>
    <row r="550" spans="1:36" ht="11.25" customHeight="1" x14ac:dyDescent="0.2">
      <c r="A550" s="44" t="s">
        <v>21</v>
      </c>
      <c r="B550" s="44" t="s">
        <v>43</v>
      </c>
      <c r="C550" s="44" t="s">
        <v>23</v>
      </c>
      <c r="D550" s="44" t="s">
        <v>44</v>
      </c>
      <c r="E550" s="44" t="s">
        <v>45</v>
      </c>
      <c r="F550" s="44" t="s">
        <v>25</v>
      </c>
      <c r="G550" s="44" t="s">
        <v>25</v>
      </c>
      <c r="H550" s="44" t="s">
        <v>25</v>
      </c>
      <c r="I550" s="64">
        <v>44682</v>
      </c>
      <c r="J550" s="65">
        <f>EFEITO!$J$550*EFEITO!$Y$550</f>
        <v>0</v>
      </c>
      <c r="K550" s="65">
        <f ca="1">EFEITO!$L$550*EFEITO!$Z$550</f>
        <v>18054.198506098921</v>
      </c>
      <c r="L550" s="65">
        <f>EFEITO!$N$550*EFEITO!$AA$550</f>
        <v>5898.5412592904286</v>
      </c>
      <c r="M550" s="65">
        <f>$J$550-EFEITO!$K$550*EFEITO!$Y$550</f>
        <v>0</v>
      </c>
      <c r="N550" s="65">
        <f ca="1">$K$550-EFEITO!$M$550*EFEITO!$Z$550</f>
        <v>0</v>
      </c>
      <c r="O550" s="65">
        <f>$L$550-EFEITO!$O$550*EFEITO!$AA$550</f>
        <v>0</v>
      </c>
      <c r="P550" s="48"/>
      <c r="Q550" s="48"/>
      <c r="R550" s="48"/>
      <c r="S550" s="48"/>
      <c r="T550" s="48"/>
      <c r="U550" s="48"/>
      <c r="V550" s="48"/>
      <c r="W550" s="48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</row>
    <row r="551" spans="1:36" ht="11.25" customHeight="1" x14ac:dyDescent="0.2">
      <c r="A551" s="44" t="s">
        <v>21</v>
      </c>
      <c r="B551" s="44" t="s">
        <v>43</v>
      </c>
      <c r="C551" s="44" t="s">
        <v>23</v>
      </c>
      <c r="D551" s="44" t="s">
        <v>44</v>
      </c>
      <c r="E551" s="44" t="s">
        <v>45</v>
      </c>
      <c r="F551" s="44" t="s">
        <v>25</v>
      </c>
      <c r="G551" s="44" t="s">
        <v>25</v>
      </c>
      <c r="H551" s="44" t="s">
        <v>25</v>
      </c>
      <c r="I551" s="64">
        <v>44713</v>
      </c>
      <c r="J551" s="65">
        <f>EFEITO!$J$551*EFEITO!$Y$551</f>
        <v>0</v>
      </c>
      <c r="K551" s="65">
        <f ca="1">EFEITO!$L$551*EFEITO!$Z$551</f>
        <v>17876.331386461778</v>
      </c>
      <c r="L551" s="65">
        <f>EFEITO!$N$551*EFEITO!$AA$551</f>
        <v>5840.4297599903402</v>
      </c>
      <c r="M551" s="65">
        <f>$J$551-EFEITO!$K$551*EFEITO!$Y$551</f>
        <v>0</v>
      </c>
      <c r="N551" s="65">
        <f ca="1">$K$551-EFEITO!$M$551*EFEITO!$Z$551</f>
        <v>0</v>
      </c>
      <c r="O551" s="65">
        <f>$L$551-EFEITO!$O$551*EFEITO!$AA$551</f>
        <v>0</v>
      </c>
      <c r="P551" s="48"/>
      <c r="Q551" s="48"/>
      <c r="R551" s="48"/>
      <c r="S551" s="48"/>
      <c r="T551" s="48"/>
      <c r="U551" s="48"/>
      <c r="V551" s="48"/>
      <c r="W551" s="48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</row>
    <row r="552" spans="1:36" ht="11.25" customHeight="1" x14ac:dyDescent="0.2">
      <c r="A552" s="44" t="s">
        <v>21</v>
      </c>
      <c r="B552" s="44" t="s">
        <v>43</v>
      </c>
      <c r="C552" s="44" t="s">
        <v>23</v>
      </c>
      <c r="D552" s="44" t="s">
        <v>44</v>
      </c>
      <c r="E552" s="44" t="s">
        <v>45</v>
      </c>
      <c r="F552" s="44" t="s">
        <v>25</v>
      </c>
      <c r="G552" s="44" t="s">
        <v>25</v>
      </c>
      <c r="H552" s="44" t="s">
        <v>25</v>
      </c>
      <c r="I552" s="64">
        <v>44743</v>
      </c>
      <c r="J552" s="65">
        <f>EFEITO!$J$552*EFEITO!$Y$552</f>
        <v>0</v>
      </c>
      <c r="K552" s="65">
        <f ca="1">EFEITO!$L$552*EFEITO!$Z$552</f>
        <v>18487.206635395509</v>
      </c>
      <c r="L552" s="65">
        <f>EFEITO!$N$552*EFEITO!$AA$552</f>
        <v>6040.0106419052963</v>
      </c>
      <c r="M552" s="65">
        <f>$J$552-EFEITO!$K$552*EFEITO!$Y$552</f>
        <v>0</v>
      </c>
      <c r="N552" s="65">
        <f ca="1">$K$552-EFEITO!$M$552*EFEITO!$Z$552</f>
        <v>0</v>
      </c>
      <c r="O552" s="65">
        <f>$L$552-EFEITO!$O$552*EFEITO!$AA$552</f>
        <v>0</v>
      </c>
      <c r="P552" s="48"/>
      <c r="Q552" s="48"/>
      <c r="R552" s="48"/>
      <c r="S552" s="48"/>
      <c r="T552" s="48"/>
      <c r="U552" s="48"/>
      <c r="V552" s="48"/>
      <c r="W552" s="48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</row>
    <row r="553" spans="1:36" ht="11.25" customHeight="1" x14ac:dyDescent="0.2">
      <c r="A553" s="44" t="s">
        <v>21</v>
      </c>
      <c r="B553" s="44" t="s">
        <v>43</v>
      </c>
      <c r="C553" s="44" t="s">
        <v>23</v>
      </c>
      <c r="D553" s="44" t="s">
        <v>44</v>
      </c>
      <c r="E553" s="44" t="s">
        <v>45</v>
      </c>
      <c r="F553" s="44" t="s">
        <v>25</v>
      </c>
      <c r="G553" s="44" t="s">
        <v>25</v>
      </c>
      <c r="H553" s="44" t="s">
        <v>25</v>
      </c>
      <c r="I553" s="64">
        <v>44774</v>
      </c>
      <c r="J553" s="65">
        <f>EFEITO!$J$553*EFEITO!$Y$553</f>
        <v>0</v>
      </c>
      <c r="K553" s="65">
        <f ca="1">EFEITO!$L$553*EFEITO!$Z$553</f>
        <v>18467.316610448936</v>
      </c>
      <c r="L553" s="65">
        <f>EFEITO!$N$553*EFEITO!$AA$553</f>
        <v>6033.5123122920468</v>
      </c>
      <c r="M553" s="65">
        <f>$J$553-EFEITO!$K$553*EFEITO!$Y$553</f>
        <v>0</v>
      </c>
      <c r="N553" s="65">
        <f ca="1">$K$553-EFEITO!$M$553*EFEITO!$Z$553</f>
        <v>0</v>
      </c>
      <c r="O553" s="65">
        <f>$L$553-EFEITO!$O$553*EFEITO!$AA$553</f>
        <v>0</v>
      </c>
      <c r="P553" s="48"/>
      <c r="Q553" s="48"/>
      <c r="R553" s="48"/>
      <c r="S553" s="48"/>
      <c r="T553" s="48"/>
      <c r="U553" s="48"/>
      <c r="V553" s="48"/>
      <c r="W553" s="48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</row>
  </sheetData>
  <mergeCells count="1">
    <mergeCell ref="Q1:A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D8E0-4F4B-4FB3-8859-085FFEDFEB6C}">
  <dimension ref="A1:BD103"/>
  <sheetViews>
    <sheetView showGridLines="0" topLeftCell="C34" workbookViewId="0">
      <selection activeCell="L53" sqref="L53:BD103"/>
    </sheetView>
  </sheetViews>
  <sheetFormatPr defaultRowHeight="11.25" customHeight="1" x14ac:dyDescent="0.25"/>
  <cols>
    <col min="1" max="1" width="9.28515625" style="9" bestFit="1" customWidth="1"/>
    <col min="2" max="2" width="23.42578125" style="9" bestFit="1" customWidth="1"/>
    <col min="3" max="3" width="33" style="9" bestFit="1" customWidth="1"/>
    <col min="4" max="4" width="56.140625" style="9" bestFit="1" customWidth="1"/>
    <col min="5" max="5" width="65.7109375" style="9" bestFit="1" customWidth="1"/>
    <col min="6" max="6" width="75.42578125" style="9" bestFit="1" customWidth="1"/>
    <col min="7" max="7" width="7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7.42578125" style="9" bestFit="1" customWidth="1"/>
    <col min="21" max="21" width="7.28515625" style="9" bestFit="1" customWidth="1"/>
    <col min="22" max="23" width="9.85546875" style="9" bestFit="1" customWidth="1"/>
    <col min="24" max="24" width="10" style="9" bestFit="1" customWidth="1"/>
    <col min="25" max="25" width="7.7109375" style="9" bestFit="1" customWidth="1"/>
    <col min="26" max="26" width="9.85546875" style="9" bestFit="1" customWidth="1"/>
    <col min="27" max="27" width="11.7109375" style="9" bestFit="1" customWidth="1"/>
    <col min="28" max="28" width="8" style="9" bestFit="1" customWidth="1"/>
    <col min="29" max="29" width="7.28515625" style="9" bestFit="1" customWidth="1"/>
    <col min="30" max="30" width="15.28515625" style="9" bestFit="1" customWidth="1"/>
    <col min="31" max="31" width="18" style="9" bestFit="1" customWidth="1"/>
    <col min="32" max="32" width="19.140625" style="9" bestFit="1" customWidth="1"/>
    <col min="33" max="33" width="4" style="9" bestFit="1" customWidth="1"/>
    <col min="34" max="34" width="9.140625" style="9"/>
    <col min="35" max="35" width="13.42578125" style="9" bestFit="1" customWidth="1"/>
    <col min="36" max="36" width="7.85546875" style="9" bestFit="1" customWidth="1"/>
    <col min="37" max="38" width="4.140625" style="9" bestFit="1" customWidth="1"/>
    <col min="39" max="39" width="4.42578125" style="9" bestFit="1" customWidth="1"/>
    <col min="40" max="40" width="10" style="9" bestFit="1" customWidth="1"/>
    <col min="41" max="42" width="8.7109375" style="9" bestFit="1" customWidth="1"/>
    <col min="43" max="43" width="7.42578125" style="9" bestFit="1" customWidth="1"/>
    <col min="44" max="44" width="7.28515625" style="9" bestFit="1" customWidth="1"/>
    <col min="45" max="46" width="9.85546875" style="9" bestFit="1" customWidth="1"/>
    <col min="47" max="47" width="10" style="9" bestFit="1" customWidth="1"/>
    <col min="48" max="48" width="7.7109375" style="9" bestFit="1" customWidth="1"/>
    <col min="49" max="49" width="9.85546875" style="9" bestFit="1" customWidth="1"/>
    <col min="50" max="50" width="11.7109375" style="9" bestFit="1" customWidth="1"/>
    <col min="51" max="51" width="8" style="9" bestFit="1" customWidth="1"/>
    <col min="52" max="52" width="7.28515625" style="9" bestFit="1" customWidth="1"/>
    <col min="53" max="53" width="15.28515625" style="9" bestFit="1" customWidth="1"/>
    <col min="54" max="54" width="18" style="9" bestFit="1" customWidth="1"/>
    <col min="55" max="55" width="19.140625" style="9" bestFit="1" customWidth="1"/>
    <col min="56" max="56" width="4" style="9" bestFit="1" customWidth="1"/>
    <col min="57" max="16384" width="9.140625" style="9"/>
  </cols>
  <sheetData>
    <row r="1" spans="1:56" ht="11.25" customHeight="1" x14ac:dyDescent="0.25">
      <c r="A1" s="95" t="s">
        <v>62</v>
      </c>
      <c r="B1" s="95" t="s">
        <v>63</v>
      </c>
      <c r="C1" s="95" t="s">
        <v>64</v>
      </c>
      <c r="D1" s="95" t="s">
        <v>65</v>
      </c>
      <c r="E1" s="95" t="s">
        <v>66</v>
      </c>
      <c r="F1" s="95" t="s">
        <v>15</v>
      </c>
      <c r="G1" s="95" t="s">
        <v>68</v>
      </c>
      <c r="H1" s="95" t="s">
        <v>69</v>
      </c>
      <c r="I1" s="95" t="s">
        <v>487</v>
      </c>
      <c r="J1" s="90"/>
      <c r="L1" s="96" t="s">
        <v>688</v>
      </c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I1" s="96" t="s">
        <v>689</v>
      </c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</row>
    <row r="2" spans="1:56" ht="11.25" customHeight="1" x14ac:dyDescent="0.25">
      <c r="A2" s="95"/>
      <c r="B2" s="95"/>
      <c r="C2" s="95"/>
      <c r="D2" s="95"/>
      <c r="E2" s="95"/>
      <c r="F2" s="95"/>
      <c r="G2" s="95"/>
      <c r="H2" s="95"/>
      <c r="I2" s="95"/>
      <c r="J2" s="90"/>
      <c r="L2" s="96" t="s">
        <v>386</v>
      </c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I2" s="96" t="s">
        <v>386</v>
      </c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</row>
    <row r="3" spans="1:56" ht="11.25" customHeight="1" x14ac:dyDescent="0.25">
      <c r="A3" s="95"/>
      <c r="B3" s="95"/>
      <c r="C3" s="95"/>
      <c r="D3" s="95"/>
      <c r="E3" s="95"/>
      <c r="F3" s="95"/>
      <c r="G3" s="95"/>
      <c r="H3" s="95"/>
      <c r="I3" s="95"/>
      <c r="J3" s="90"/>
      <c r="L3" s="96" t="s">
        <v>387</v>
      </c>
      <c r="M3" s="96"/>
      <c r="N3" s="96"/>
      <c r="O3" s="96"/>
      <c r="P3" s="96"/>
      <c r="Q3" s="96"/>
      <c r="R3" s="96"/>
      <c r="S3" s="96"/>
      <c r="T3" s="96" t="s">
        <v>396</v>
      </c>
      <c r="U3" s="96"/>
      <c r="V3" s="96"/>
      <c r="W3" s="96"/>
      <c r="X3" s="96"/>
      <c r="Y3" s="96"/>
      <c r="Z3" s="96"/>
      <c r="AA3" s="25" t="s">
        <v>404</v>
      </c>
      <c r="AB3" s="96" t="s">
        <v>406</v>
      </c>
      <c r="AC3" s="96"/>
      <c r="AD3" s="96" t="s">
        <v>409</v>
      </c>
      <c r="AE3" s="96"/>
      <c r="AF3" s="96"/>
      <c r="AG3" s="96"/>
      <c r="AI3" s="96" t="s">
        <v>387</v>
      </c>
      <c r="AJ3" s="96"/>
      <c r="AK3" s="96"/>
      <c r="AL3" s="96"/>
      <c r="AM3" s="96"/>
      <c r="AN3" s="96"/>
      <c r="AO3" s="96"/>
      <c r="AP3" s="96"/>
      <c r="AQ3" s="96" t="s">
        <v>396</v>
      </c>
      <c r="AR3" s="96"/>
      <c r="AS3" s="96"/>
      <c r="AT3" s="96"/>
      <c r="AU3" s="96"/>
      <c r="AV3" s="96"/>
      <c r="AW3" s="96"/>
      <c r="AX3" s="25" t="s">
        <v>404</v>
      </c>
      <c r="AY3" s="96" t="s">
        <v>406</v>
      </c>
      <c r="AZ3" s="96"/>
      <c r="BA3" s="96" t="s">
        <v>409</v>
      </c>
      <c r="BB3" s="96"/>
      <c r="BC3" s="96"/>
      <c r="BD3" s="96"/>
    </row>
    <row r="4" spans="1:56" ht="11.25" customHeight="1" x14ac:dyDescent="0.25">
      <c r="A4" s="95"/>
      <c r="B4" s="95"/>
      <c r="C4" s="95"/>
      <c r="D4" s="95"/>
      <c r="E4" s="95"/>
      <c r="F4" s="95"/>
      <c r="G4" s="95"/>
      <c r="H4" s="95"/>
      <c r="I4" s="95"/>
      <c r="J4" s="90"/>
      <c r="L4" s="25" t="s">
        <v>472</v>
      </c>
      <c r="M4" s="25" t="s">
        <v>388</v>
      </c>
      <c r="N4" s="25" t="s">
        <v>389</v>
      </c>
      <c r="O4" s="25" t="s">
        <v>390</v>
      </c>
      <c r="P4" s="25" t="s">
        <v>391</v>
      </c>
      <c r="Q4" s="25" t="s">
        <v>392</v>
      </c>
      <c r="R4" s="25" t="s">
        <v>393</v>
      </c>
      <c r="S4" s="25" t="s">
        <v>394</v>
      </c>
      <c r="T4" s="25" t="s">
        <v>397</v>
      </c>
      <c r="U4" s="25" t="s">
        <v>398</v>
      </c>
      <c r="V4" s="25" t="s">
        <v>399</v>
      </c>
      <c r="W4" s="25" t="s">
        <v>400</v>
      </c>
      <c r="X4" s="25" t="s">
        <v>401</v>
      </c>
      <c r="Y4" s="25" t="s">
        <v>402</v>
      </c>
      <c r="Z4" s="25" t="s">
        <v>403</v>
      </c>
      <c r="AA4" s="25" t="s">
        <v>405</v>
      </c>
      <c r="AB4" s="25" t="s">
        <v>407</v>
      </c>
      <c r="AC4" s="25" t="s">
        <v>408</v>
      </c>
      <c r="AD4" s="25" t="s">
        <v>410</v>
      </c>
      <c r="AE4" s="25" t="s">
        <v>411</v>
      </c>
      <c r="AF4" s="25" t="s">
        <v>412</v>
      </c>
      <c r="AG4" s="25" t="s">
        <v>413</v>
      </c>
      <c r="AI4" s="25" t="s">
        <v>472</v>
      </c>
      <c r="AJ4" s="25" t="s">
        <v>388</v>
      </c>
      <c r="AK4" s="25" t="s">
        <v>389</v>
      </c>
      <c r="AL4" s="25" t="s">
        <v>390</v>
      </c>
      <c r="AM4" s="25" t="s">
        <v>391</v>
      </c>
      <c r="AN4" s="25" t="s">
        <v>392</v>
      </c>
      <c r="AO4" s="25" t="s">
        <v>393</v>
      </c>
      <c r="AP4" s="25" t="s">
        <v>394</v>
      </c>
      <c r="AQ4" s="25" t="s">
        <v>397</v>
      </c>
      <c r="AR4" s="25" t="s">
        <v>398</v>
      </c>
      <c r="AS4" s="25" t="s">
        <v>399</v>
      </c>
      <c r="AT4" s="25" t="s">
        <v>400</v>
      </c>
      <c r="AU4" s="25" t="s">
        <v>401</v>
      </c>
      <c r="AV4" s="25" t="s">
        <v>402</v>
      </c>
      <c r="AW4" s="25" t="s">
        <v>403</v>
      </c>
      <c r="AX4" s="25" t="s">
        <v>405</v>
      </c>
      <c r="AY4" s="25" t="s">
        <v>407</v>
      </c>
      <c r="AZ4" s="25" t="s">
        <v>408</v>
      </c>
      <c r="BA4" s="25" t="s">
        <v>410</v>
      </c>
      <c r="BB4" s="25" t="s">
        <v>411</v>
      </c>
      <c r="BC4" s="25" t="s">
        <v>412</v>
      </c>
      <c r="BD4" s="25" t="s">
        <v>413</v>
      </c>
    </row>
    <row r="5" spans="1:56" ht="11.25" customHeight="1" x14ac:dyDescent="0.25">
      <c r="A5" s="94" t="s">
        <v>35</v>
      </c>
      <c r="B5" s="94" t="s">
        <v>48</v>
      </c>
      <c r="C5" s="94" t="s">
        <v>25</v>
      </c>
      <c r="D5" s="94" t="s">
        <v>25</v>
      </c>
      <c r="E5" s="94" t="s">
        <v>25</v>
      </c>
      <c r="F5" s="94" t="s">
        <v>25</v>
      </c>
      <c r="G5" s="27" t="s">
        <v>76</v>
      </c>
      <c r="H5" s="27" t="s">
        <v>75</v>
      </c>
      <c r="I5" s="27">
        <f>'MERCADO TUSD'!$U$2</f>
        <v>5811</v>
      </c>
      <c r="J5" s="15"/>
      <c r="L5" s="17">
        <f>('TUSD BE'!$L$5+'TUSD BF'!$L$5+'TUSD CVA'!$L$5)*1</f>
        <v>0</v>
      </c>
      <c r="M5" s="17">
        <f>('TUSD BE'!$M$5+'TUSD BF'!$M$5+'TUSD CVA'!$M$5)*1</f>
        <v>0</v>
      </c>
      <c r="N5" s="17">
        <f ca="1">('TUSD BE'!$N$5+'TUSD BF'!$N$5+'TUSD CVA'!$N$5)*1</f>
        <v>0</v>
      </c>
      <c r="O5" s="17">
        <f>('TUSD BE'!$O$5+'TUSD BF'!$O$5+'TUSD CVA'!$O$5)*1</f>
        <v>0</v>
      </c>
      <c r="P5" s="17">
        <f>('TUSD BE'!$P$5+'TUSD BF'!$P$5+'TUSD CVA'!$P$5)*1</f>
        <v>0</v>
      </c>
      <c r="Q5" s="17">
        <f>('TUSD BE'!$Q$5+'TUSD BF'!$Q$5+'TUSD CVA'!$Q$5)*1</f>
        <v>0</v>
      </c>
      <c r="R5" s="17">
        <f>('TUSD BE'!$R$5+'TUSD BF'!$R$5+'TUSD CVA'!$R$5)*1</f>
        <v>0</v>
      </c>
      <c r="S5" s="17">
        <f>('TUSD BE'!$S$5+'TUSD BF'!$S$5+'TUSD CVA'!$S$5)*1</f>
        <v>0</v>
      </c>
      <c r="T5" s="17">
        <f>('TUSD BE'!$U$5+'TUSD BF'!$U$5+'TUSD CVA'!$U$5)*1</f>
        <v>0</v>
      </c>
      <c r="U5" s="17">
        <f>('TUSD BE'!$V$5+'TUSD BF'!$V$5+'TUSD CVA'!$V$5)*1</f>
        <v>0</v>
      </c>
      <c r="V5" s="17">
        <f>('TUSD BE'!$W$5+'TUSD BF'!$W$5+'TUSD CVA'!$W$5)*1</f>
        <v>0</v>
      </c>
      <c r="W5" s="17">
        <f>('TUSD BE'!$X$5+'TUSD BF'!$X$5+'TUSD CVA'!$X$5)*1</f>
        <v>0</v>
      </c>
      <c r="X5" s="17">
        <f>('TUSD BE'!$Y$5+'TUSD BF'!$Y$5+'TUSD CVA'!$Y$5)*1</f>
        <v>31.333785288652095</v>
      </c>
      <c r="Y5" s="17">
        <f>('TUSD BE'!$Z$5+'TUSD BF'!$Z$5+'TUSD CVA'!$Z$5)*1</f>
        <v>0</v>
      </c>
      <c r="Z5" s="17">
        <f>('TUSD BE'!$AA$5+'TUSD BF'!$AA$5+'TUSD CVA'!$AA$5)*1</f>
        <v>0</v>
      </c>
      <c r="AA5" s="17">
        <f>('TUSD BE'!$AC$5+'TUSD BF'!$AC$5+'TUSD CVA'!$AC$5)*1</f>
        <v>44.822347310332944</v>
      </c>
      <c r="AB5" s="17">
        <f ca="1">('TUSD BE'!$AE$5+'TUSD BF'!$AE$5+'TUSD CVA'!$AE$5)*1</f>
        <v>0</v>
      </c>
      <c r="AC5" s="17">
        <f ca="1">('TUSD BE'!$AF$5+'TUSD BF'!$AF$5+'TUSD CVA'!$AF$5)*1</f>
        <v>0</v>
      </c>
      <c r="AD5" s="17">
        <f>('TUSD BE'!$AH$5+'TUSD BF'!$AH$5+'TUSD CVA'!$AH$5)*1</f>
        <v>0</v>
      </c>
      <c r="AE5" s="17">
        <f>('TUSD BE'!$AI$5+'TUSD BF'!$AI$5+'TUSD CVA'!$AI$5)*1</f>
        <v>0</v>
      </c>
      <c r="AF5" s="17">
        <f ca="1">('TUSD BE'!$AJ$5+'TUSD BF'!$AJ$5+'TUSD CVA'!$AJ$5)*1</f>
        <v>0</v>
      </c>
      <c r="AG5" s="17">
        <f ca="1">('TUSD BE'!$AK$5+'TUSD BF'!$AK$5+'TUSD CVA'!$AK$5)*1</f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32.826072981423998</v>
      </c>
      <c r="AV5" s="17">
        <v>0</v>
      </c>
      <c r="AW5" s="17">
        <v>0</v>
      </c>
      <c r="AX5" s="17">
        <v>44.347503625655897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</row>
    <row r="6" spans="1:56" ht="11.25" customHeight="1" x14ac:dyDescent="0.25">
      <c r="A6" s="94"/>
      <c r="B6" s="94"/>
      <c r="C6" s="94"/>
      <c r="D6" s="94"/>
      <c r="E6" s="94"/>
      <c r="F6" s="94"/>
      <c r="G6" s="27" t="s">
        <v>77</v>
      </c>
      <c r="H6" s="27" t="s">
        <v>75</v>
      </c>
      <c r="I6" s="27">
        <f>'MERCADO TUSD'!$U$3</f>
        <v>5810</v>
      </c>
      <c r="J6" s="15"/>
      <c r="L6" s="17">
        <f>('TUSD BE'!$L$6+'TUSD BF'!$L$6+'TUSD CVA'!$L$6)*1</f>
        <v>0</v>
      </c>
      <c r="M6" s="17">
        <f>('TUSD BE'!$M$6+'TUSD BF'!$M$6+'TUSD CVA'!$M$6)*1</f>
        <v>0</v>
      </c>
      <c r="N6" s="17">
        <f ca="1">('TUSD BE'!$N$6+'TUSD BF'!$N$6+'TUSD CVA'!$N$6)*1</f>
        <v>0</v>
      </c>
      <c r="O6" s="17">
        <f>('TUSD BE'!$O$6+'TUSD BF'!$O$6+'TUSD CVA'!$O$6)*1</f>
        <v>0</v>
      </c>
      <c r="P6" s="17">
        <f>('TUSD BE'!$P$6+'TUSD BF'!$P$6+'TUSD CVA'!$P$6)*1</f>
        <v>0</v>
      </c>
      <c r="Q6" s="17">
        <f>('TUSD BE'!$Q$6+'TUSD BF'!$Q$6+'TUSD CVA'!$Q$6)*1</f>
        <v>0</v>
      </c>
      <c r="R6" s="17">
        <f>('TUSD BE'!$R$6+'TUSD BF'!$R$6+'TUSD CVA'!$R$6)*1</f>
        <v>0</v>
      </c>
      <c r="S6" s="17">
        <f>('TUSD BE'!$S$6+'TUSD BF'!$S$6+'TUSD CVA'!$S$6)*1</f>
        <v>0</v>
      </c>
      <c r="T6" s="17">
        <f>('TUSD BE'!$U$6+'TUSD BF'!$U$6+'TUSD CVA'!$U$6)*1</f>
        <v>0</v>
      </c>
      <c r="U6" s="17">
        <f>('TUSD BE'!$V$6+'TUSD BF'!$V$6+'TUSD CVA'!$V$6)*1</f>
        <v>0</v>
      </c>
      <c r="V6" s="17">
        <f>('TUSD BE'!$W$6+'TUSD BF'!$W$6+'TUSD CVA'!$W$6)*1</f>
        <v>0</v>
      </c>
      <c r="W6" s="17">
        <f>('TUSD BE'!$X$6+'TUSD BF'!$X$6+'TUSD CVA'!$X$6)*1</f>
        <v>0</v>
      </c>
      <c r="X6" s="17">
        <f>('TUSD BE'!$Y$6+'TUSD BF'!$Y$6+'TUSD CVA'!$Y$6)*1</f>
        <v>12.664727048835061</v>
      </c>
      <c r="Y6" s="17">
        <f>('TUSD BE'!$Z$6+'TUSD BF'!$Z$6+'TUSD CVA'!$Z$6)*1</f>
        <v>0</v>
      </c>
      <c r="Z6" s="17">
        <f>('TUSD BE'!$AA$6+'TUSD BF'!$AA$6+'TUSD CVA'!$AA$6)*1</f>
        <v>0</v>
      </c>
      <c r="AA6" s="17">
        <f>('TUSD BE'!$AC$6+'TUSD BF'!$AC$6+'TUSD CVA'!$AC$6)*1</f>
        <v>12.524881416929253</v>
      </c>
      <c r="AB6" s="17">
        <f ca="1">('TUSD BE'!$AE$6+'TUSD BF'!$AE$6+'TUSD CVA'!$AE$6)*1</f>
        <v>0</v>
      </c>
      <c r="AC6" s="17">
        <f ca="1">('TUSD BE'!$AF$6+'TUSD BF'!$AF$6+'TUSD CVA'!$AF$6)*1</f>
        <v>0</v>
      </c>
      <c r="AD6" s="17">
        <f>('TUSD BE'!$AH$6+'TUSD BF'!$AH$6+'TUSD CVA'!$AH$6)*1</f>
        <v>0</v>
      </c>
      <c r="AE6" s="17">
        <f>('TUSD BE'!$AI$6+'TUSD BF'!$AI$6+'TUSD CVA'!$AI$6)*1</f>
        <v>0</v>
      </c>
      <c r="AF6" s="17">
        <f ca="1">('TUSD BE'!$AJ$6+'TUSD BF'!$AJ$6+'TUSD CVA'!$AJ$6)*1</f>
        <v>0</v>
      </c>
      <c r="AG6" s="17">
        <f ca="1">('TUSD BE'!$AK$6+'TUSD BF'!$AK$6+'TUSD CVA'!$AK$6)*1</f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13.267879918928401</v>
      </c>
      <c r="AV6" s="17">
        <v>0</v>
      </c>
      <c r="AW6" s="17">
        <v>0</v>
      </c>
      <c r="AX6" s="17">
        <v>12.392188139351999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</row>
    <row r="7" spans="1:56" ht="11.25" customHeight="1" x14ac:dyDescent="0.25">
      <c r="A7" s="94"/>
      <c r="B7" s="94"/>
      <c r="C7" s="94"/>
      <c r="D7" s="94"/>
      <c r="E7" s="94"/>
      <c r="F7" s="94"/>
      <c r="G7" s="27" t="s">
        <v>78</v>
      </c>
      <c r="H7" s="27" t="s">
        <v>72</v>
      </c>
      <c r="I7" s="27">
        <f>'MERCADO TUSD'!$U$4</f>
        <v>2834.2459999999996</v>
      </c>
      <c r="J7" s="15"/>
      <c r="L7" s="17">
        <f>('TUSD BE'!$L$7+'TUSD BF'!$L$7+'TUSD CVA'!$L$7)*1</f>
        <v>0</v>
      </c>
      <c r="M7" s="17">
        <f>('TUSD BE'!$M$7+'TUSD BF'!$M$7+'TUSD CVA'!$M$7)*1</f>
        <v>0.79490361379109031</v>
      </c>
      <c r="N7" s="17">
        <f ca="1">('TUSD BE'!$N$7+'TUSD BF'!$N$7+'TUSD CVA'!$N$7)*1</f>
        <v>0</v>
      </c>
      <c r="O7" s="17">
        <f>('TUSD BE'!$O$7+'TUSD BF'!$O$7+'TUSD CVA'!$O$7)*1</f>
        <v>0</v>
      </c>
      <c r="P7" s="17">
        <f>('TUSD BE'!$P$7+'TUSD BF'!$P$7+'TUSD CVA'!$P$7)*1</f>
        <v>0</v>
      </c>
      <c r="Q7" s="17">
        <f>('TUSD BE'!$Q$7+'TUSD BF'!$Q$7+'TUSD CVA'!$Q$7)*1</f>
        <v>77.194005474634793</v>
      </c>
      <c r="R7" s="17">
        <f>('TUSD BE'!$R$7+'TUSD BF'!$R$7+'TUSD CVA'!$R$7)*1</f>
        <v>14.498212042235149</v>
      </c>
      <c r="S7" s="17">
        <f>('TUSD BE'!$S$7+'TUSD BF'!$S$7+'TUSD CVA'!$S$7)*1</f>
        <v>0</v>
      </c>
      <c r="T7" s="17">
        <f>('TUSD BE'!$U$7+'TUSD BF'!$U$7+'TUSD CVA'!$U$7)*1</f>
        <v>0</v>
      </c>
      <c r="U7" s="17">
        <f>('TUSD BE'!$V$7+'TUSD BF'!$V$7+'TUSD CVA'!$V$7)*1</f>
        <v>0</v>
      </c>
      <c r="V7" s="17">
        <f>('TUSD BE'!$W$7+'TUSD BF'!$W$7+'TUSD CVA'!$W$7)*1</f>
        <v>0</v>
      </c>
      <c r="W7" s="17">
        <f>('TUSD BE'!$X$7+'TUSD BF'!$X$7+'TUSD CVA'!$X$7)*1</f>
        <v>0</v>
      </c>
      <c r="X7" s="17">
        <f>('TUSD BE'!$Y$7+'TUSD BF'!$Y$7+'TUSD CVA'!$Y$7)*1</f>
        <v>0</v>
      </c>
      <c r="Y7" s="17">
        <f>('TUSD BE'!$Z$7+'TUSD BF'!$Z$7+'TUSD CVA'!$Z$7)*1</f>
        <v>0</v>
      </c>
      <c r="Z7" s="17">
        <f>('TUSD BE'!$AA$7+'TUSD BF'!$AA$7+'TUSD CVA'!$AA$7)*1</f>
        <v>0</v>
      </c>
      <c r="AA7" s="17">
        <f>('TUSD BE'!$AC$7+'TUSD BF'!$AC$7+'TUSD CVA'!$AC$7)*1</f>
        <v>0</v>
      </c>
      <c r="AB7" s="17">
        <f ca="1">('TUSD BE'!$AE$7+'TUSD BF'!$AE$7+'TUSD CVA'!$AE$7)*1</f>
        <v>0</v>
      </c>
      <c r="AC7" s="17">
        <f ca="1">('TUSD BE'!$AF$7+'TUSD BF'!$AF$7+'TUSD CVA'!$AF$7)*1</f>
        <v>0</v>
      </c>
      <c r="AD7" s="17">
        <f>('TUSD BE'!$AH$7+'TUSD BF'!$AH$7+'TUSD CVA'!$AH$7)*1</f>
        <v>7.360628582950846</v>
      </c>
      <c r="AE7" s="17">
        <f>('TUSD BE'!$AI$7+'TUSD BF'!$AI$7+'TUSD CVA'!$AI$7)*1</f>
        <v>0</v>
      </c>
      <c r="AF7" s="17">
        <f ca="1">('TUSD BE'!$AJ$7+'TUSD BF'!$AJ$7+'TUSD CVA'!$AJ$7)*1</f>
        <v>0</v>
      </c>
      <c r="AG7" s="17">
        <f ca="1">('TUSD BE'!$AK$7+'TUSD BF'!$AK$7+'TUSD CVA'!$AK$7)*1</f>
        <v>0</v>
      </c>
      <c r="AI7" s="17">
        <v>0</v>
      </c>
      <c r="AJ7" s="17">
        <v>0.576518730253886</v>
      </c>
      <c r="AK7" s="17">
        <v>0</v>
      </c>
      <c r="AL7" s="17">
        <v>0</v>
      </c>
      <c r="AM7" s="17">
        <v>0</v>
      </c>
      <c r="AN7" s="17">
        <v>49.814699911438296</v>
      </c>
      <c r="AO7" s="17">
        <v>8.9131910561285501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6.9129584248589904</v>
      </c>
      <c r="BB7" s="17">
        <v>0</v>
      </c>
      <c r="BC7" s="17">
        <v>0</v>
      </c>
      <c r="BD7" s="17">
        <v>0</v>
      </c>
    </row>
    <row r="8" spans="1:56" ht="11.25" customHeight="1" x14ac:dyDescent="0.25">
      <c r="A8" s="94"/>
      <c r="B8" s="94"/>
      <c r="C8" s="94"/>
      <c r="D8" s="94"/>
      <c r="E8" s="26" t="s">
        <v>79</v>
      </c>
      <c r="F8" s="26" t="s">
        <v>25</v>
      </c>
      <c r="G8" s="27" t="s">
        <v>78</v>
      </c>
      <c r="H8" s="27" t="s">
        <v>72</v>
      </c>
      <c r="I8" s="27">
        <f>'MERCADO TUSD'!$U$5</f>
        <v>0</v>
      </c>
      <c r="J8" s="15"/>
      <c r="L8" s="17">
        <f>('TUSD BE'!$L$8+'TUSD BF'!$L$8+'TUSD CVA'!$L$8)*1</f>
        <v>0</v>
      </c>
      <c r="M8" s="17">
        <f>('TUSD BE'!$M$8+'TUSD BF'!$M$8+'TUSD CVA'!$M$8)*1</f>
        <v>0.79490361379109031</v>
      </c>
      <c r="N8" s="17">
        <f ca="1">('TUSD BE'!$N$8+'TUSD BF'!$N$8+'TUSD CVA'!$N$8)*1</f>
        <v>0</v>
      </c>
      <c r="O8" s="17">
        <f>('TUSD BE'!$O$8+'TUSD BF'!$O$8+'TUSD CVA'!$O$8)*1</f>
        <v>0</v>
      </c>
      <c r="P8" s="17">
        <f>('TUSD BE'!$P$8+'TUSD BF'!$P$8+'TUSD CVA'!$P$8)*1</f>
        <v>0</v>
      </c>
      <c r="Q8" s="17">
        <f>('TUSD BE'!$Q$8+'TUSD BF'!$Q$8+'TUSD CVA'!$Q$8)*1</f>
        <v>0</v>
      </c>
      <c r="R8" s="17">
        <f>('TUSD BE'!$R$8+'TUSD BF'!$R$8+'TUSD CVA'!$R$8)*1</f>
        <v>0</v>
      </c>
      <c r="S8" s="17">
        <f>('TUSD BE'!$S$8+'TUSD BF'!$S$8+'TUSD CVA'!$S$8)*1</f>
        <v>0</v>
      </c>
      <c r="T8" s="17">
        <f>('TUSD BE'!$U$8+'TUSD BF'!$U$8+'TUSD CVA'!$U$8)*1</f>
        <v>0</v>
      </c>
      <c r="U8" s="17">
        <f>('TUSD BE'!$V$8+'TUSD BF'!$V$8+'TUSD CVA'!$V$8)*1</f>
        <v>0</v>
      </c>
      <c r="V8" s="17">
        <f>('TUSD BE'!$W$8+'TUSD BF'!$W$8+'TUSD CVA'!$W$8)*1</f>
        <v>0</v>
      </c>
      <c r="W8" s="17">
        <f>('TUSD BE'!$X$8+'TUSD BF'!$X$8+'TUSD CVA'!$X$8)*1</f>
        <v>0</v>
      </c>
      <c r="X8" s="17">
        <f>('TUSD BE'!$Y$8+'TUSD BF'!$Y$8+'TUSD CVA'!$Y$8)*1</f>
        <v>0</v>
      </c>
      <c r="Y8" s="17">
        <f>('TUSD BE'!$Z$8+'TUSD BF'!$Z$8+'TUSD CVA'!$Z$8)*1</f>
        <v>0</v>
      </c>
      <c r="Z8" s="17">
        <f>('TUSD BE'!$AA$8+'TUSD BF'!$AA$8+'TUSD CVA'!$AA$8)*1</f>
        <v>0</v>
      </c>
      <c r="AA8" s="17">
        <f>('TUSD BE'!$AC$8+'TUSD BF'!$AC$8+'TUSD CVA'!$AC$8)*1</f>
        <v>0</v>
      </c>
      <c r="AB8" s="17">
        <f ca="1">('TUSD BE'!$AE$8+'TUSD BF'!$AE$8+'TUSD CVA'!$AE$8)*1</f>
        <v>0</v>
      </c>
      <c r="AC8" s="17">
        <f ca="1">('TUSD BE'!$AF$8+'TUSD BF'!$AF$8+'TUSD CVA'!$AF$8)*1</f>
        <v>0</v>
      </c>
      <c r="AD8" s="17">
        <f>('TUSD BE'!$AH$8+'TUSD BF'!$AH$8+'TUSD CVA'!$AH$8)*1</f>
        <v>7.360628582950846</v>
      </c>
      <c r="AE8" s="17">
        <f>('TUSD BE'!$AI$8+'TUSD BF'!$AI$8+'TUSD CVA'!$AI$8)*1</f>
        <v>0</v>
      </c>
      <c r="AF8" s="17">
        <f ca="1">('TUSD BE'!$AJ$8+'TUSD BF'!$AJ$8+'TUSD CVA'!$AJ$8)*1</f>
        <v>0</v>
      </c>
      <c r="AG8" s="17">
        <f ca="1">('TUSD BE'!$AK$8+'TUSD BF'!$AK$8+'TUSD CVA'!$AK$8)*1</f>
        <v>0</v>
      </c>
      <c r="AI8" s="17">
        <v>0</v>
      </c>
      <c r="AJ8" s="17">
        <v>0.576518730253886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6.9129584248589904</v>
      </c>
      <c r="BB8" s="17">
        <v>0</v>
      </c>
      <c r="BC8" s="17">
        <v>0</v>
      </c>
      <c r="BD8" s="17">
        <v>0</v>
      </c>
    </row>
    <row r="9" spans="1:56" ht="11.25" customHeight="1" x14ac:dyDescent="0.25">
      <c r="A9" s="94"/>
      <c r="B9" s="26" t="s">
        <v>53</v>
      </c>
      <c r="C9" s="26" t="s">
        <v>25</v>
      </c>
      <c r="D9" s="26" t="s">
        <v>25</v>
      </c>
      <c r="E9" s="26" t="s">
        <v>25</v>
      </c>
      <c r="F9" s="26" t="s">
        <v>25</v>
      </c>
      <c r="G9" s="27" t="s">
        <v>9</v>
      </c>
      <c r="H9" s="27" t="s">
        <v>75</v>
      </c>
      <c r="I9" s="27">
        <f>'MERCADO TUSD'!$U$6</f>
        <v>10908</v>
      </c>
      <c r="J9" s="15"/>
      <c r="L9" s="17">
        <f>('TUSD BE'!$L$9+'TUSD BF'!$L$9+'TUSD CVA'!$L$9)*1</f>
        <v>0</v>
      </c>
      <c r="M9" s="17">
        <f>('TUSD BE'!$M$9+'TUSD BF'!$M$9+'TUSD CVA'!$M$9)*1</f>
        <v>1.0742053254416411E-2</v>
      </c>
      <c r="N9" s="17">
        <f ca="1">('TUSD BE'!$N$9+'TUSD BF'!$N$9+'TUSD CVA'!$N$9)*1</f>
        <v>0</v>
      </c>
      <c r="O9" s="17">
        <f>('TUSD BE'!$O$9+'TUSD BF'!$O$9+'TUSD CVA'!$O$9)*1</f>
        <v>0</v>
      </c>
      <c r="P9" s="17">
        <f>('TUSD BE'!$P$9+'TUSD BF'!$P$9+'TUSD CVA'!$P$9)*1</f>
        <v>0</v>
      </c>
      <c r="Q9" s="17">
        <f>('TUSD BE'!$Q$9+'TUSD BF'!$Q$9+'TUSD CVA'!$Q$9)*1</f>
        <v>0</v>
      </c>
      <c r="R9" s="17">
        <f>('TUSD BE'!$R$9+'TUSD BF'!$R$9+'TUSD CVA'!$R$9)*1</f>
        <v>0</v>
      </c>
      <c r="S9" s="17">
        <f>('TUSD BE'!$S$9+'TUSD BF'!$S$9+'TUSD CVA'!$S$9)*1</f>
        <v>0</v>
      </c>
      <c r="T9" s="17">
        <f>('TUSD BE'!$U$9+'TUSD BF'!$U$9+'TUSD CVA'!$U$9)*1</f>
        <v>0</v>
      </c>
      <c r="U9" s="17">
        <f>('TUSD BE'!$V$9+'TUSD BF'!$V$9+'TUSD CVA'!$V$9)*1</f>
        <v>0</v>
      </c>
      <c r="V9" s="17">
        <f>('TUSD BE'!$W$9+'TUSD BF'!$W$9+'TUSD CVA'!$W$9)*1</f>
        <v>0</v>
      </c>
      <c r="W9" s="17">
        <f>('TUSD BE'!$X$9+'TUSD BF'!$X$9+'TUSD CVA'!$X$9)*1</f>
        <v>0</v>
      </c>
      <c r="X9" s="17">
        <f>('TUSD BE'!$Y$9+'TUSD BF'!$Y$9+'TUSD CVA'!$Y$9)*1</f>
        <v>0</v>
      </c>
      <c r="Y9" s="17">
        <f>('TUSD BE'!$Z$9+'TUSD BF'!$Z$9+'TUSD CVA'!$Z$9)*1</f>
        <v>0</v>
      </c>
      <c r="Z9" s="17">
        <f>('TUSD BE'!$AA$9+'TUSD BF'!$AA$9+'TUSD CVA'!$AA$9)*1</f>
        <v>0</v>
      </c>
      <c r="AA9" s="17">
        <f>('TUSD BE'!$AC$9+'TUSD BF'!$AC$9+'TUSD CVA'!$AC$9)*1</f>
        <v>3.3997664870968975</v>
      </c>
      <c r="AB9" s="17">
        <f ca="1">('TUSD BE'!$AE$9+'TUSD BF'!$AE$9+'TUSD CVA'!$AE$9)*1</f>
        <v>0</v>
      </c>
      <c r="AC9" s="17">
        <f ca="1">('TUSD BE'!$AF$9+'TUSD BF'!$AF$9+'TUSD CVA'!$AF$9)*1</f>
        <v>0</v>
      </c>
      <c r="AD9" s="17">
        <f>('TUSD BE'!$AH$9+'TUSD BF'!$AH$9+'TUSD CVA'!$AH$9)*1</f>
        <v>0</v>
      </c>
      <c r="AE9" s="17">
        <f>('TUSD BE'!$AI$9+'TUSD BF'!$AI$9+'TUSD CVA'!$AI$9)*1</f>
        <v>0</v>
      </c>
      <c r="AF9" s="17">
        <f ca="1">('TUSD BE'!$AJ$9+'TUSD BF'!$AJ$9+'TUSD CVA'!$AJ$9)*1</f>
        <v>0</v>
      </c>
      <c r="AG9" s="17">
        <f ca="1">('TUSD BE'!$AK$9+'TUSD BF'!$AK$9+'TUSD CVA'!$AK$9)*1</f>
        <v>0</v>
      </c>
      <c r="AI9" s="17">
        <v>0</v>
      </c>
      <c r="AJ9" s="17">
        <v>9.8586764890242103E-3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3.3637611988964702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</row>
    <row r="10" spans="1:56" ht="11.25" customHeight="1" x14ac:dyDescent="0.25">
      <c r="A10" s="94"/>
      <c r="B10" s="94" t="s">
        <v>36</v>
      </c>
      <c r="C10" s="94" t="s">
        <v>25</v>
      </c>
      <c r="D10" s="94" t="s">
        <v>25</v>
      </c>
      <c r="E10" s="94" t="s">
        <v>25</v>
      </c>
      <c r="F10" s="94" t="s">
        <v>25</v>
      </c>
      <c r="G10" s="27" t="s">
        <v>9</v>
      </c>
      <c r="H10" s="27" t="s">
        <v>75</v>
      </c>
      <c r="I10" s="27">
        <f>'MERCADO TUSD'!$U$7</f>
        <v>139673</v>
      </c>
      <c r="J10" s="15"/>
      <c r="L10" s="17">
        <f>('TUSD BE'!$L$10+'TUSD BF'!$L$10+'TUSD CVA'!$L$10)*1</f>
        <v>0</v>
      </c>
      <c r="M10" s="17">
        <f>('TUSD BE'!$M$10+'TUSD BF'!$M$10+'TUSD CVA'!$M$10)*1</f>
        <v>0</v>
      </c>
      <c r="N10" s="17">
        <f ca="1">('TUSD BE'!$N$10+'TUSD BF'!$N$10+'TUSD CVA'!$N$10)*1</f>
        <v>0</v>
      </c>
      <c r="O10" s="17">
        <f>('TUSD BE'!$O$10+'TUSD BF'!$O$10+'TUSD CVA'!$O$10)*1</f>
        <v>0</v>
      </c>
      <c r="P10" s="17">
        <f>('TUSD BE'!$P$10+'TUSD BF'!$P$10+'TUSD CVA'!$P$10)*1</f>
        <v>0</v>
      </c>
      <c r="Q10" s="17">
        <f>('TUSD BE'!$Q$10+'TUSD BF'!$Q$10+'TUSD CVA'!$Q$10)*1</f>
        <v>0</v>
      </c>
      <c r="R10" s="17">
        <f>('TUSD BE'!$R$10+'TUSD BF'!$R$10+'TUSD CVA'!$R$10)*1</f>
        <v>0</v>
      </c>
      <c r="S10" s="17">
        <f>('TUSD BE'!$S$10+'TUSD BF'!$S$10+'TUSD CVA'!$S$10)*1</f>
        <v>0</v>
      </c>
      <c r="T10" s="17">
        <f>('TUSD BE'!$U$10+'TUSD BF'!$U$10+'TUSD CVA'!$U$10)*1</f>
        <v>0</v>
      </c>
      <c r="U10" s="17">
        <f>('TUSD BE'!$V$10+'TUSD BF'!$V$10+'TUSD CVA'!$V$10)*1</f>
        <v>0</v>
      </c>
      <c r="V10" s="17">
        <f>('TUSD BE'!$W$10+'TUSD BF'!$W$10+'TUSD CVA'!$W$10)*1</f>
        <v>0</v>
      </c>
      <c r="W10" s="17">
        <f>('TUSD BE'!$X$10+'TUSD BF'!$X$10+'TUSD CVA'!$X$10)*1</f>
        <v>0</v>
      </c>
      <c r="X10" s="17">
        <f>('TUSD BE'!$Y$10+'TUSD BF'!$Y$10+'TUSD CVA'!$Y$10)*1</f>
        <v>12.664727048835061</v>
      </c>
      <c r="Y10" s="17">
        <f>('TUSD BE'!$Z$10+'TUSD BF'!$Z$10+'TUSD CVA'!$Z$10)*1</f>
        <v>0</v>
      </c>
      <c r="Z10" s="17">
        <f>('TUSD BE'!$AA$10+'TUSD BF'!$AA$10+'TUSD CVA'!$AA$10)*1</f>
        <v>0</v>
      </c>
      <c r="AA10" s="17">
        <f>('TUSD BE'!$AC$10+'TUSD BF'!$AC$10+'TUSD CVA'!$AC$10)*1</f>
        <v>12.524881416929253</v>
      </c>
      <c r="AB10" s="17">
        <f ca="1">('TUSD BE'!$AE$10+'TUSD BF'!$AE$10+'TUSD CVA'!$AE$10)*1</f>
        <v>0</v>
      </c>
      <c r="AC10" s="17">
        <f ca="1">('TUSD BE'!$AF$10+'TUSD BF'!$AF$10+'TUSD CVA'!$AF$10)*1</f>
        <v>0</v>
      </c>
      <c r="AD10" s="17">
        <f>('TUSD BE'!$AH$10+'TUSD BF'!$AH$10+'TUSD CVA'!$AH$10)*1</f>
        <v>0</v>
      </c>
      <c r="AE10" s="17">
        <f>('TUSD BE'!$AI$10+'TUSD BF'!$AI$10+'TUSD CVA'!$AI$10)*1</f>
        <v>0</v>
      </c>
      <c r="AF10" s="17">
        <f ca="1">('TUSD BE'!$AJ$10+'TUSD BF'!$AJ$10+'TUSD CVA'!$AJ$10)*1</f>
        <v>0</v>
      </c>
      <c r="AG10" s="17">
        <f ca="1">('TUSD BE'!$AK$10+'TUSD BF'!$AK$10+'TUSD CVA'!$AK$10)*1</f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13.267879918928401</v>
      </c>
      <c r="AV10" s="17">
        <v>0</v>
      </c>
      <c r="AW10" s="17">
        <v>0</v>
      </c>
      <c r="AX10" s="17">
        <v>12.392188139351999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</row>
    <row r="11" spans="1:56" ht="11.25" customHeight="1" x14ac:dyDescent="0.25">
      <c r="A11" s="94"/>
      <c r="B11" s="94"/>
      <c r="C11" s="94"/>
      <c r="D11" s="94"/>
      <c r="E11" s="94"/>
      <c r="F11" s="94"/>
      <c r="G11" s="27" t="s">
        <v>73</v>
      </c>
      <c r="H11" s="27" t="s">
        <v>72</v>
      </c>
      <c r="I11" s="27">
        <f>'MERCADO TUSD'!$U$8</f>
        <v>1014.939</v>
      </c>
      <c r="J11" s="15"/>
      <c r="L11" s="17">
        <f>('TUSD BE'!$L$11+'TUSD BF'!$L$11+'TUSD CVA'!$L$11)*1</f>
        <v>0</v>
      </c>
      <c r="M11" s="17">
        <f>('TUSD BE'!$M$11+'TUSD BF'!$M$11+'TUSD CVA'!$M$11)*1</f>
        <v>0.79490361379109031</v>
      </c>
      <c r="N11" s="17">
        <f ca="1">('TUSD BE'!$N$11+'TUSD BF'!$N$11+'TUSD CVA'!$N$11)*1</f>
        <v>0</v>
      </c>
      <c r="O11" s="17">
        <f>('TUSD BE'!$O$11+'TUSD BF'!$O$11+'TUSD CVA'!$O$11)*1</f>
        <v>0</v>
      </c>
      <c r="P11" s="17">
        <f>('TUSD BE'!$P$11+'TUSD BF'!$P$11+'TUSD CVA'!$P$11)*1</f>
        <v>0</v>
      </c>
      <c r="Q11" s="17">
        <f>('TUSD BE'!$Q$11+'TUSD BF'!$Q$11+'TUSD CVA'!$Q$11)*1</f>
        <v>77.194005474634793</v>
      </c>
      <c r="R11" s="17">
        <f>('TUSD BE'!$R$11+'TUSD BF'!$R$11+'TUSD CVA'!$R$11)*1</f>
        <v>14.498212042235149</v>
      </c>
      <c r="S11" s="17">
        <f>('TUSD BE'!$S$11+'TUSD BF'!$S$11+'TUSD CVA'!$S$11)*1</f>
        <v>0</v>
      </c>
      <c r="T11" s="17">
        <f>('TUSD BE'!$U$11+'TUSD BF'!$U$11+'TUSD CVA'!$U$11)*1</f>
        <v>0</v>
      </c>
      <c r="U11" s="17">
        <f>('TUSD BE'!$V$11+'TUSD BF'!$V$11+'TUSD CVA'!$V$11)*1</f>
        <v>0</v>
      </c>
      <c r="V11" s="17">
        <f>('TUSD BE'!$W$11+'TUSD BF'!$W$11+'TUSD CVA'!$W$11)*1</f>
        <v>0</v>
      </c>
      <c r="W11" s="17">
        <f>('TUSD BE'!$X$11+'TUSD BF'!$X$11+'TUSD CVA'!$X$11)*1</f>
        <v>0</v>
      </c>
      <c r="X11" s="17">
        <f>('TUSD BE'!$Y$11+'TUSD BF'!$Y$11+'TUSD CVA'!$Y$11)*1</f>
        <v>753.87729675533888</v>
      </c>
      <c r="Y11" s="17">
        <f>('TUSD BE'!$Z$11+'TUSD BF'!$Z$11+'TUSD CVA'!$Z$11)*1</f>
        <v>0</v>
      </c>
      <c r="Z11" s="17">
        <f>('TUSD BE'!$AA$11+'TUSD BF'!$AA$11+'TUSD CVA'!$AA$11)*1</f>
        <v>0</v>
      </c>
      <c r="AA11" s="17">
        <f>('TUSD BE'!$AC$11+'TUSD BF'!$AC$11+'TUSD CVA'!$AC$11)*1</f>
        <v>1077.9783339984451</v>
      </c>
      <c r="AB11" s="17">
        <f ca="1">('TUSD BE'!$AE$11+'TUSD BF'!$AE$11+'TUSD CVA'!$AE$11)*1</f>
        <v>0</v>
      </c>
      <c r="AC11" s="17">
        <f ca="1">('TUSD BE'!$AF$11+'TUSD BF'!$AF$11+'TUSD CVA'!$AF$11)*1</f>
        <v>0</v>
      </c>
      <c r="AD11" s="17">
        <f>('TUSD BE'!$AH$11+'TUSD BF'!$AH$11+'TUSD CVA'!$AH$11)*1</f>
        <v>7.360628582950846</v>
      </c>
      <c r="AE11" s="17">
        <f>('TUSD BE'!$AI$11+'TUSD BF'!$AI$11+'TUSD CVA'!$AI$11)*1</f>
        <v>0</v>
      </c>
      <c r="AF11" s="17">
        <f ca="1">('TUSD BE'!$AJ$11+'TUSD BF'!$AJ$11+'TUSD CVA'!$AJ$11)*1</f>
        <v>0</v>
      </c>
      <c r="AG11" s="17">
        <f ca="1">('TUSD BE'!$AK$11+'TUSD BF'!$AK$11+'TUSD CVA'!$AK$11)*1</f>
        <v>0</v>
      </c>
      <c r="AI11" s="17">
        <v>0</v>
      </c>
      <c r="AJ11" s="17">
        <v>0.576518730253886</v>
      </c>
      <c r="AK11" s="17">
        <v>0</v>
      </c>
      <c r="AL11" s="17">
        <v>0</v>
      </c>
      <c r="AM11" s="17">
        <v>0</v>
      </c>
      <c r="AN11" s="17">
        <v>49.814699911438296</v>
      </c>
      <c r="AO11" s="17">
        <v>8.9131910561285501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789.78198137031598</v>
      </c>
      <c r="AV11" s="17">
        <v>0</v>
      </c>
      <c r="AW11" s="17">
        <v>0</v>
      </c>
      <c r="AX11" s="17">
        <v>1066.55896264784</v>
      </c>
      <c r="AY11" s="17">
        <v>0</v>
      </c>
      <c r="AZ11" s="17">
        <v>0</v>
      </c>
      <c r="BA11" s="17">
        <v>6.9129584248589904</v>
      </c>
      <c r="BB11" s="17">
        <v>0</v>
      </c>
      <c r="BC11" s="17">
        <v>0</v>
      </c>
      <c r="BD11" s="17">
        <v>0</v>
      </c>
    </row>
    <row r="12" spans="1:56" ht="11.25" customHeight="1" x14ac:dyDescent="0.25">
      <c r="A12" s="94"/>
      <c r="B12" s="94"/>
      <c r="C12" s="94"/>
      <c r="D12" s="94"/>
      <c r="E12" s="94"/>
      <c r="F12" s="94"/>
      <c r="G12" s="27" t="s">
        <v>74</v>
      </c>
      <c r="H12" s="27" t="s">
        <v>72</v>
      </c>
      <c r="I12" s="27">
        <f>'MERCADO TUSD'!$U$9</f>
        <v>28226.924000000003</v>
      </c>
      <c r="J12" s="15"/>
      <c r="L12" s="17">
        <f>('TUSD BE'!$L$12+'TUSD BF'!$L$12+'TUSD CVA'!$L$12)*1</f>
        <v>0</v>
      </c>
      <c r="M12" s="17">
        <f>('TUSD BE'!$M$12+'TUSD BF'!$M$12+'TUSD CVA'!$M$12)*1</f>
        <v>0.79490361379109031</v>
      </c>
      <c r="N12" s="17">
        <f ca="1">('TUSD BE'!$N$12+'TUSD BF'!$N$12+'TUSD CVA'!$N$12)*1</f>
        <v>0</v>
      </c>
      <c r="O12" s="17">
        <f>('TUSD BE'!$O$12+'TUSD BF'!$O$12+'TUSD CVA'!$O$12)*1</f>
        <v>0</v>
      </c>
      <c r="P12" s="17">
        <f>('TUSD BE'!$P$12+'TUSD BF'!$P$12+'TUSD CVA'!$P$12)*1</f>
        <v>0</v>
      </c>
      <c r="Q12" s="17">
        <f>('TUSD BE'!$Q$12+'TUSD BF'!$Q$12+'TUSD CVA'!$Q$12)*1</f>
        <v>77.194005474634793</v>
      </c>
      <c r="R12" s="17">
        <f>('TUSD BE'!$R$12+'TUSD BF'!$R$12+'TUSD CVA'!$R$12)*1</f>
        <v>14.498212042235149</v>
      </c>
      <c r="S12" s="17">
        <f>('TUSD BE'!$S$12+'TUSD BF'!$S$12+'TUSD CVA'!$S$12)*1</f>
        <v>0</v>
      </c>
      <c r="T12" s="17">
        <f>('TUSD BE'!$U$12+'TUSD BF'!$U$12+'TUSD CVA'!$U$12)*1</f>
        <v>0</v>
      </c>
      <c r="U12" s="17">
        <f>('TUSD BE'!$V$12+'TUSD BF'!$V$12+'TUSD CVA'!$V$12)*1</f>
        <v>0</v>
      </c>
      <c r="V12" s="17">
        <f>('TUSD BE'!$W$12+'TUSD BF'!$W$12+'TUSD CVA'!$W$12)*1</f>
        <v>0</v>
      </c>
      <c r="W12" s="17">
        <f>('TUSD BE'!$X$12+'TUSD BF'!$X$12+'TUSD CVA'!$X$12)*1</f>
        <v>0</v>
      </c>
      <c r="X12" s="17">
        <f>('TUSD BE'!$Y$12+'TUSD BF'!$Y$12+'TUSD CVA'!$Y$12)*1</f>
        <v>0</v>
      </c>
      <c r="Y12" s="17">
        <f>('TUSD BE'!$Z$12+'TUSD BF'!$Z$12+'TUSD CVA'!$Z$12)*1</f>
        <v>0</v>
      </c>
      <c r="Z12" s="17">
        <f>('TUSD BE'!$AA$12+'TUSD BF'!$AA$12+'TUSD CVA'!$AA$12)*1</f>
        <v>0</v>
      </c>
      <c r="AA12" s="17">
        <f>('TUSD BE'!$AC$12+'TUSD BF'!$AC$12+'TUSD CVA'!$AC$12)*1</f>
        <v>0</v>
      </c>
      <c r="AB12" s="17">
        <f ca="1">('TUSD BE'!$AE$12+'TUSD BF'!$AE$12+'TUSD CVA'!$AE$12)*1</f>
        <v>0</v>
      </c>
      <c r="AC12" s="17">
        <f ca="1">('TUSD BE'!$AF$12+'TUSD BF'!$AF$12+'TUSD CVA'!$AF$12)*1</f>
        <v>0</v>
      </c>
      <c r="AD12" s="17">
        <f>('TUSD BE'!$AH$12+'TUSD BF'!$AH$12+'TUSD CVA'!$AH$12)*1</f>
        <v>7.360628582950846</v>
      </c>
      <c r="AE12" s="17">
        <f>('TUSD BE'!$AI$12+'TUSD BF'!$AI$12+'TUSD CVA'!$AI$12)*1</f>
        <v>0</v>
      </c>
      <c r="AF12" s="17">
        <f ca="1">('TUSD BE'!$AJ$12+'TUSD BF'!$AJ$12+'TUSD CVA'!$AJ$12)*1</f>
        <v>0</v>
      </c>
      <c r="AG12" s="17">
        <f ca="1">('TUSD BE'!$AK$12+'TUSD BF'!$AK$12+'TUSD CVA'!$AK$12)*1</f>
        <v>0</v>
      </c>
      <c r="AI12" s="17">
        <v>0</v>
      </c>
      <c r="AJ12" s="17">
        <v>0.576518730253886</v>
      </c>
      <c r="AK12" s="17">
        <v>0</v>
      </c>
      <c r="AL12" s="17">
        <v>0</v>
      </c>
      <c r="AM12" s="17">
        <v>0</v>
      </c>
      <c r="AN12" s="17">
        <v>49.814699911438296</v>
      </c>
      <c r="AO12" s="17">
        <v>8.9131910561285501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6.9129584248589904</v>
      </c>
      <c r="BB12" s="17">
        <v>0</v>
      </c>
      <c r="BC12" s="17">
        <v>0</v>
      </c>
      <c r="BD12" s="17">
        <v>0</v>
      </c>
    </row>
    <row r="13" spans="1:56" ht="11.25" customHeight="1" x14ac:dyDescent="0.25">
      <c r="A13" s="94"/>
      <c r="B13" s="94"/>
      <c r="C13" s="94"/>
      <c r="D13" s="94"/>
      <c r="E13" s="94" t="s">
        <v>79</v>
      </c>
      <c r="F13" s="94" t="s">
        <v>25</v>
      </c>
      <c r="G13" s="27" t="s">
        <v>73</v>
      </c>
      <c r="H13" s="27" t="s">
        <v>72</v>
      </c>
      <c r="I13" s="27">
        <f>'MERCADO TUSD'!$U$10</f>
        <v>0</v>
      </c>
      <c r="J13" s="15"/>
      <c r="L13" s="17">
        <f>('TUSD BE'!$L$13+'TUSD BF'!$L$13+'TUSD CVA'!$L$13)*1</f>
        <v>0</v>
      </c>
      <c r="M13" s="17">
        <f>('TUSD BE'!$M$13+'TUSD BF'!$M$13+'TUSD CVA'!$M$13)*1</f>
        <v>0.79490361379109031</v>
      </c>
      <c r="N13" s="17">
        <f ca="1">('TUSD BE'!$N$13+'TUSD BF'!$N$13+'TUSD CVA'!$N$13)*1</f>
        <v>0</v>
      </c>
      <c r="O13" s="17">
        <f>('TUSD BE'!$O$13+'TUSD BF'!$O$13+'TUSD CVA'!$O$13)*1</f>
        <v>0</v>
      </c>
      <c r="P13" s="17">
        <f>('TUSD BE'!$P$13+'TUSD BF'!$P$13+'TUSD CVA'!$P$13)*1</f>
        <v>0</v>
      </c>
      <c r="Q13" s="17">
        <f>('TUSD BE'!$Q$13+'TUSD BF'!$Q$13+'TUSD CVA'!$Q$13)*1</f>
        <v>0</v>
      </c>
      <c r="R13" s="17">
        <f>('TUSD BE'!$R$13+'TUSD BF'!$R$13+'TUSD CVA'!$R$13)*1</f>
        <v>0</v>
      </c>
      <c r="S13" s="17">
        <f>('TUSD BE'!$S$13+'TUSD BF'!$S$13+'TUSD CVA'!$S$13)*1</f>
        <v>0</v>
      </c>
      <c r="T13" s="17">
        <f>('TUSD BE'!$U$13+'TUSD BF'!$U$13+'TUSD CVA'!$U$13)*1</f>
        <v>0</v>
      </c>
      <c r="U13" s="17">
        <f>('TUSD BE'!$V$13+'TUSD BF'!$V$13+'TUSD CVA'!$V$13)*1</f>
        <v>0</v>
      </c>
      <c r="V13" s="17">
        <f>('TUSD BE'!$W$13+'TUSD BF'!$W$13+'TUSD CVA'!$W$13)*1</f>
        <v>0</v>
      </c>
      <c r="W13" s="17">
        <f>('TUSD BE'!$X$13+'TUSD BF'!$X$13+'TUSD CVA'!$X$13)*1</f>
        <v>0</v>
      </c>
      <c r="X13" s="17">
        <f>('TUSD BE'!$Y$13+'TUSD BF'!$Y$13+'TUSD CVA'!$Y$13)*1</f>
        <v>753.87729675533888</v>
      </c>
      <c r="Y13" s="17">
        <f>('TUSD BE'!$Z$13+'TUSD BF'!$Z$13+'TUSD CVA'!$Z$13)*1</f>
        <v>0</v>
      </c>
      <c r="Z13" s="17">
        <f>('TUSD BE'!$AA$13+'TUSD BF'!$AA$13+'TUSD CVA'!$AA$13)*1</f>
        <v>0</v>
      </c>
      <c r="AA13" s="17">
        <f>('TUSD BE'!$AC$13+'TUSD BF'!$AC$13+'TUSD CVA'!$AC$13)*1</f>
        <v>1077.9783339984451</v>
      </c>
      <c r="AB13" s="17">
        <f ca="1">('TUSD BE'!$AE$13+'TUSD BF'!$AE$13+'TUSD CVA'!$AE$13)*1</f>
        <v>0</v>
      </c>
      <c r="AC13" s="17">
        <f ca="1">('TUSD BE'!$AF$13+'TUSD BF'!$AF$13+'TUSD CVA'!$AF$13)*1</f>
        <v>0</v>
      </c>
      <c r="AD13" s="17">
        <f>('TUSD BE'!$AH$13+'TUSD BF'!$AH$13+'TUSD CVA'!$AH$13)*1</f>
        <v>7.360628582950846</v>
      </c>
      <c r="AE13" s="17">
        <f>('TUSD BE'!$AI$13+'TUSD BF'!$AI$13+'TUSD CVA'!$AI$13)*1</f>
        <v>0</v>
      </c>
      <c r="AF13" s="17">
        <f ca="1">('TUSD BE'!$AJ$13+'TUSD BF'!$AJ$13+'TUSD CVA'!$AJ$13)*1</f>
        <v>0</v>
      </c>
      <c r="AG13" s="17">
        <f ca="1">('TUSD BE'!$AK$13+'TUSD BF'!$AK$13+'TUSD CVA'!$AK$13)*1</f>
        <v>0</v>
      </c>
      <c r="AI13" s="17">
        <v>0</v>
      </c>
      <c r="AJ13" s="17">
        <v>0.576518730253886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789.78198137031598</v>
      </c>
      <c r="AV13" s="17">
        <v>0</v>
      </c>
      <c r="AW13" s="17">
        <v>0</v>
      </c>
      <c r="AX13" s="17">
        <v>1066.55896264784</v>
      </c>
      <c r="AY13" s="17">
        <v>0</v>
      </c>
      <c r="AZ13" s="17">
        <v>0</v>
      </c>
      <c r="BA13" s="17">
        <v>6.9129584248589904</v>
      </c>
      <c r="BB13" s="17">
        <v>0</v>
      </c>
      <c r="BC13" s="17">
        <v>0</v>
      </c>
      <c r="BD13" s="17">
        <v>0</v>
      </c>
    </row>
    <row r="14" spans="1:56" ht="11.25" customHeight="1" x14ac:dyDescent="0.25">
      <c r="A14" s="94"/>
      <c r="B14" s="94"/>
      <c r="C14" s="94"/>
      <c r="D14" s="94"/>
      <c r="E14" s="94"/>
      <c r="F14" s="94"/>
      <c r="G14" s="27" t="s">
        <v>74</v>
      </c>
      <c r="H14" s="27" t="s">
        <v>72</v>
      </c>
      <c r="I14" s="27">
        <f>'MERCADO TUSD'!$U$11</f>
        <v>0</v>
      </c>
      <c r="J14" s="15"/>
      <c r="L14" s="17">
        <f>('TUSD BE'!$L$14+'TUSD BF'!$L$14+'TUSD CVA'!$L$14)*1</f>
        <v>0</v>
      </c>
      <c r="M14" s="17">
        <f>('TUSD BE'!$M$14+'TUSD BF'!$M$14+'TUSD CVA'!$M$14)*1</f>
        <v>0.79490361379109031</v>
      </c>
      <c r="N14" s="17">
        <f ca="1">('TUSD BE'!$N$14+'TUSD BF'!$N$14+'TUSD CVA'!$N$14)*1</f>
        <v>0</v>
      </c>
      <c r="O14" s="17">
        <f>('TUSD BE'!$O$14+'TUSD BF'!$O$14+'TUSD CVA'!$O$14)*1</f>
        <v>0</v>
      </c>
      <c r="P14" s="17">
        <f>('TUSD BE'!$P$14+'TUSD BF'!$P$14+'TUSD CVA'!$P$14)*1</f>
        <v>0</v>
      </c>
      <c r="Q14" s="17">
        <f>('TUSD BE'!$Q$14+'TUSD BF'!$Q$14+'TUSD CVA'!$Q$14)*1</f>
        <v>0</v>
      </c>
      <c r="R14" s="17">
        <f>('TUSD BE'!$R$14+'TUSD BF'!$R$14+'TUSD CVA'!$R$14)*1</f>
        <v>0</v>
      </c>
      <c r="S14" s="17">
        <f>('TUSD BE'!$S$14+'TUSD BF'!$S$14+'TUSD CVA'!$S$14)*1</f>
        <v>0</v>
      </c>
      <c r="T14" s="17">
        <f>('TUSD BE'!$U$14+'TUSD BF'!$U$14+'TUSD CVA'!$U$14)*1</f>
        <v>0</v>
      </c>
      <c r="U14" s="17">
        <f>('TUSD BE'!$V$14+'TUSD BF'!$V$14+'TUSD CVA'!$V$14)*1</f>
        <v>0</v>
      </c>
      <c r="V14" s="17">
        <f>('TUSD BE'!$W$14+'TUSD BF'!$W$14+'TUSD CVA'!$W$14)*1</f>
        <v>0</v>
      </c>
      <c r="W14" s="17">
        <f>('TUSD BE'!$X$14+'TUSD BF'!$X$14+'TUSD CVA'!$X$14)*1</f>
        <v>0</v>
      </c>
      <c r="X14" s="17">
        <f>('TUSD BE'!$Y$14+'TUSD BF'!$Y$14+'TUSD CVA'!$Y$14)*1</f>
        <v>0</v>
      </c>
      <c r="Y14" s="17">
        <f>('TUSD BE'!$Z$14+'TUSD BF'!$Z$14+'TUSD CVA'!$Z$14)*1</f>
        <v>0</v>
      </c>
      <c r="Z14" s="17">
        <f>('TUSD BE'!$AA$14+'TUSD BF'!$AA$14+'TUSD CVA'!$AA$14)*1</f>
        <v>0</v>
      </c>
      <c r="AA14" s="17">
        <f>('TUSD BE'!$AC$14+'TUSD BF'!$AC$14+'TUSD CVA'!$AC$14)*1</f>
        <v>0</v>
      </c>
      <c r="AB14" s="17">
        <f ca="1">('TUSD BE'!$AE$14+'TUSD BF'!$AE$14+'TUSD CVA'!$AE$14)*1</f>
        <v>0</v>
      </c>
      <c r="AC14" s="17">
        <f ca="1">('TUSD BE'!$AF$14+'TUSD BF'!$AF$14+'TUSD CVA'!$AF$14)*1</f>
        <v>0</v>
      </c>
      <c r="AD14" s="17">
        <f>('TUSD BE'!$AH$14+'TUSD BF'!$AH$14+'TUSD CVA'!$AH$14)*1</f>
        <v>7.360628582950846</v>
      </c>
      <c r="AE14" s="17">
        <f>('TUSD BE'!$AI$14+'TUSD BF'!$AI$14+'TUSD CVA'!$AI$14)*1</f>
        <v>0</v>
      </c>
      <c r="AF14" s="17">
        <f ca="1">('TUSD BE'!$AJ$14+'TUSD BF'!$AJ$14+'TUSD CVA'!$AJ$14)*1</f>
        <v>0</v>
      </c>
      <c r="AG14" s="17">
        <f ca="1">('TUSD BE'!$AK$14+'TUSD BF'!$AK$14+'TUSD CVA'!$AK$14)*1</f>
        <v>0</v>
      </c>
      <c r="AI14" s="17">
        <v>0</v>
      </c>
      <c r="AJ14" s="17">
        <v>0.576518730253886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6.9129584248589904</v>
      </c>
      <c r="BB14" s="17">
        <v>0</v>
      </c>
      <c r="BC14" s="17">
        <v>0</v>
      </c>
      <c r="BD14" s="17">
        <v>0</v>
      </c>
    </row>
    <row r="15" spans="1:56" ht="11.25" customHeight="1" x14ac:dyDescent="0.25">
      <c r="A15" s="94" t="s">
        <v>80</v>
      </c>
      <c r="B15" s="94" t="s">
        <v>53</v>
      </c>
      <c r="C15" s="94" t="s">
        <v>25</v>
      </c>
      <c r="D15" s="94" t="s">
        <v>25</v>
      </c>
      <c r="E15" s="26" t="s">
        <v>81</v>
      </c>
      <c r="F15" s="26" t="s">
        <v>25</v>
      </c>
      <c r="G15" s="27" t="s">
        <v>9</v>
      </c>
      <c r="H15" s="27" t="s">
        <v>75</v>
      </c>
      <c r="I15" s="27">
        <f>'MERCADO TUSD'!$U$12+0.00000001</f>
        <v>1E-8</v>
      </c>
      <c r="J15" s="15"/>
      <c r="L15" s="17">
        <f>('TUSD BE'!$L$15+'TUSD BF'!$L$15+'TUSD CVA'!$L$15)*1</f>
        <v>0</v>
      </c>
      <c r="M15" s="17">
        <f>('TUSD BE'!$M$15+'TUSD BF'!$M$15+'TUSD CVA'!$M$15)*1</f>
        <v>1.1054928591923686E-2</v>
      </c>
      <c r="N15" s="17">
        <f ca="1">('TUSD BE'!$N$15+'TUSD BF'!$N$15+'TUSD CVA'!$N$15)*1</f>
        <v>0</v>
      </c>
      <c r="O15" s="17">
        <f>('TUSD BE'!$O$15+'TUSD BF'!$O$15+'TUSD CVA'!$O$15)*1</f>
        <v>0</v>
      </c>
      <c r="P15" s="17">
        <f>('TUSD BE'!$P$15+'TUSD BF'!$P$15+'TUSD CVA'!$P$15)*1</f>
        <v>0</v>
      </c>
      <c r="Q15" s="17">
        <f>('TUSD BE'!$Q$15+'TUSD BF'!$Q$15+'TUSD CVA'!$Q$15)*1</f>
        <v>0</v>
      </c>
      <c r="R15" s="17">
        <f>('TUSD BE'!$R$15+'TUSD BF'!$R$15+'TUSD CVA'!$R$15)*1</f>
        <v>0</v>
      </c>
      <c r="S15" s="17">
        <f>('TUSD BE'!$S$15+'TUSD BF'!$S$15+'TUSD CVA'!$S$15)*1</f>
        <v>0</v>
      </c>
      <c r="T15" s="17">
        <f>('TUSD BE'!$U$15+'TUSD BF'!$U$15+'TUSD CVA'!$U$15)*1</f>
        <v>0</v>
      </c>
      <c r="U15" s="17">
        <f>('TUSD BE'!$V$15+'TUSD BF'!$V$15+'TUSD CVA'!$V$15)*1</f>
        <v>0</v>
      </c>
      <c r="V15" s="17">
        <f>('TUSD BE'!$W$15+'TUSD BF'!$W$15+'TUSD CVA'!$W$15)*1</f>
        <v>0</v>
      </c>
      <c r="W15" s="17">
        <f>('TUSD BE'!$X$15+'TUSD BF'!$X$15+'TUSD CVA'!$X$15)*1</f>
        <v>0</v>
      </c>
      <c r="X15" s="17">
        <f>('TUSD BE'!$Y$15+'TUSD BF'!$Y$15+'TUSD CVA'!$Y$15)*1</f>
        <v>0</v>
      </c>
      <c r="Y15" s="17">
        <f>('TUSD BE'!$Z$15+'TUSD BF'!$Z$15+'TUSD CVA'!$Z$15)*1</f>
        <v>0</v>
      </c>
      <c r="Z15" s="17">
        <f>('TUSD BE'!$AA$15+'TUSD BF'!$AA$15+'TUSD CVA'!$AA$15)*1</f>
        <v>0</v>
      </c>
      <c r="AA15" s="17">
        <f>('TUSD BE'!$AC$15+'TUSD BF'!$AC$15+'TUSD CVA'!$AC$15)*1</f>
        <v>5.8446959010991746</v>
      </c>
      <c r="AB15" s="17">
        <f ca="1">('TUSD BE'!$AE$15+'TUSD BF'!$AE$15+'TUSD CVA'!$AE$15)*1</f>
        <v>0</v>
      </c>
      <c r="AC15" s="17">
        <f ca="1">('TUSD BE'!$AF$15+'TUSD BF'!$AF$15+'TUSD CVA'!$AF$15)*1</f>
        <v>0</v>
      </c>
      <c r="AD15" s="17">
        <f>('TUSD BE'!$AH$15+'TUSD BF'!$AH$15+'TUSD CVA'!$AH$15)*1</f>
        <v>0</v>
      </c>
      <c r="AE15" s="17">
        <f>('TUSD BE'!$AI$15+'TUSD BF'!$AI$15+'TUSD CVA'!$AI$15)*1</f>
        <v>0</v>
      </c>
      <c r="AF15" s="17">
        <f ca="1">('TUSD BE'!$AJ$15+'TUSD BF'!$AJ$15+'TUSD CVA'!$AJ$15)*1</f>
        <v>0</v>
      </c>
      <c r="AG15" s="17">
        <f ca="1">('TUSD BE'!$AK$15+'TUSD BF'!$AK$15+'TUSD CVA'!$AK$15)*1</f>
        <v>0</v>
      </c>
      <c r="AI15" s="17">
        <v>0</v>
      </c>
      <c r="AJ15" s="17">
        <v>1.01486375622308E-2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5.7827822539549603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</row>
    <row r="16" spans="1:56" ht="11.25" customHeight="1" x14ac:dyDescent="0.25">
      <c r="A16" s="94"/>
      <c r="B16" s="94"/>
      <c r="C16" s="94"/>
      <c r="D16" s="94"/>
      <c r="E16" s="26" t="s">
        <v>82</v>
      </c>
      <c r="F16" s="26" t="s">
        <v>25</v>
      </c>
      <c r="G16" s="27" t="s">
        <v>9</v>
      </c>
      <c r="H16" s="27" t="s">
        <v>75</v>
      </c>
      <c r="I16" s="27">
        <f>'MERCADO TUSD'!$U$13+0.00000001</f>
        <v>1E-8</v>
      </c>
      <c r="J16" s="15"/>
      <c r="L16" s="17">
        <f>('TUSD BE'!$L$16+'TUSD BF'!$L$16+'TUSD CVA'!$L$16)*1</f>
        <v>0</v>
      </c>
      <c r="M16" s="17">
        <f>('TUSD BE'!$M$16+'TUSD BF'!$M$16+'TUSD CVA'!$M$16)*1</f>
        <v>1.1054928591923686E-2</v>
      </c>
      <c r="N16" s="17">
        <f ca="1">('TUSD BE'!$N$16+'TUSD BF'!$N$16+'TUSD CVA'!$N$16)*1</f>
        <v>0</v>
      </c>
      <c r="O16" s="17">
        <f>('TUSD BE'!$O$16+'TUSD BF'!$O$16+'TUSD CVA'!$O$16)*1</f>
        <v>0</v>
      </c>
      <c r="P16" s="17">
        <f>('TUSD BE'!$P$16+'TUSD BF'!$P$16+'TUSD CVA'!$P$16)*1</f>
        <v>0</v>
      </c>
      <c r="Q16" s="17">
        <f>('TUSD BE'!$Q$16+'TUSD BF'!$Q$16+'TUSD CVA'!$Q$16)*1</f>
        <v>0</v>
      </c>
      <c r="R16" s="17">
        <f>('TUSD BE'!$R$16+'TUSD BF'!$R$16+'TUSD CVA'!$R$16)*1</f>
        <v>0</v>
      </c>
      <c r="S16" s="17">
        <f>('TUSD BE'!$S$16+'TUSD BF'!$S$16+'TUSD CVA'!$S$16)*1</f>
        <v>0</v>
      </c>
      <c r="T16" s="17">
        <f>('TUSD BE'!$U$16+'TUSD BF'!$U$16+'TUSD CVA'!$U$16)*1</f>
        <v>0</v>
      </c>
      <c r="U16" s="17">
        <f>('TUSD BE'!$V$16+'TUSD BF'!$V$16+'TUSD CVA'!$V$16)*1</f>
        <v>0</v>
      </c>
      <c r="V16" s="17">
        <f>('TUSD BE'!$W$16+'TUSD BF'!$W$16+'TUSD CVA'!$W$16)*1</f>
        <v>0</v>
      </c>
      <c r="W16" s="17">
        <f>('TUSD BE'!$X$16+'TUSD BF'!$X$16+'TUSD CVA'!$X$16)*1</f>
        <v>0</v>
      </c>
      <c r="X16" s="17">
        <f>('TUSD BE'!$Y$16+'TUSD BF'!$Y$16+'TUSD CVA'!$Y$16)*1</f>
        <v>0</v>
      </c>
      <c r="Y16" s="17">
        <f>('TUSD BE'!$Z$16+'TUSD BF'!$Z$16+'TUSD CVA'!$Z$16)*1</f>
        <v>0</v>
      </c>
      <c r="Z16" s="17">
        <f>('TUSD BE'!$AA$16+'TUSD BF'!$AA$16+'TUSD CVA'!$AA$16)*1</f>
        <v>0</v>
      </c>
      <c r="AA16" s="17">
        <f>('TUSD BE'!$AC$16+'TUSD BF'!$AC$16+'TUSD CVA'!$AC$16)*1</f>
        <v>11.891289354418261</v>
      </c>
      <c r="AB16" s="17">
        <f ca="1">('TUSD BE'!$AE$16+'TUSD BF'!$AE$16+'TUSD CVA'!$AE$16)*1</f>
        <v>0</v>
      </c>
      <c r="AC16" s="17">
        <f ca="1">('TUSD BE'!$AF$16+'TUSD BF'!$AF$16+'TUSD CVA'!$AF$16)*1</f>
        <v>0</v>
      </c>
      <c r="AD16" s="17">
        <f>('TUSD BE'!$AH$16+'TUSD BF'!$AH$16+'TUSD CVA'!$AH$16)*1</f>
        <v>0</v>
      </c>
      <c r="AE16" s="17">
        <f>('TUSD BE'!$AI$16+'TUSD BF'!$AI$16+'TUSD CVA'!$AI$16)*1</f>
        <v>0</v>
      </c>
      <c r="AF16" s="17">
        <f ca="1">('TUSD BE'!$AJ$16+'TUSD BF'!$AJ$16+'TUSD CVA'!$AJ$16)*1</f>
        <v>0</v>
      </c>
      <c r="AG16" s="17">
        <f ca="1">('TUSD BE'!$AK$16+'TUSD BF'!$AK$16+'TUSD CVA'!$AK$16)*1</f>
        <v>0</v>
      </c>
      <c r="AI16" s="17">
        <v>0</v>
      </c>
      <c r="AJ16" s="17">
        <v>1.01486375622308E-2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11.7653260202067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</row>
    <row r="17" spans="1:56" ht="11.25" customHeight="1" x14ac:dyDescent="0.25">
      <c r="A17" s="94" t="s">
        <v>22</v>
      </c>
      <c r="B17" s="94" t="s">
        <v>85</v>
      </c>
      <c r="C17" s="94" t="s">
        <v>24</v>
      </c>
      <c r="D17" s="94" t="s">
        <v>24</v>
      </c>
      <c r="E17" s="94" t="s">
        <v>25</v>
      </c>
      <c r="F17" s="94" t="s">
        <v>25</v>
      </c>
      <c r="G17" s="27" t="s">
        <v>73</v>
      </c>
      <c r="H17" s="27" t="s">
        <v>72</v>
      </c>
      <c r="I17" s="27">
        <f>'MERCADO TUSD'!$U$14</f>
        <v>0</v>
      </c>
      <c r="J17" s="15"/>
      <c r="L17" s="17">
        <f>('TUSD BE'!$L$17+'TUSD BF'!$L$17+'TUSD CVA'!$L$17)*1</f>
        <v>0</v>
      </c>
      <c r="M17" s="17">
        <f>('TUSD BE'!$M$17+'TUSD BF'!$M$17+'TUSD CVA'!$M$17)*1</f>
        <v>1.4972555760151607</v>
      </c>
      <c r="N17" s="17">
        <f ca="1">('TUSD BE'!$N$17+'TUSD BF'!$N$17+'TUSD CVA'!$N$17)*1</f>
        <v>0</v>
      </c>
      <c r="O17" s="17">
        <f>('TUSD BE'!$O$17+'TUSD BF'!$O$17+'TUSD CVA'!$O$17)*1</f>
        <v>0</v>
      </c>
      <c r="P17" s="17">
        <f>('TUSD BE'!$P$17+'TUSD BF'!$P$17+'TUSD CVA'!$P$17)*1</f>
        <v>0</v>
      </c>
      <c r="Q17" s="17">
        <f>('TUSD BE'!$Q$17+'TUSD BF'!$Q$17+'TUSD CVA'!$Q$17)*1</f>
        <v>91.897625565041423</v>
      </c>
      <c r="R17" s="17">
        <f>('TUSD BE'!$R$17+'TUSD BF'!$R$17+'TUSD CVA'!$R$17)*1</f>
        <v>14.498212042235149</v>
      </c>
      <c r="S17" s="17">
        <f>('TUSD BE'!$S$17+'TUSD BF'!$S$17+'TUSD CVA'!$S$17)*1</f>
        <v>0</v>
      </c>
      <c r="T17" s="17">
        <f>('TUSD BE'!$U$17+'TUSD BF'!$U$17+'TUSD CVA'!$U$17)*1</f>
        <v>0</v>
      </c>
      <c r="U17" s="17">
        <f>('TUSD BE'!$V$17+'TUSD BF'!$V$17+'TUSD CVA'!$V$17)*1</f>
        <v>0</v>
      </c>
      <c r="V17" s="17">
        <f>('TUSD BE'!$W$17+'TUSD BF'!$W$17+'TUSD CVA'!$W$17)*1</f>
        <v>0</v>
      </c>
      <c r="W17" s="17">
        <f>('TUSD BE'!$X$17+'TUSD BF'!$X$17+'TUSD CVA'!$X$17)*1</f>
        <v>0</v>
      </c>
      <c r="X17" s="17">
        <f>('TUSD BE'!$Y$17+'TUSD BF'!$Y$17+'TUSD CVA'!$Y$17)*1</f>
        <v>275.99945140920363</v>
      </c>
      <c r="Y17" s="17">
        <f>('TUSD BE'!$Z$17+'TUSD BF'!$Z$17+'TUSD CVA'!$Z$17)*1</f>
        <v>0</v>
      </c>
      <c r="Z17" s="17">
        <f>('TUSD BE'!$AA$17+'TUSD BF'!$AA$17+'TUSD CVA'!$AA$17)*1</f>
        <v>0</v>
      </c>
      <c r="AA17" s="17">
        <f>('TUSD BE'!$AC$17+'TUSD BF'!$AC$17+'TUSD CVA'!$AC$17)*1</f>
        <v>503.66292208850336</v>
      </c>
      <c r="AB17" s="17">
        <f ca="1">('TUSD BE'!$AE$17+'TUSD BF'!$AE$17+'TUSD CVA'!$AE$17)*1</f>
        <v>0</v>
      </c>
      <c r="AC17" s="17">
        <f ca="1">('TUSD BE'!$AF$17+'TUSD BF'!$AF$17+'TUSD CVA'!$AF$17)*1</f>
        <v>0</v>
      </c>
      <c r="AD17" s="17">
        <f>('TUSD BE'!$AH$17+'TUSD BF'!$AH$17+'TUSD CVA'!$AH$17)*1</f>
        <v>19.064272922736382</v>
      </c>
      <c r="AE17" s="17">
        <f>('TUSD BE'!$AI$17+'TUSD BF'!$AI$17+'TUSD CVA'!$AI$17)*1</f>
        <v>0</v>
      </c>
      <c r="AF17" s="17">
        <f ca="1">('TUSD BE'!$AJ$17+'TUSD BF'!$AJ$17+'TUSD CVA'!$AJ$17)*1</f>
        <v>0</v>
      </c>
      <c r="AG17" s="17">
        <f ca="1">('TUSD BE'!$AK$17+'TUSD BF'!$AK$17+'TUSD CVA'!$AK$17)*1</f>
        <v>0</v>
      </c>
      <c r="AI17" s="17">
        <v>0</v>
      </c>
      <c r="AJ17" s="17">
        <v>1.3309441831322699</v>
      </c>
      <c r="AK17" s="17">
        <v>0</v>
      </c>
      <c r="AL17" s="17">
        <v>0</v>
      </c>
      <c r="AM17" s="17">
        <v>0</v>
      </c>
      <c r="AN17" s="17">
        <v>57.258275760274003</v>
      </c>
      <c r="AO17" s="17">
        <v>8.9131910561285501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289.14444381361199</v>
      </c>
      <c r="AV17" s="17">
        <v>0</v>
      </c>
      <c r="AW17" s="17">
        <v>0</v>
      </c>
      <c r="AX17" s="17">
        <v>498.327423227618</v>
      </c>
      <c r="AY17" s="17">
        <v>0</v>
      </c>
      <c r="AZ17" s="17">
        <v>0</v>
      </c>
      <c r="BA17" s="17">
        <v>17.9048980109967</v>
      </c>
      <c r="BB17" s="17">
        <v>0</v>
      </c>
      <c r="BC17" s="17">
        <v>0</v>
      </c>
      <c r="BD17" s="17">
        <v>0</v>
      </c>
    </row>
    <row r="18" spans="1:56" ht="11.25" customHeight="1" x14ac:dyDescent="0.25">
      <c r="A18" s="94"/>
      <c r="B18" s="94"/>
      <c r="C18" s="94"/>
      <c r="D18" s="94"/>
      <c r="E18" s="94"/>
      <c r="F18" s="94"/>
      <c r="G18" s="27" t="s">
        <v>83</v>
      </c>
      <c r="H18" s="27" t="s">
        <v>72</v>
      </c>
      <c r="I18" s="27">
        <f>'MERCADO TUSD'!$U$15</f>
        <v>0</v>
      </c>
      <c r="J18" s="15"/>
      <c r="L18" s="17">
        <f>('TUSD BE'!$L$18+'TUSD BF'!$L$18+'TUSD CVA'!$L$18)*1</f>
        <v>0</v>
      </c>
      <c r="M18" s="17">
        <f>('TUSD BE'!$M$18+'TUSD BF'!$M$18+'TUSD CVA'!$M$18)*1</f>
        <v>1.4972555760151607</v>
      </c>
      <c r="N18" s="17">
        <f ca="1">('TUSD BE'!$N$18+'TUSD BF'!$N$18+'TUSD CVA'!$N$18)*1</f>
        <v>0</v>
      </c>
      <c r="O18" s="17">
        <f>('TUSD BE'!$O$18+'TUSD BF'!$O$18+'TUSD CVA'!$O$18)*1</f>
        <v>0</v>
      </c>
      <c r="P18" s="17">
        <f>('TUSD BE'!$P$18+'TUSD BF'!$P$18+'TUSD CVA'!$P$18)*1</f>
        <v>0</v>
      </c>
      <c r="Q18" s="17">
        <f>('TUSD BE'!$Q$18+'TUSD BF'!$Q$18+'TUSD CVA'!$Q$18)*1</f>
        <v>91.897625565041423</v>
      </c>
      <c r="R18" s="17">
        <f>('TUSD BE'!$R$18+'TUSD BF'!$R$18+'TUSD CVA'!$R$18)*1</f>
        <v>14.498212042235149</v>
      </c>
      <c r="S18" s="17">
        <f>('TUSD BE'!$S$18+'TUSD BF'!$S$18+'TUSD CVA'!$S$18)*1</f>
        <v>0</v>
      </c>
      <c r="T18" s="17">
        <f>('TUSD BE'!$U$18+'TUSD BF'!$U$18+'TUSD CVA'!$U$18)*1</f>
        <v>0</v>
      </c>
      <c r="U18" s="17">
        <f>('TUSD BE'!$V$18+'TUSD BF'!$V$18+'TUSD CVA'!$V$18)*1</f>
        <v>0</v>
      </c>
      <c r="V18" s="17">
        <f>('TUSD BE'!$W$18+'TUSD BF'!$W$18+'TUSD CVA'!$W$18)*1</f>
        <v>0</v>
      </c>
      <c r="W18" s="17">
        <f>('TUSD BE'!$X$18+'TUSD BF'!$X$18+'TUSD CVA'!$X$18)*1</f>
        <v>0</v>
      </c>
      <c r="X18" s="17">
        <f>('TUSD BE'!$Y$18+'TUSD BF'!$Y$18+'TUSD CVA'!$Y$18)*1</f>
        <v>165.59970884521329</v>
      </c>
      <c r="Y18" s="17">
        <f>('TUSD BE'!$Z$18+'TUSD BF'!$Z$18+'TUSD CVA'!$Z$18)*1</f>
        <v>0</v>
      </c>
      <c r="Z18" s="17">
        <f>('TUSD BE'!$AA$18+'TUSD BF'!$AA$18+'TUSD CVA'!$AA$18)*1</f>
        <v>0</v>
      </c>
      <c r="AA18" s="17">
        <f>('TUSD BE'!$AC$18+'TUSD BF'!$AC$18+'TUSD CVA'!$AC$18)*1</f>
        <v>302.19786806547177</v>
      </c>
      <c r="AB18" s="17">
        <f ca="1">('TUSD BE'!$AE$18+'TUSD BF'!$AE$18+'TUSD CVA'!$AE$18)*1</f>
        <v>0</v>
      </c>
      <c r="AC18" s="17">
        <f ca="1">('TUSD BE'!$AF$18+'TUSD BF'!$AF$18+'TUSD CVA'!$AF$18)*1</f>
        <v>0</v>
      </c>
      <c r="AD18" s="17">
        <f>('TUSD BE'!$AH$18+'TUSD BF'!$AH$18+'TUSD CVA'!$AH$18)*1</f>
        <v>19.064272922736382</v>
      </c>
      <c r="AE18" s="17">
        <f>('TUSD BE'!$AI$18+'TUSD BF'!$AI$18+'TUSD CVA'!$AI$18)*1</f>
        <v>0</v>
      </c>
      <c r="AF18" s="17">
        <f ca="1">('TUSD BE'!$AJ$18+'TUSD BF'!$AJ$18+'TUSD CVA'!$AJ$18)*1</f>
        <v>0</v>
      </c>
      <c r="AG18" s="17">
        <f ca="1">('TUSD BE'!$AK$18+'TUSD BF'!$AK$18+'TUSD CVA'!$AK$18)*1</f>
        <v>0</v>
      </c>
      <c r="AI18" s="17">
        <v>0</v>
      </c>
      <c r="AJ18" s="17">
        <v>1.3309441831322699</v>
      </c>
      <c r="AK18" s="17">
        <v>0</v>
      </c>
      <c r="AL18" s="17">
        <v>0</v>
      </c>
      <c r="AM18" s="17">
        <v>0</v>
      </c>
      <c r="AN18" s="17">
        <v>57.258275760274003</v>
      </c>
      <c r="AO18" s="17">
        <v>8.9131910561285501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173.48668631304</v>
      </c>
      <c r="AV18" s="17">
        <v>0</v>
      </c>
      <c r="AW18" s="17">
        <v>0</v>
      </c>
      <c r="AX18" s="17">
        <v>298.99659470381198</v>
      </c>
      <c r="AY18" s="17">
        <v>0</v>
      </c>
      <c r="AZ18" s="17">
        <v>0</v>
      </c>
      <c r="BA18" s="17">
        <v>17.9048980109967</v>
      </c>
      <c r="BB18" s="17">
        <v>0</v>
      </c>
      <c r="BC18" s="17">
        <v>0</v>
      </c>
      <c r="BD18" s="17">
        <v>0</v>
      </c>
    </row>
    <row r="19" spans="1:56" ht="11.25" customHeight="1" x14ac:dyDescent="0.25">
      <c r="A19" s="94"/>
      <c r="B19" s="94"/>
      <c r="C19" s="94"/>
      <c r="D19" s="94"/>
      <c r="E19" s="94"/>
      <c r="F19" s="94"/>
      <c r="G19" s="27" t="s">
        <v>74</v>
      </c>
      <c r="H19" s="27" t="s">
        <v>72</v>
      </c>
      <c r="I19" s="27">
        <f>'MERCADO TUSD'!$U$16</f>
        <v>0</v>
      </c>
      <c r="J19" s="15"/>
      <c r="L19" s="17">
        <f>('TUSD BE'!$L$19+'TUSD BF'!$L$19+'TUSD CVA'!$L$19)*1</f>
        <v>0</v>
      </c>
      <c r="M19" s="17">
        <f>('TUSD BE'!$M$19+'TUSD BF'!$M$19+'TUSD CVA'!$M$19)*1</f>
        <v>1.4972555760151607</v>
      </c>
      <c r="N19" s="17">
        <f ca="1">('TUSD BE'!$N$19+'TUSD BF'!$N$19+'TUSD CVA'!$N$19)*1</f>
        <v>0</v>
      </c>
      <c r="O19" s="17">
        <f>('TUSD BE'!$O$19+'TUSD BF'!$O$19+'TUSD CVA'!$O$19)*1</f>
        <v>0</v>
      </c>
      <c r="P19" s="17">
        <f>('TUSD BE'!$P$19+'TUSD BF'!$P$19+'TUSD CVA'!$P$19)*1</f>
        <v>0</v>
      </c>
      <c r="Q19" s="17">
        <f>('TUSD BE'!$Q$19+'TUSD BF'!$Q$19+'TUSD CVA'!$Q$19)*1</f>
        <v>91.897625565041423</v>
      </c>
      <c r="R19" s="17">
        <f>('TUSD BE'!$R$19+'TUSD BF'!$R$19+'TUSD CVA'!$R$19)*1</f>
        <v>14.498212042235149</v>
      </c>
      <c r="S19" s="17">
        <f>('TUSD BE'!$S$19+'TUSD BF'!$S$19+'TUSD CVA'!$S$19)*1</f>
        <v>0</v>
      </c>
      <c r="T19" s="17">
        <f>('TUSD BE'!$U$19+'TUSD BF'!$U$19+'TUSD CVA'!$U$19)*1</f>
        <v>0</v>
      </c>
      <c r="U19" s="17">
        <f>('TUSD BE'!$V$19+'TUSD BF'!$V$19+'TUSD CVA'!$V$19)*1</f>
        <v>0</v>
      </c>
      <c r="V19" s="17">
        <f>('TUSD BE'!$W$19+'TUSD BF'!$W$19+'TUSD CVA'!$W$19)*1</f>
        <v>0</v>
      </c>
      <c r="W19" s="17">
        <f>('TUSD BE'!$X$19+'TUSD BF'!$X$19+'TUSD CVA'!$X$19)*1</f>
        <v>0</v>
      </c>
      <c r="X19" s="17">
        <f>('TUSD BE'!$Y$19+'TUSD BF'!$Y$19+'TUSD CVA'!$Y$19)*1</f>
        <v>55.250410871160462</v>
      </c>
      <c r="Y19" s="17">
        <f>('TUSD BE'!$Z$19+'TUSD BF'!$Z$19+'TUSD CVA'!$Z$19)*1</f>
        <v>0</v>
      </c>
      <c r="Z19" s="17">
        <f>('TUSD BE'!$AA$19+'TUSD BF'!$AA$19+'TUSD CVA'!$AA$19)*1</f>
        <v>0</v>
      </c>
      <c r="AA19" s="17">
        <f>('TUSD BE'!$AC$19+'TUSD BF'!$AC$19+'TUSD CVA'!$AC$19)*1</f>
        <v>100.73246960533091</v>
      </c>
      <c r="AB19" s="17">
        <f ca="1">('TUSD BE'!$AE$19+'TUSD BF'!$AE$19+'TUSD CVA'!$AE$19)*1</f>
        <v>0</v>
      </c>
      <c r="AC19" s="17">
        <f ca="1">('TUSD BE'!$AF$19+'TUSD BF'!$AF$19+'TUSD CVA'!$AF$19)*1</f>
        <v>0</v>
      </c>
      <c r="AD19" s="17">
        <f>('TUSD BE'!$AH$19+'TUSD BF'!$AH$19+'TUSD CVA'!$AH$19)*1</f>
        <v>19.064272922736382</v>
      </c>
      <c r="AE19" s="17">
        <f>('TUSD BE'!$AI$19+'TUSD BF'!$AI$19+'TUSD CVA'!$AI$19)*1</f>
        <v>0</v>
      </c>
      <c r="AF19" s="17">
        <f ca="1">('TUSD BE'!$AJ$19+'TUSD BF'!$AJ$19+'TUSD CVA'!$AJ$19)*1</f>
        <v>0</v>
      </c>
      <c r="AG19" s="17">
        <f ca="1">('TUSD BE'!$AK$19+'TUSD BF'!$AK$19+'TUSD CVA'!$AK$19)*1</f>
        <v>0</v>
      </c>
      <c r="AI19" s="17">
        <v>0</v>
      </c>
      <c r="AJ19" s="17">
        <v>1.3309441831322699</v>
      </c>
      <c r="AK19" s="17">
        <v>0</v>
      </c>
      <c r="AL19" s="17">
        <v>0</v>
      </c>
      <c r="AM19" s="17">
        <v>0</v>
      </c>
      <c r="AN19" s="17">
        <v>57.258275760274003</v>
      </c>
      <c r="AO19" s="17">
        <v>8.9131910561285501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57.881794476452001</v>
      </c>
      <c r="AV19" s="17">
        <v>0</v>
      </c>
      <c r="AW19" s="17">
        <v>0</v>
      </c>
      <c r="AX19" s="17">
        <v>99.6653822693482</v>
      </c>
      <c r="AY19" s="17">
        <v>0</v>
      </c>
      <c r="AZ19" s="17">
        <v>0</v>
      </c>
      <c r="BA19" s="17">
        <v>17.9048980109967</v>
      </c>
      <c r="BB19" s="17">
        <v>0</v>
      </c>
      <c r="BC19" s="17">
        <v>0</v>
      </c>
      <c r="BD19" s="17">
        <v>0</v>
      </c>
    </row>
    <row r="20" spans="1:56" ht="11.25" customHeight="1" x14ac:dyDescent="0.25">
      <c r="A20" s="94"/>
      <c r="B20" s="94" t="s">
        <v>23</v>
      </c>
      <c r="C20" s="94" t="s">
        <v>24</v>
      </c>
      <c r="D20" s="26" t="s">
        <v>24</v>
      </c>
      <c r="E20" s="26" t="s">
        <v>25</v>
      </c>
      <c r="F20" s="26" t="s">
        <v>25</v>
      </c>
      <c r="G20" s="27" t="s">
        <v>78</v>
      </c>
      <c r="H20" s="27" t="s">
        <v>72</v>
      </c>
      <c r="I20" s="27">
        <f>'MERCADO TUSD'!$U$17</f>
        <v>11694.771999999999</v>
      </c>
      <c r="J20" s="15"/>
      <c r="L20" s="17">
        <f>('TUSD BE'!$L$20+'TUSD BF'!$L$20+'TUSD CVA'!$L$20)*1</f>
        <v>0</v>
      </c>
      <c r="M20" s="17">
        <f>('TUSD BE'!$M$20+'TUSD BF'!$M$20+'TUSD CVA'!$M$20)*1</f>
        <v>1.4972555760151607</v>
      </c>
      <c r="N20" s="17">
        <f ca="1">('TUSD BE'!$N$20+'TUSD BF'!$N$20+'TUSD CVA'!$N$20)*1</f>
        <v>0</v>
      </c>
      <c r="O20" s="17">
        <f>('TUSD BE'!$O$20+'TUSD BF'!$O$20+'TUSD CVA'!$O$20)*1</f>
        <v>0</v>
      </c>
      <c r="P20" s="17">
        <f>('TUSD BE'!$P$20+'TUSD BF'!$P$20+'TUSD CVA'!$P$20)*1</f>
        <v>0</v>
      </c>
      <c r="Q20" s="17">
        <f>('TUSD BE'!$Q$20+'TUSD BF'!$Q$20+'TUSD CVA'!$Q$20)*1</f>
        <v>91.897625565041423</v>
      </c>
      <c r="R20" s="17">
        <f>('TUSD BE'!$R$20+'TUSD BF'!$R$20+'TUSD CVA'!$R$20)*1</f>
        <v>14.498212042235149</v>
      </c>
      <c r="S20" s="17">
        <f>('TUSD BE'!$S$20+'TUSD BF'!$S$20+'TUSD CVA'!$S$20)*1</f>
        <v>0</v>
      </c>
      <c r="T20" s="17">
        <f>('TUSD BE'!$U$20+'TUSD BF'!$U$20+'TUSD CVA'!$U$20)*1</f>
        <v>0</v>
      </c>
      <c r="U20" s="17">
        <f>('TUSD BE'!$V$20+'TUSD BF'!$V$20+'TUSD CVA'!$V$20)*1</f>
        <v>0</v>
      </c>
      <c r="V20" s="17">
        <f>('TUSD BE'!$W$20+'TUSD BF'!$W$20+'TUSD CVA'!$W$20)*1</f>
        <v>0</v>
      </c>
      <c r="W20" s="17">
        <f>('TUSD BE'!$X$20+'TUSD BF'!$X$20+'TUSD CVA'!$X$20)*1</f>
        <v>0</v>
      </c>
      <c r="X20" s="17">
        <f>('TUSD BE'!$Y$20+'TUSD BF'!$Y$20+'TUSD CVA'!$Y$20)*1</f>
        <v>102.17527942039068</v>
      </c>
      <c r="Y20" s="17">
        <f>('TUSD BE'!$Z$20+'TUSD BF'!$Z$20+'TUSD CVA'!$Z$20)*1</f>
        <v>0</v>
      </c>
      <c r="Z20" s="17">
        <f>('TUSD BE'!$AA$20+'TUSD BF'!$AA$20+'TUSD CVA'!$AA$20)*1</f>
        <v>0</v>
      </c>
      <c r="AA20" s="17">
        <f>('TUSD BE'!$AC$20+'TUSD BF'!$AC$20+'TUSD CVA'!$AC$20)*1</f>
        <v>186.54185701422193</v>
      </c>
      <c r="AB20" s="17">
        <f ca="1">('TUSD BE'!$AE$20+'TUSD BF'!$AE$20+'TUSD CVA'!$AE$20)*1</f>
        <v>0</v>
      </c>
      <c r="AC20" s="17">
        <f ca="1">('TUSD BE'!$AF$20+'TUSD BF'!$AF$20+'TUSD CVA'!$AF$20)*1</f>
        <v>0</v>
      </c>
      <c r="AD20" s="17">
        <f>('TUSD BE'!$AH$20+'TUSD BF'!$AH$20+'TUSD CVA'!$AH$20)*1</f>
        <v>19.064272922736382</v>
      </c>
      <c r="AE20" s="17">
        <f>('TUSD BE'!$AI$20+'TUSD BF'!$AI$20+'TUSD CVA'!$AI$20)*1</f>
        <v>0</v>
      </c>
      <c r="AF20" s="17">
        <f ca="1">('TUSD BE'!$AJ$20+'TUSD BF'!$AJ$20+'TUSD CVA'!$AJ$20)*1</f>
        <v>0</v>
      </c>
      <c r="AG20" s="17">
        <f ca="1">('TUSD BE'!$AK$20+'TUSD BF'!$AK$20+'TUSD CVA'!$AK$20)*1</f>
        <v>0</v>
      </c>
      <c r="AI20" s="17">
        <v>0</v>
      </c>
      <c r="AJ20" s="17">
        <v>1.3309441831322699</v>
      </c>
      <c r="AK20" s="17">
        <v>0</v>
      </c>
      <c r="AL20" s="17">
        <v>0</v>
      </c>
      <c r="AM20" s="17">
        <v>0</v>
      </c>
      <c r="AN20" s="17">
        <v>57.258275760274003</v>
      </c>
      <c r="AO20" s="17">
        <v>8.9131910561285501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107.04155539043001</v>
      </c>
      <c r="AV20" s="17">
        <v>0</v>
      </c>
      <c r="AW20" s="17">
        <v>0</v>
      </c>
      <c r="AX20" s="17">
        <v>184.56575259344601</v>
      </c>
      <c r="AY20" s="17">
        <v>0</v>
      </c>
      <c r="AZ20" s="17">
        <v>0</v>
      </c>
      <c r="BA20" s="17">
        <v>17.9048980109967</v>
      </c>
      <c r="BB20" s="17">
        <v>0</v>
      </c>
      <c r="BC20" s="17">
        <v>0</v>
      </c>
      <c r="BD20" s="17">
        <v>0</v>
      </c>
    </row>
    <row r="21" spans="1:56" ht="11.25" customHeight="1" x14ac:dyDescent="0.25">
      <c r="A21" s="94"/>
      <c r="B21" s="94"/>
      <c r="C21" s="94"/>
      <c r="D21" s="26" t="s">
        <v>29</v>
      </c>
      <c r="E21" s="26" t="s">
        <v>25</v>
      </c>
      <c r="F21" s="26" t="s">
        <v>25</v>
      </c>
      <c r="G21" s="27" t="s">
        <v>78</v>
      </c>
      <c r="H21" s="27" t="s">
        <v>72</v>
      </c>
      <c r="I21" s="27">
        <f>'MERCADO TUSD'!$U$18</f>
        <v>30.416</v>
      </c>
      <c r="J21" s="15"/>
      <c r="L21" s="17">
        <f>('TUSD BE'!$L$21+'TUSD BF'!$L$21+'TUSD CVA'!$L$21)*(1 - 0.65)</f>
        <v>0</v>
      </c>
      <c r="M21" s="17">
        <f>('TUSD BE'!$M$21+'TUSD BF'!$M$21+'TUSD CVA'!$M$21)*(1 - 0.65)</f>
        <v>0.52403945160530618</v>
      </c>
      <c r="N21" s="17">
        <f ca="1">('TUSD BE'!$N$21+'TUSD BF'!$N$21+'TUSD CVA'!$N$21)*(1 - 0.65)</f>
        <v>0</v>
      </c>
      <c r="O21" s="17">
        <f>('TUSD BE'!$O$21+'TUSD BF'!$O$21+'TUSD CVA'!$O$21)*(1 - 0.65)</f>
        <v>0</v>
      </c>
      <c r="P21" s="17">
        <v>0</v>
      </c>
      <c r="Q21" s="17">
        <f>('TUSD BE'!$Q$21+'TUSD BF'!$Q$21+'TUSD CVA'!$Q$21)*(1 - 0.65)</f>
        <v>0</v>
      </c>
      <c r="R21" s="17">
        <v>0</v>
      </c>
      <c r="S21" s="17">
        <f>('TUSD BE'!$S$21+'TUSD BF'!$S$21+'TUSD CVA'!$S$21)*(1 - 0.65)</f>
        <v>0</v>
      </c>
      <c r="T21" s="17">
        <f>('TUSD BE'!$U$21+'TUSD BF'!$U$21+'TUSD CVA'!$U$21)*(1 - 0.65)</f>
        <v>0</v>
      </c>
      <c r="U21" s="17">
        <f>('TUSD BE'!$V$21+'TUSD BF'!$V$21+'TUSD CVA'!$V$21)*(1 - 0.65)</f>
        <v>0</v>
      </c>
      <c r="V21" s="17">
        <f>('TUSD BE'!$W$21+'TUSD BF'!$W$21+'TUSD CVA'!$W$21)*(1 - 0.65)</f>
        <v>0</v>
      </c>
      <c r="W21" s="17">
        <f>('TUSD BE'!$X$21+'TUSD BF'!$X$21+'TUSD CVA'!$X$21)*(1 - 0.65)</f>
        <v>0</v>
      </c>
      <c r="X21" s="17">
        <f>('TUSD BE'!$Y$21+'TUSD BF'!$Y$21+'TUSD CVA'!$Y$21)*(1 - 0.65)</f>
        <v>35.761347797136736</v>
      </c>
      <c r="Y21" s="17">
        <f>('TUSD BE'!$Z$21+'TUSD BF'!$Z$21+'TUSD CVA'!$Z$21)*(1 - 0.65)</f>
        <v>0</v>
      </c>
      <c r="Z21" s="17">
        <f>('TUSD BE'!$AA$21+'TUSD BF'!$AA$21+'TUSD CVA'!$AA$21)*(1 - 0.65)</f>
        <v>0</v>
      </c>
      <c r="AA21" s="17">
        <f>('TUSD BE'!$AC$21+'TUSD BF'!$AC$21+'TUSD CVA'!$AC$21)*(1 - 0.65)</f>
        <v>65.289649954977676</v>
      </c>
      <c r="AB21" s="17">
        <f ca="1">('TUSD BE'!$AE$21+'TUSD BF'!$AE$21+'TUSD CVA'!$AE$21)*(1 - 0.65)</f>
        <v>0</v>
      </c>
      <c r="AC21" s="17">
        <f ca="1">('TUSD BE'!$AF$21+'TUSD BF'!$AF$21+'TUSD CVA'!$AF$21)*(1 - 0.65)</f>
        <v>0</v>
      </c>
      <c r="AD21" s="17">
        <f>('TUSD BE'!$AH$21+'TUSD BF'!$AH$21+'TUSD CVA'!$AH$21)*(1 - 0.65)</f>
        <v>6.6724955229577336</v>
      </c>
      <c r="AE21" s="17">
        <f>('TUSD BE'!$AI$21+'TUSD BF'!$AI$21+'TUSD CVA'!$AI$21)*(1 - 0.65)</f>
        <v>0</v>
      </c>
      <c r="AF21" s="17">
        <f ca="1">('TUSD BE'!$AJ$21+'TUSD BF'!$AJ$21+'TUSD CVA'!$AJ$21)*(1 - 0.65)</f>
        <v>0</v>
      </c>
      <c r="AG21" s="17">
        <f ca="1">('TUSD BE'!$AK$21+'TUSD BF'!$AK$21+'TUSD CVA'!$AK$21)*(1 - 0.65)</f>
        <v>0</v>
      </c>
      <c r="AI21" s="17">
        <v>0</v>
      </c>
      <c r="AJ21" s="17">
        <v>0.46583046409629297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37.464544386650502</v>
      </c>
      <c r="AV21" s="17">
        <v>0</v>
      </c>
      <c r="AW21" s="17">
        <v>0</v>
      </c>
      <c r="AX21" s="17">
        <v>64.598013407706205</v>
      </c>
      <c r="AY21" s="17">
        <v>0</v>
      </c>
      <c r="AZ21" s="17">
        <v>0</v>
      </c>
      <c r="BA21" s="17">
        <v>6.26671430384883</v>
      </c>
      <c r="BB21" s="17">
        <v>0</v>
      </c>
      <c r="BC21" s="17">
        <v>0</v>
      </c>
      <c r="BD21" s="17">
        <v>0</v>
      </c>
    </row>
    <row r="22" spans="1:56" ht="11.25" customHeight="1" x14ac:dyDescent="0.25">
      <c r="A22" s="94"/>
      <c r="B22" s="94"/>
      <c r="C22" s="94"/>
      <c r="D22" s="26" t="s">
        <v>30</v>
      </c>
      <c r="E22" s="26" t="s">
        <v>25</v>
      </c>
      <c r="F22" s="26" t="s">
        <v>25</v>
      </c>
      <c r="G22" s="27" t="s">
        <v>78</v>
      </c>
      <c r="H22" s="27" t="s">
        <v>72</v>
      </c>
      <c r="I22" s="27">
        <f>'MERCADO TUSD'!$U$19</f>
        <v>60.935000000000002</v>
      </c>
      <c r="J22" s="15"/>
      <c r="L22" s="17">
        <f>('TUSD BE'!$L$22+'TUSD BF'!$L$22+'TUSD CVA'!$L$22)*(1 - 0.4)</f>
        <v>0</v>
      </c>
      <c r="M22" s="17">
        <f>('TUSD BE'!$M$22+'TUSD BF'!$M$22+'TUSD CVA'!$M$22)*(1 - 0.4)</f>
        <v>0.89835334560909641</v>
      </c>
      <c r="N22" s="17">
        <f ca="1">('TUSD BE'!$N$22+'TUSD BF'!$N$22+'TUSD CVA'!$N$22)*(1 - 0.4)</f>
        <v>0</v>
      </c>
      <c r="O22" s="17">
        <f>('TUSD BE'!$O$22+'TUSD BF'!$O$22+'TUSD CVA'!$O$22)*(1 - 0.4)</f>
        <v>0</v>
      </c>
      <c r="P22" s="17">
        <v>0</v>
      </c>
      <c r="Q22" s="17">
        <f>('TUSD BE'!$Q$22+'TUSD BF'!$Q$22+'TUSD CVA'!$Q$22)*(1 - 0.4)</f>
        <v>0</v>
      </c>
      <c r="R22" s="17">
        <v>0</v>
      </c>
      <c r="S22" s="17">
        <f>('TUSD BE'!$S$22+'TUSD BF'!$S$22+'TUSD CVA'!$S$22)*(1 - 0.4)</f>
        <v>0</v>
      </c>
      <c r="T22" s="17">
        <f>('TUSD BE'!$U$22+'TUSD BF'!$U$22+'TUSD CVA'!$U$22)*(1 - 0.4)</f>
        <v>0</v>
      </c>
      <c r="U22" s="17">
        <f>('TUSD BE'!$V$22+'TUSD BF'!$V$22+'TUSD CVA'!$V$22)*(1 - 0.4)</f>
        <v>0</v>
      </c>
      <c r="V22" s="17">
        <f>('TUSD BE'!$W$22+'TUSD BF'!$W$22+'TUSD CVA'!$W$22)*(1 - 0.4)</f>
        <v>0</v>
      </c>
      <c r="W22" s="17">
        <f>('TUSD BE'!$X$22+'TUSD BF'!$X$22+'TUSD CVA'!$X$22)*(1 - 0.4)</f>
        <v>0</v>
      </c>
      <c r="X22" s="17">
        <f>('TUSD BE'!$Y$22+'TUSD BF'!$Y$22+'TUSD CVA'!$Y$22)*(1 - 0.4)</f>
        <v>61.305167652234402</v>
      </c>
      <c r="Y22" s="17">
        <f>('TUSD BE'!$Z$22+'TUSD BF'!$Z$22+'TUSD CVA'!$Z$22)*(1 - 0.4)</f>
        <v>0</v>
      </c>
      <c r="Z22" s="17">
        <f>('TUSD BE'!$AA$22+'TUSD BF'!$AA$22+'TUSD CVA'!$AA$22)*(1 - 0.4)</f>
        <v>0</v>
      </c>
      <c r="AA22" s="17">
        <f>('TUSD BE'!$AC$22+'TUSD BF'!$AC$22+'TUSD CVA'!$AC$22)*(1 - 0.4)</f>
        <v>111.92511420853316</v>
      </c>
      <c r="AB22" s="17">
        <f ca="1">('TUSD BE'!$AE$22+'TUSD BF'!$AE$22+'TUSD CVA'!$AE$22)*(1 - 0.4)</f>
        <v>0</v>
      </c>
      <c r="AC22" s="17">
        <f ca="1">('TUSD BE'!$AF$22+'TUSD BF'!$AF$22+'TUSD CVA'!$AF$22)*(1 - 0.4)</f>
        <v>0</v>
      </c>
      <c r="AD22" s="17">
        <f>('TUSD BE'!$AH$22+'TUSD BF'!$AH$22+'TUSD CVA'!$AH$22)*(1 - 0.4)</f>
        <v>11.438563753641828</v>
      </c>
      <c r="AE22" s="17">
        <f>('TUSD BE'!$AI$22+'TUSD BF'!$AI$22+'TUSD CVA'!$AI$22)*(1 - 0.4)</f>
        <v>0</v>
      </c>
      <c r="AF22" s="17">
        <f ca="1">('TUSD BE'!$AJ$22+'TUSD BF'!$AJ$22+'TUSD CVA'!$AJ$22)*(1 - 0.4)</f>
        <v>0</v>
      </c>
      <c r="AG22" s="17">
        <f ca="1">('TUSD BE'!$AK$22+'TUSD BF'!$AK$22+'TUSD CVA'!$AK$22)*(1 - 0.4)</f>
        <v>0</v>
      </c>
      <c r="AI22" s="17">
        <v>0</v>
      </c>
      <c r="AJ22" s="17">
        <v>0.79856650987935995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64.224933234258003</v>
      </c>
      <c r="AV22" s="17">
        <v>0</v>
      </c>
      <c r="AW22" s="17">
        <v>0</v>
      </c>
      <c r="AX22" s="17">
        <v>110.739451556068</v>
      </c>
      <c r="AY22" s="17">
        <v>0</v>
      </c>
      <c r="AZ22" s="17">
        <v>0</v>
      </c>
      <c r="BA22" s="17">
        <v>10.742938806598</v>
      </c>
      <c r="BB22" s="17">
        <v>0</v>
      </c>
      <c r="BC22" s="17">
        <v>0</v>
      </c>
      <c r="BD22" s="17">
        <v>0</v>
      </c>
    </row>
    <row r="23" spans="1:56" ht="11.25" customHeight="1" x14ac:dyDescent="0.25">
      <c r="A23" s="94"/>
      <c r="B23" s="94"/>
      <c r="C23" s="94"/>
      <c r="D23" s="26" t="s">
        <v>31</v>
      </c>
      <c r="E23" s="26" t="s">
        <v>25</v>
      </c>
      <c r="F23" s="26" t="s">
        <v>25</v>
      </c>
      <c r="G23" s="27" t="s">
        <v>78</v>
      </c>
      <c r="H23" s="27" t="s">
        <v>72</v>
      </c>
      <c r="I23" s="27">
        <f>'MERCADO TUSD'!$U$20</f>
        <v>58.873999999999995</v>
      </c>
      <c r="J23" s="15"/>
      <c r="L23" s="17">
        <f>('TUSD BE'!$L$23+'TUSD BF'!$L$23+'TUSD CVA'!$L$23)*(1 - 0.1)</f>
        <v>0</v>
      </c>
      <c r="M23" s="17">
        <f>('TUSD BE'!$M$23+'TUSD BF'!$M$23+'TUSD CVA'!$M$23)*(1 - 0.1)</f>
        <v>1.3475300184136447</v>
      </c>
      <c r="N23" s="17">
        <f ca="1">('TUSD BE'!$N$23+'TUSD BF'!$N$23+'TUSD CVA'!$N$23)*(1 - 0.1)</f>
        <v>0</v>
      </c>
      <c r="O23" s="17">
        <f>('TUSD BE'!$O$23+'TUSD BF'!$O$23+'TUSD CVA'!$O$23)*(1 - 0.1)</f>
        <v>0</v>
      </c>
      <c r="P23" s="17">
        <v>0</v>
      </c>
      <c r="Q23" s="17">
        <f>('TUSD BE'!$Q$23+'TUSD BF'!$Q$23+'TUSD CVA'!$Q$23)*(1 - 0.1)</f>
        <v>0</v>
      </c>
      <c r="R23" s="17">
        <v>0</v>
      </c>
      <c r="S23" s="17">
        <f>('TUSD BE'!$S$23+'TUSD BF'!$S$23+'TUSD CVA'!$S$23)*(1 - 0.1)</f>
        <v>0</v>
      </c>
      <c r="T23" s="17">
        <f>('TUSD BE'!$U$23+'TUSD BF'!$U$23+'TUSD CVA'!$U$23)*(1 - 0.1)</f>
        <v>0</v>
      </c>
      <c r="U23" s="17">
        <f>('TUSD BE'!$V$23+'TUSD BF'!$V$23+'TUSD CVA'!$V$23)*(1 - 0.1)</f>
        <v>0</v>
      </c>
      <c r="V23" s="17">
        <f>('TUSD BE'!$W$23+'TUSD BF'!$W$23+'TUSD CVA'!$W$23)*(1 - 0.1)</f>
        <v>0</v>
      </c>
      <c r="W23" s="17">
        <f>('TUSD BE'!$X$23+'TUSD BF'!$X$23+'TUSD CVA'!$X$23)*(1 - 0.1)</f>
        <v>0</v>
      </c>
      <c r="X23" s="17">
        <f>('TUSD BE'!$Y$23+'TUSD BF'!$Y$23+'TUSD CVA'!$Y$23)*(1 - 0.1)</f>
        <v>91.957751478351611</v>
      </c>
      <c r="Y23" s="17">
        <f>('TUSD BE'!$Z$23+'TUSD BF'!$Z$23+'TUSD CVA'!$Z$23)*(1 - 0.1)</f>
        <v>0</v>
      </c>
      <c r="Z23" s="17">
        <f>('TUSD BE'!$AA$23+'TUSD BF'!$AA$23+'TUSD CVA'!$AA$23)*(1 - 0.1)</f>
        <v>0</v>
      </c>
      <c r="AA23" s="17">
        <f>('TUSD BE'!$AC$23+'TUSD BF'!$AC$23+'TUSD CVA'!$AC$23)*(1 - 0.1)</f>
        <v>167.88767131279974</v>
      </c>
      <c r="AB23" s="17">
        <f ca="1">('TUSD BE'!$AE$23+'TUSD BF'!$AE$23+'TUSD CVA'!$AE$23)*(1 - 0.1)</f>
        <v>0</v>
      </c>
      <c r="AC23" s="17">
        <f ca="1">('TUSD BE'!$AF$23+'TUSD BF'!$AF$23+'TUSD CVA'!$AF$23)*(1 - 0.1)</f>
        <v>0</v>
      </c>
      <c r="AD23" s="17">
        <f>('TUSD BE'!$AH$23+'TUSD BF'!$AH$23+'TUSD CVA'!$AH$23)*(1 - 0.1)</f>
        <v>17.157845630462745</v>
      </c>
      <c r="AE23" s="17">
        <f>('TUSD BE'!$AI$23+'TUSD BF'!$AI$23+'TUSD CVA'!$AI$23)*(1 - 0.1)</f>
        <v>0</v>
      </c>
      <c r="AF23" s="17">
        <f ca="1">('TUSD BE'!$AJ$23+'TUSD BF'!$AJ$23+'TUSD CVA'!$AJ$23)*(1 - 0.1)</f>
        <v>0</v>
      </c>
      <c r="AG23" s="17">
        <f ca="1">('TUSD BE'!$AK$23+'TUSD BF'!$AK$23+'TUSD CVA'!$AK$23)*(1 - 0.1)</f>
        <v>0</v>
      </c>
      <c r="AI23" s="17">
        <v>0</v>
      </c>
      <c r="AJ23" s="17">
        <v>1.19784976481904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96.337399851387005</v>
      </c>
      <c r="AV23" s="17">
        <v>0</v>
      </c>
      <c r="AW23" s="17">
        <v>0</v>
      </c>
      <c r="AX23" s="17">
        <v>166.10917733410199</v>
      </c>
      <c r="AY23" s="17">
        <v>0</v>
      </c>
      <c r="AZ23" s="17">
        <v>0</v>
      </c>
      <c r="BA23" s="17">
        <v>16.114408209897</v>
      </c>
      <c r="BB23" s="17">
        <v>0</v>
      </c>
      <c r="BC23" s="17">
        <v>0</v>
      </c>
      <c r="BD23" s="17">
        <v>0</v>
      </c>
    </row>
    <row r="24" spans="1:56" ht="11.25" customHeight="1" x14ac:dyDescent="0.25">
      <c r="A24" s="94"/>
      <c r="B24" s="94"/>
      <c r="C24" s="94"/>
      <c r="D24" s="26" t="s">
        <v>32</v>
      </c>
      <c r="E24" s="26" t="s">
        <v>25</v>
      </c>
      <c r="F24" s="26" t="s">
        <v>25</v>
      </c>
      <c r="G24" s="27" t="s">
        <v>78</v>
      </c>
      <c r="H24" s="27" t="s">
        <v>72</v>
      </c>
      <c r="I24" s="27">
        <f>'MERCADO TUSD'!$U$21</f>
        <v>22.426000000000002</v>
      </c>
      <c r="J24" s="15"/>
      <c r="L24" s="17">
        <f>('TUSD BE'!$L$24+'TUSD BF'!$L$24+'TUSD CVA'!$L$24)*1</f>
        <v>0</v>
      </c>
      <c r="M24" s="17">
        <f>('TUSD BE'!$M$24+'TUSD BF'!$M$24+'TUSD CVA'!$M$24)*1</f>
        <v>1.4972555760151607</v>
      </c>
      <c r="N24" s="17">
        <f ca="1">('TUSD BE'!$N$24+'TUSD BF'!$N$24+'TUSD CVA'!$N$24)*1</f>
        <v>0</v>
      </c>
      <c r="O24" s="17">
        <f>('TUSD BE'!$O$24+'TUSD BF'!$O$24+'TUSD CVA'!$O$24)*1</f>
        <v>0</v>
      </c>
      <c r="P24" s="17">
        <v>0</v>
      </c>
      <c r="Q24" s="17">
        <f>('TUSD BE'!$Q$24+'TUSD BF'!$Q$24+'TUSD CVA'!$Q$24)*1</f>
        <v>0</v>
      </c>
      <c r="R24" s="17">
        <v>0</v>
      </c>
      <c r="S24" s="17">
        <f>('TUSD BE'!$S$24+'TUSD BF'!$S$24+'TUSD CVA'!$S$24)*1</f>
        <v>0</v>
      </c>
      <c r="T24" s="17">
        <f>('TUSD BE'!$U$24+'TUSD BF'!$U$24+'TUSD CVA'!$U$24)*1</f>
        <v>0</v>
      </c>
      <c r="U24" s="17">
        <f>('TUSD BE'!$V$24+'TUSD BF'!$V$24+'TUSD CVA'!$V$24)*1</f>
        <v>0</v>
      </c>
      <c r="V24" s="17">
        <f>('TUSD BE'!$W$24+'TUSD BF'!$W$24+'TUSD CVA'!$W$24)*1</f>
        <v>0</v>
      </c>
      <c r="W24" s="17">
        <f>('TUSD BE'!$X$24+'TUSD BF'!$X$24+'TUSD CVA'!$X$24)*1</f>
        <v>0</v>
      </c>
      <c r="X24" s="17">
        <f>('TUSD BE'!$Y$24+'TUSD BF'!$Y$24+'TUSD CVA'!$Y$24)*1</f>
        <v>102.17527942039068</v>
      </c>
      <c r="Y24" s="17">
        <f>('TUSD BE'!$Z$24+'TUSD BF'!$Z$24+'TUSD CVA'!$Z$24)*1</f>
        <v>0</v>
      </c>
      <c r="Z24" s="17">
        <f>('TUSD BE'!$AA$24+'TUSD BF'!$AA$24+'TUSD CVA'!$AA$24)*1</f>
        <v>0</v>
      </c>
      <c r="AA24" s="17">
        <f>('TUSD BE'!$AC$24+'TUSD BF'!$AC$24+'TUSD CVA'!$AC$24)*1</f>
        <v>186.54185701422193</v>
      </c>
      <c r="AB24" s="17">
        <f ca="1">('TUSD BE'!$AE$24+'TUSD BF'!$AE$24+'TUSD CVA'!$AE$24)*1</f>
        <v>0</v>
      </c>
      <c r="AC24" s="17">
        <f ca="1">('TUSD BE'!$AF$24+'TUSD BF'!$AF$24+'TUSD CVA'!$AF$24)*1</f>
        <v>0</v>
      </c>
      <c r="AD24" s="17">
        <f>('TUSD BE'!$AH$24+'TUSD BF'!$AH$24+'TUSD CVA'!$AH$24)*1</f>
        <v>19.064272922736382</v>
      </c>
      <c r="AE24" s="17">
        <f>('TUSD BE'!$AI$24+'TUSD BF'!$AI$24+'TUSD CVA'!$AI$24)*1</f>
        <v>0</v>
      </c>
      <c r="AF24" s="17">
        <f ca="1">('TUSD BE'!$AJ$24+'TUSD BF'!$AJ$24+'TUSD CVA'!$AJ$24)*1</f>
        <v>0</v>
      </c>
      <c r="AG24" s="17">
        <f ca="1">('TUSD BE'!$AK$24+'TUSD BF'!$AK$24+'TUSD CVA'!$AK$24)*1</f>
        <v>0</v>
      </c>
      <c r="AI24" s="17">
        <v>0</v>
      </c>
      <c r="AJ24" s="17">
        <v>1.3309441831322699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107.04155539043001</v>
      </c>
      <c r="AV24" s="17">
        <v>0</v>
      </c>
      <c r="AW24" s="17">
        <v>0</v>
      </c>
      <c r="AX24" s="17">
        <v>184.56575259344601</v>
      </c>
      <c r="AY24" s="17">
        <v>0</v>
      </c>
      <c r="AZ24" s="17">
        <v>0</v>
      </c>
      <c r="BA24" s="17">
        <v>17.9048980109967</v>
      </c>
      <c r="BB24" s="17">
        <v>0</v>
      </c>
      <c r="BC24" s="17">
        <v>0</v>
      </c>
      <c r="BD24" s="17">
        <v>0</v>
      </c>
    </row>
    <row r="25" spans="1:56" ht="11.25" customHeight="1" x14ac:dyDescent="0.25">
      <c r="A25" s="94"/>
      <c r="B25" s="94" t="s">
        <v>87</v>
      </c>
      <c r="C25" s="94" t="s">
        <v>24</v>
      </c>
      <c r="D25" s="26" t="s">
        <v>24</v>
      </c>
      <c r="E25" s="26" t="s">
        <v>25</v>
      </c>
      <c r="F25" s="26" t="s">
        <v>25</v>
      </c>
      <c r="G25" s="27" t="s">
        <v>78</v>
      </c>
      <c r="H25" s="27" t="s">
        <v>72</v>
      </c>
      <c r="I25" s="27">
        <f>'MERCADO TUSD'!$U$22</f>
        <v>0</v>
      </c>
      <c r="J25" s="15"/>
      <c r="L25" s="17">
        <f>('TUSD BE'!$L$25+'TUSD BF'!$L$25+'TUSD CVA'!$L$25)*1</f>
        <v>0</v>
      </c>
      <c r="M25" s="17">
        <f>('TUSD BE'!$M$25+'TUSD BF'!$M$25+'TUSD CVA'!$M$25)*1</f>
        <v>1.4972555760151607</v>
      </c>
      <c r="N25" s="17">
        <f ca="1">('TUSD BE'!$N$25+'TUSD BF'!$N$25+'TUSD CVA'!$N$25)*1</f>
        <v>0</v>
      </c>
      <c r="O25" s="17">
        <f>('TUSD BE'!$O$25+'TUSD BF'!$O$25+'TUSD CVA'!$O$25)*1</f>
        <v>0</v>
      </c>
      <c r="P25" s="17">
        <f>('TUSD BE'!$P$25+'TUSD BF'!$P$25+'TUSD CVA'!$P$25)*1</f>
        <v>0</v>
      </c>
      <c r="Q25" s="17">
        <f>('TUSD BE'!$Q$25+'TUSD BF'!$Q$25+'TUSD CVA'!$Q$25)*1</f>
        <v>91.897625565041423</v>
      </c>
      <c r="R25" s="17">
        <f>('TUSD BE'!$R$25+'TUSD BF'!$R$25+'TUSD CVA'!$R$25)*1</f>
        <v>14.498212042235149</v>
      </c>
      <c r="S25" s="17">
        <f>('TUSD BE'!$S$25+'TUSD BF'!$S$25+'TUSD CVA'!$S$25)*1</f>
        <v>0</v>
      </c>
      <c r="T25" s="17">
        <f>('TUSD BE'!$U$25+'TUSD BF'!$U$25+'TUSD CVA'!$U$25)*1</f>
        <v>0</v>
      </c>
      <c r="U25" s="17">
        <f>('TUSD BE'!$V$25+'TUSD BF'!$V$25+'TUSD CVA'!$V$25)*1</f>
        <v>0</v>
      </c>
      <c r="V25" s="17">
        <f>('TUSD BE'!$W$25+'TUSD BF'!$W$25+'TUSD CVA'!$W$25)*1</f>
        <v>0</v>
      </c>
      <c r="W25" s="17">
        <f>('TUSD BE'!$X$25+'TUSD BF'!$X$25+'TUSD CVA'!$X$25)*1</f>
        <v>0</v>
      </c>
      <c r="X25" s="17">
        <f>('TUSD BE'!$Y$25+'TUSD BF'!$Y$25+'TUSD CVA'!$Y$25)*1</f>
        <v>102.17527942039068</v>
      </c>
      <c r="Y25" s="17">
        <f>('TUSD BE'!$Z$25+'TUSD BF'!$Z$25+'TUSD CVA'!$Z$25)*1</f>
        <v>0</v>
      </c>
      <c r="Z25" s="17">
        <f>('TUSD BE'!$AA$25+'TUSD BF'!$AA$25+'TUSD CVA'!$AA$25)*1</f>
        <v>0</v>
      </c>
      <c r="AA25" s="17">
        <f>('TUSD BE'!$AC$25+'TUSD BF'!$AC$25+'TUSD CVA'!$AC$25)*1</f>
        <v>186.54185701422193</v>
      </c>
      <c r="AB25" s="17">
        <f ca="1">('TUSD BE'!$AE$25+'TUSD BF'!$AE$25+'TUSD CVA'!$AE$25)*1</f>
        <v>0</v>
      </c>
      <c r="AC25" s="17">
        <f ca="1">('TUSD BE'!$AF$25+'TUSD BF'!$AF$25+'TUSD CVA'!$AF$25)*1</f>
        <v>0</v>
      </c>
      <c r="AD25" s="17">
        <f>('TUSD BE'!$AH$25+'TUSD BF'!$AH$25+'TUSD CVA'!$AH$25)*1</f>
        <v>19.064272922736382</v>
      </c>
      <c r="AE25" s="17">
        <f>('TUSD BE'!$AI$25+'TUSD BF'!$AI$25+'TUSD CVA'!$AI$25)*1</f>
        <v>0</v>
      </c>
      <c r="AF25" s="17">
        <f ca="1">('TUSD BE'!$AJ$25+'TUSD BF'!$AJ$25+'TUSD CVA'!$AJ$25)*1</f>
        <v>0</v>
      </c>
      <c r="AG25" s="17">
        <f ca="1">('TUSD BE'!$AK$25+'TUSD BF'!$AK$25+'TUSD CVA'!$AK$25)*1</f>
        <v>0</v>
      </c>
      <c r="AI25" s="17">
        <v>0</v>
      </c>
      <c r="AJ25" s="17">
        <v>1.3309441831322699</v>
      </c>
      <c r="AK25" s="17">
        <v>0</v>
      </c>
      <c r="AL25" s="17">
        <v>0</v>
      </c>
      <c r="AM25" s="17">
        <v>0</v>
      </c>
      <c r="AN25" s="17">
        <v>57.258275760274003</v>
      </c>
      <c r="AO25" s="17">
        <v>8.9131910561285501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107.04155539043001</v>
      </c>
      <c r="AV25" s="17">
        <v>0</v>
      </c>
      <c r="AW25" s="17">
        <v>0</v>
      </c>
      <c r="AX25" s="17">
        <v>184.56575259344601</v>
      </c>
      <c r="AY25" s="17">
        <v>0</v>
      </c>
      <c r="AZ25" s="17">
        <v>0</v>
      </c>
      <c r="BA25" s="17">
        <v>17.9048980109967</v>
      </c>
      <c r="BB25" s="17">
        <v>0</v>
      </c>
      <c r="BC25" s="17">
        <v>0</v>
      </c>
      <c r="BD25" s="17">
        <v>0</v>
      </c>
    </row>
    <row r="26" spans="1:56" ht="11.25" customHeight="1" x14ac:dyDescent="0.25">
      <c r="A26" s="94"/>
      <c r="B26" s="94"/>
      <c r="C26" s="94"/>
      <c r="D26" s="26" t="s">
        <v>29</v>
      </c>
      <c r="E26" s="26" t="s">
        <v>25</v>
      </c>
      <c r="F26" s="26" t="s">
        <v>25</v>
      </c>
      <c r="G26" s="27" t="s">
        <v>78</v>
      </c>
      <c r="H26" s="27" t="s">
        <v>72</v>
      </c>
      <c r="I26" s="27">
        <f>'MERCADO TUSD'!$U$23</f>
        <v>0</v>
      </c>
      <c r="J26" s="15"/>
      <c r="L26" s="17">
        <f>('TUSD BE'!$L$26+'TUSD BF'!$L$26+'TUSD CVA'!$L$26)*(1 - 0.65)</f>
        <v>0</v>
      </c>
      <c r="M26" s="17">
        <f>('TUSD BE'!$M$26+'TUSD BF'!$M$26+'TUSD CVA'!$M$26)*(1 - 0.65)</f>
        <v>0.52403945160530618</v>
      </c>
      <c r="N26" s="17">
        <f ca="1">('TUSD BE'!$N$26+'TUSD BF'!$N$26+'TUSD CVA'!$N$26)*(1 - 0.65)</f>
        <v>0</v>
      </c>
      <c r="O26" s="17">
        <f>('TUSD BE'!$O$26+'TUSD BF'!$O$26+'TUSD CVA'!$O$26)*(1 - 0.65)</f>
        <v>0</v>
      </c>
      <c r="P26" s="17">
        <v>0</v>
      </c>
      <c r="Q26" s="17">
        <f>('TUSD BE'!$Q$26+'TUSD BF'!$Q$26+'TUSD CVA'!$Q$26)*(1 - 0.65)</f>
        <v>0</v>
      </c>
      <c r="R26" s="17">
        <v>0</v>
      </c>
      <c r="S26" s="17">
        <f>('TUSD BE'!$S$26+'TUSD BF'!$S$26+'TUSD CVA'!$S$26)*(1 - 0.65)</f>
        <v>0</v>
      </c>
      <c r="T26" s="17">
        <f>('TUSD BE'!$U$26+'TUSD BF'!$U$26+'TUSD CVA'!$U$26)*(1 - 0.65)</f>
        <v>0</v>
      </c>
      <c r="U26" s="17">
        <f>('TUSD BE'!$V$26+'TUSD BF'!$V$26+'TUSD CVA'!$V$26)*(1 - 0.65)</f>
        <v>0</v>
      </c>
      <c r="V26" s="17">
        <f>('TUSD BE'!$W$26+'TUSD BF'!$W$26+'TUSD CVA'!$W$26)*(1 - 0.65)</f>
        <v>0</v>
      </c>
      <c r="W26" s="17">
        <f>('TUSD BE'!$X$26+'TUSD BF'!$X$26+'TUSD CVA'!$X$26)*(1 - 0.65)</f>
        <v>0</v>
      </c>
      <c r="X26" s="17">
        <f>('TUSD BE'!$Y$26+'TUSD BF'!$Y$26+'TUSD CVA'!$Y$26)*(1 - 0.65)</f>
        <v>35.761347797136736</v>
      </c>
      <c r="Y26" s="17">
        <f>('TUSD BE'!$Z$26+'TUSD BF'!$Z$26+'TUSD CVA'!$Z$26)*(1 - 0.65)</f>
        <v>0</v>
      </c>
      <c r="Z26" s="17">
        <f>('TUSD BE'!$AA$26+'TUSD BF'!$AA$26+'TUSD CVA'!$AA$26)*(1 - 0.65)</f>
        <v>0</v>
      </c>
      <c r="AA26" s="17">
        <f>('TUSD BE'!$AC$26+'TUSD BF'!$AC$26+'TUSD CVA'!$AC$26)*(1 - 0.65)</f>
        <v>65.289649954977676</v>
      </c>
      <c r="AB26" s="17">
        <f ca="1">('TUSD BE'!$AE$26+'TUSD BF'!$AE$26+'TUSD CVA'!$AE$26)*(1 - 0.65)</f>
        <v>0</v>
      </c>
      <c r="AC26" s="17">
        <f ca="1">('TUSD BE'!$AF$26+'TUSD BF'!$AF$26+'TUSD CVA'!$AF$26)*(1 - 0.65)</f>
        <v>0</v>
      </c>
      <c r="AD26" s="17">
        <f>('TUSD BE'!$AH$26+'TUSD BF'!$AH$26+'TUSD CVA'!$AH$26)*(1 - 0.65)</f>
        <v>6.6724955229577336</v>
      </c>
      <c r="AE26" s="17">
        <f>('TUSD BE'!$AI$26+'TUSD BF'!$AI$26+'TUSD CVA'!$AI$26)*(1 - 0.65)</f>
        <v>0</v>
      </c>
      <c r="AF26" s="17">
        <f ca="1">('TUSD BE'!$AJ$26+'TUSD BF'!$AJ$26+'TUSD CVA'!$AJ$26)*(1 - 0.65)</f>
        <v>0</v>
      </c>
      <c r="AG26" s="17">
        <f ca="1">('TUSD BE'!$AK$26+'TUSD BF'!$AK$26+'TUSD CVA'!$AK$26)*(1 - 0.65)</f>
        <v>0</v>
      </c>
      <c r="AI26" s="17">
        <v>0</v>
      </c>
      <c r="AJ26" s="17">
        <v>0.46583046409629297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37.464544386650502</v>
      </c>
      <c r="AV26" s="17">
        <v>0</v>
      </c>
      <c r="AW26" s="17">
        <v>0</v>
      </c>
      <c r="AX26" s="17">
        <v>64.598013407706205</v>
      </c>
      <c r="AY26" s="17">
        <v>0</v>
      </c>
      <c r="AZ26" s="17">
        <v>0</v>
      </c>
      <c r="BA26" s="17">
        <v>6.26671430384883</v>
      </c>
      <c r="BB26" s="17">
        <v>0</v>
      </c>
      <c r="BC26" s="17">
        <v>0</v>
      </c>
      <c r="BD26" s="17">
        <v>0</v>
      </c>
    </row>
    <row r="27" spans="1:56" ht="11.25" customHeight="1" x14ac:dyDescent="0.25">
      <c r="A27" s="94"/>
      <c r="B27" s="94"/>
      <c r="C27" s="94"/>
      <c r="D27" s="26" t="s">
        <v>30</v>
      </c>
      <c r="E27" s="26" t="s">
        <v>25</v>
      </c>
      <c r="F27" s="26" t="s">
        <v>25</v>
      </c>
      <c r="G27" s="27" t="s">
        <v>78</v>
      </c>
      <c r="H27" s="27" t="s">
        <v>72</v>
      </c>
      <c r="I27" s="27">
        <f>'MERCADO TUSD'!$U$24</f>
        <v>0</v>
      </c>
      <c r="J27" s="15"/>
      <c r="L27" s="17">
        <f>('TUSD BE'!$L$27+'TUSD BF'!$L$27+'TUSD CVA'!$L$27)*(1 - 0.4)</f>
        <v>0</v>
      </c>
      <c r="M27" s="17">
        <f>('TUSD BE'!$M$27+'TUSD BF'!$M$27+'TUSD CVA'!$M$27)*(1 - 0.4)</f>
        <v>0.89835334560909641</v>
      </c>
      <c r="N27" s="17">
        <f ca="1">('TUSD BE'!$N$27+'TUSD BF'!$N$27+'TUSD CVA'!$N$27)*(1 - 0.4)</f>
        <v>0</v>
      </c>
      <c r="O27" s="17">
        <f>('TUSD BE'!$O$27+'TUSD BF'!$O$27+'TUSD CVA'!$O$27)*(1 - 0.4)</f>
        <v>0</v>
      </c>
      <c r="P27" s="17">
        <v>0</v>
      </c>
      <c r="Q27" s="17">
        <f>('TUSD BE'!$Q$27+'TUSD BF'!$Q$27+'TUSD CVA'!$Q$27)*(1 - 0.4)</f>
        <v>0</v>
      </c>
      <c r="R27" s="17">
        <v>0</v>
      </c>
      <c r="S27" s="17">
        <f>('TUSD BE'!$S$27+'TUSD BF'!$S$27+'TUSD CVA'!$S$27)*(1 - 0.4)</f>
        <v>0</v>
      </c>
      <c r="T27" s="17">
        <f>('TUSD BE'!$U$27+'TUSD BF'!$U$27+'TUSD CVA'!$U$27)*(1 - 0.4)</f>
        <v>0</v>
      </c>
      <c r="U27" s="17">
        <f>('TUSD BE'!$V$27+'TUSD BF'!$V$27+'TUSD CVA'!$V$27)*(1 - 0.4)</f>
        <v>0</v>
      </c>
      <c r="V27" s="17">
        <f>('TUSD BE'!$W$27+'TUSD BF'!$W$27+'TUSD CVA'!$W$27)*(1 - 0.4)</f>
        <v>0</v>
      </c>
      <c r="W27" s="17">
        <f>('TUSD BE'!$X$27+'TUSD BF'!$X$27+'TUSD CVA'!$X$27)*(1 - 0.4)</f>
        <v>0</v>
      </c>
      <c r="X27" s="17">
        <f>('TUSD BE'!$Y$27+'TUSD BF'!$Y$27+'TUSD CVA'!$Y$27)*(1 - 0.4)</f>
        <v>61.305167652234402</v>
      </c>
      <c r="Y27" s="17">
        <f>('TUSD BE'!$Z$27+'TUSD BF'!$Z$27+'TUSD CVA'!$Z$27)*(1 - 0.4)</f>
        <v>0</v>
      </c>
      <c r="Z27" s="17">
        <f>('TUSD BE'!$AA$27+'TUSD BF'!$AA$27+'TUSD CVA'!$AA$27)*(1 - 0.4)</f>
        <v>0</v>
      </c>
      <c r="AA27" s="17">
        <f>('TUSD BE'!$AC$27+'TUSD BF'!$AC$27+'TUSD CVA'!$AC$27)*(1 - 0.4)</f>
        <v>111.92511420853316</v>
      </c>
      <c r="AB27" s="17">
        <f ca="1">('TUSD BE'!$AE$27+'TUSD BF'!$AE$27+'TUSD CVA'!$AE$27)*(1 - 0.4)</f>
        <v>0</v>
      </c>
      <c r="AC27" s="17">
        <f ca="1">('TUSD BE'!$AF$27+'TUSD BF'!$AF$27+'TUSD CVA'!$AF$27)*(1 - 0.4)</f>
        <v>0</v>
      </c>
      <c r="AD27" s="17">
        <f>('TUSD BE'!$AH$27+'TUSD BF'!$AH$27+'TUSD CVA'!$AH$27)*(1 - 0.4)</f>
        <v>11.438563753641828</v>
      </c>
      <c r="AE27" s="17">
        <f>('TUSD BE'!$AI$27+'TUSD BF'!$AI$27+'TUSD CVA'!$AI$27)*(1 - 0.4)</f>
        <v>0</v>
      </c>
      <c r="AF27" s="17">
        <f ca="1">('TUSD BE'!$AJ$27+'TUSD BF'!$AJ$27+'TUSD CVA'!$AJ$27)*(1 - 0.4)</f>
        <v>0</v>
      </c>
      <c r="AG27" s="17">
        <f ca="1">('TUSD BE'!$AK$27+'TUSD BF'!$AK$27+'TUSD CVA'!$AK$27)*(1 - 0.4)</f>
        <v>0</v>
      </c>
      <c r="AI27" s="17">
        <v>0</v>
      </c>
      <c r="AJ27" s="17">
        <v>0.79856650987935995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64.224933234258003</v>
      </c>
      <c r="AV27" s="17">
        <v>0</v>
      </c>
      <c r="AW27" s="17">
        <v>0</v>
      </c>
      <c r="AX27" s="17">
        <v>110.739451556068</v>
      </c>
      <c r="AY27" s="17">
        <v>0</v>
      </c>
      <c r="AZ27" s="17">
        <v>0</v>
      </c>
      <c r="BA27" s="17">
        <v>10.742938806598</v>
      </c>
      <c r="BB27" s="17">
        <v>0</v>
      </c>
      <c r="BC27" s="17">
        <v>0</v>
      </c>
      <c r="BD27" s="17">
        <v>0</v>
      </c>
    </row>
    <row r="28" spans="1:56" ht="11.25" customHeight="1" x14ac:dyDescent="0.25">
      <c r="A28" s="94"/>
      <c r="B28" s="94"/>
      <c r="C28" s="94"/>
      <c r="D28" s="26" t="s">
        <v>31</v>
      </c>
      <c r="E28" s="26" t="s">
        <v>25</v>
      </c>
      <c r="F28" s="26" t="s">
        <v>25</v>
      </c>
      <c r="G28" s="27" t="s">
        <v>78</v>
      </c>
      <c r="H28" s="27" t="s">
        <v>72</v>
      </c>
      <c r="I28" s="27">
        <f>'MERCADO TUSD'!$U$25</f>
        <v>0</v>
      </c>
      <c r="J28" s="15"/>
      <c r="L28" s="17">
        <f>('TUSD BE'!$L$28+'TUSD BF'!$L$28+'TUSD CVA'!$L$28)*(1 - 0.1)</f>
        <v>0</v>
      </c>
      <c r="M28" s="17">
        <f>('TUSD BE'!$M$28+'TUSD BF'!$M$28+'TUSD CVA'!$M$28)*(1 - 0.1)</f>
        <v>1.3475300184136447</v>
      </c>
      <c r="N28" s="17">
        <f ca="1">('TUSD BE'!$N$28+'TUSD BF'!$N$28+'TUSD CVA'!$N$28)*(1 - 0.1)</f>
        <v>0</v>
      </c>
      <c r="O28" s="17">
        <f>('TUSD BE'!$O$28+'TUSD BF'!$O$28+'TUSD CVA'!$O$28)*(1 - 0.1)</f>
        <v>0</v>
      </c>
      <c r="P28" s="17">
        <v>0</v>
      </c>
      <c r="Q28" s="17">
        <f>('TUSD BE'!$Q$28+'TUSD BF'!$Q$28+'TUSD CVA'!$Q$28)*(1 - 0.1)</f>
        <v>0</v>
      </c>
      <c r="R28" s="17">
        <v>0</v>
      </c>
      <c r="S28" s="17">
        <f>('TUSD BE'!$S$28+'TUSD BF'!$S$28+'TUSD CVA'!$S$28)*(1 - 0.1)</f>
        <v>0</v>
      </c>
      <c r="T28" s="17">
        <f>('TUSD BE'!$U$28+'TUSD BF'!$U$28+'TUSD CVA'!$U$28)*(1 - 0.1)</f>
        <v>0</v>
      </c>
      <c r="U28" s="17">
        <f>('TUSD BE'!$V$28+'TUSD BF'!$V$28+'TUSD CVA'!$V$28)*(1 - 0.1)</f>
        <v>0</v>
      </c>
      <c r="V28" s="17">
        <f>('TUSD BE'!$W$28+'TUSD BF'!$W$28+'TUSD CVA'!$W$28)*(1 - 0.1)</f>
        <v>0</v>
      </c>
      <c r="W28" s="17">
        <f>('TUSD BE'!$X$28+'TUSD BF'!$X$28+'TUSD CVA'!$X$28)*(1 - 0.1)</f>
        <v>0</v>
      </c>
      <c r="X28" s="17">
        <f>('TUSD BE'!$Y$28+'TUSD BF'!$Y$28+'TUSD CVA'!$Y$28)*(1 - 0.1)</f>
        <v>91.957751478351611</v>
      </c>
      <c r="Y28" s="17">
        <f>('TUSD BE'!$Z$28+'TUSD BF'!$Z$28+'TUSD CVA'!$Z$28)*(1 - 0.1)</f>
        <v>0</v>
      </c>
      <c r="Z28" s="17">
        <f>('TUSD BE'!$AA$28+'TUSD BF'!$AA$28+'TUSD CVA'!$AA$28)*(1 - 0.1)</f>
        <v>0</v>
      </c>
      <c r="AA28" s="17">
        <f>('TUSD BE'!$AC$28+'TUSD BF'!$AC$28+'TUSD CVA'!$AC$28)*(1 - 0.1)</f>
        <v>167.88767131279974</v>
      </c>
      <c r="AB28" s="17">
        <f ca="1">('TUSD BE'!$AE$28+'TUSD BF'!$AE$28+'TUSD CVA'!$AE$28)*(1 - 0.1)</f>
        <v>0</v>
      </c>
      <c r="AC28" s="17">
        <f ca="1">('TUSD BE'!$AF$28+'TUSD BF'!$AF$28+'TUSD CVA'!$AF$28)*(1 - 0.1)</f>
        <v>0</v>
      </c>
      <c r="AD28" s="17">
        <f>('TUSD BE'!$AH$28+'TUSD BF'!$AH$28+'TUSD CVA'!$AH$28)*(1 - 0.1)</f>
        <v>17.157845630462745</v>
      </c>
      <c r="AE28" s="17">
        <f>('TUSD BE'!$AI$28+'TUSD BF'!$AI$28+'TUSD CVA'!$AI$28)*(1 - 0.1)</f>
        <v>0</v>
      </c>
      <c r="AF28" s="17">
        <f ca="1">('TUSD BE'!$AJ$28+'TUSD BF'!$AJ$28+'TUSD CVA'!$AJ$28)*(1 - 0.1)</f>
        <v>0</v>
      </c>
      <c r="AG28" s="17">
        <f ca="1">('TUSD BE'!$AK$28+'TUSD BF'!$AK$28+'TUSD CVA'!$AK$28)*(1 - 0.1)</f>
        <v>0</v>
      </c>
      <c r="AI28" s="17">
        <v>0</v>
      </c>
      <c r="AJ28" s="17">
        <v>1.19784976481904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96.337399851387005</v>
      </c>
      <c r="AV28" s="17">
        <v>0</v>
      </c>
      <c r="AW28" s="17">
        <v>0</v>
      </c>
      <c r="AX28" s="17">
        <v>166.10917733410199</v>
      </c>
      <c r="AY28" s="17">
        <v>0</v>
      </c>
      <c r="AZ28" s="17">
        <v>0</v>
      </c>
      <c r="BA28" s="17">
        <v>16.114408209897</v>
      </c>
      <c r="BB28" s="17">
        <v>0</v>
      </c>
      <c r="BC28" s="17">
        <v>0</v>
      </c>
      <c r="BD28" s="17">
        <v>0</v>
      </c>
    </row>
    <row r="29" spans="1:56" ht="11.25" customHeight="1" x14ac:dyDescent="0.25">
      <c r="A29" s="94"/>
      <c r="B29" s="94"/>
      <c r="C29" s="94"/>
      <c r="D29" s="26" t="s">
        <v>32</v>
      </c>
      <c r="E29" s="26" t="s">
        <v>25</v>
      </c>
      <c r="F29" s="26" t="s">
        <v>25</v>
      </c>
      <c r="G29" s="27" t="s">
        <v>78</v>
      </c>
      <c r="H29" s="27" t="s">
        <v>72</v>
      </c>
      <c r="I29" s="27">
        <f>'MERCADO TUSD'!$U$26</f>
        <v>0</v>
      </c>
      <c r="J29" s="15"/>
      <c r="L29" s="17">
        <f>('TUSD BE'!$L$29+'TUSD BF'!$L$29+'TUSD CVA'!$L$29)*1</f>
        <v>0</v>
      </c>
      <c r="M29" s="17">
        <f>('TUSD BE'!$M$29+'TUSD BF'!$M$29+'TUSD CVA'!$M$29)*1</f>
        <v>1.4972555760151607</v>
      </c>
      <c r="N29" s="17">
        <f ca="1">('TUSD BE'!$N$29+'TUSD BF'!$N$29+'TUSD CVA'!$N$29)*1</f>
        <v>0</v>
      </c>
      <c r="O29" s="17">
        <f>('TUSD BE'!$O$29+'TUSD BF'!$O$29+'TUSD CVA'!$O$29)*1</f>
        <v>0</v>
      </c>
      <c r="P29" s="17">
        <v>0</v>
      </c>
      <c r="Q29" s="17">
        <f>('TUSD BE'!$Q$29+'TUSD BF'!$Q$29+'TUSD CVA'!$Q$29)*1</f>
        <v>0</v>
      </c>
      <c r="R29" s="17">
        <v>0</v>
      </c>
      <c r="S29" s="17">
        <f>('TUSD BE'!$S$29+'TUSD BF'!$S$29+'TUSD CVA'!$S$29)*1</f>
        <v>0</v>
      </c>
      <c r="T29" s="17">
        <f>('TUSD BE'!$U$29+'TUSD BF'!$U$29+'TUSD CVA'!$U$29)*1</f>
        <v>0</v>
      </c>
      <c r="U29" s="17">
        <f>('TUSD BE'!$V$29+'TUSD BF'!$V$29+'TUSD CVA'!$V$29)*1</f>
        <v>0</v>
      </c>
      <c r="V29" s="17">
        <f>('TUSD BE'!$W$29+'TUSD BF'!$W$29+'TUSD CVA'!$W$29)*1</f>
        <v>0</v>
      </c>
      <c r="W29" s="17">
        <f>('TUSD BE'!$X$29+'TUSD BF'!$X$29+'TUSD CVA'!$X$29)*1</f>
        <v>0</v>
      </c>
      <c r="X29" s="17">
        <f>('TUSD BE'!$Y$29+'TUSD BF'!$Y$29+'TUSD CVA'!$Y$29)*1</f>
        <v>102.17527942039068</v>
      </c>
      <c r="Y29" s="17">
        <f>('TUSD BE'!$Z$29+'TUSD BF'!$Z$29+'TUSD CVA'!$Z$29)*1</f>
        <v>0</v>
      </c>
      <c r="Z29" s="17">
        <f>('TUSD BE'!$AA$29+'TUSD BF'!$AA$29+'TUSD CVA'!$AA$29)*1</f>
        <v>0</v>
      </c>
      <c r="AA29" s="17">
        <f>('TUSD BE'!$AC$29+'TUSD BF'!$AC$29+'TUSD CVA'!$AC$29)*1</f>
        <v>186.54185701422193</v>
      </c>
      <c r="AB29" s="17">
        <f ca="1">('TUSD BE'!$AE$29+'TUSD BF'!$AE$29+'TUSD CVA'!$AE$29)*1</f>
        <v>0</v>
      </c>
      <c r="AC29" s="17">
        <f ca="1">('TUSD BE'!$AF$29+'TUSD BF'!$AF$29+'TUSD CVA'!$AF$29)*1</f>
        <v>0</v>
      </c>
      <c r="AD29" s="17">
        <f>('TUSD BE'!$AH$29+'TUSD BF'!$AH$29+'TUSD CVA'!$AH$29)*1</f>
        <v>19.064272922736382</v>
      </c>
      <c r="AE29" s="17">
        <f>('TUSD BE'!$AI$29+'TUSD BF'!$AI$29+'TUSD CVA'!$AI$29)*1</f>
        <v>0</v>
      </c>
      <c r="AF29" s="17">
        <f ca="1">('TUSD BE'!$AJ$29+'TUSD BF'!$AJ$29+'TUSD CVA'!$AJ$29)*1</f>
        <v>0</v>
      </c>
      <c r="AG29" s="17">
        <f ca="1">('TUSD BE'!$AK$29+'TUSD BF'!$AK$29+'TUSD CVA'!$AK$29)*1</f>
        <v>0</v>
      </c>
      <c r="AI29" s="17">
        <v>0</v>
      </c>
      <c r="AJ29" s="17">
        <v>1.3309441831322699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107.04155539043001</v>
      </c>
      <c r="AV29" s="17">
        <v>0</v>
      </c>
      <c r="AW29" s="17">
        <v>0</v>
      </c>
      <c r="AX29" s="17">
        <v>184.56575259344601</v>
      </c>
      <c r="AY29" s="17">
        <v>0</v>
      </c>
      <c r="AZ29" s="17">
        <v>0</v>
      </c>
      <c r="BA29" s="17">
        <v>17.9048980109967</v>
      </c>
      <c r="BB29" s="17">
        <v>0</v>
      </c>
      <c r="BC29" s="17">
        <v>0</v>
      </c>
      <c r="BD29" s="17">
        <v>0</v>
      </c>
    </row>
    <row r="30" spans="1:56" ht="11.25" customHeight="1" x14ac:dyDescent="0.25">
      <c r="A30" s="94" t="s">
        <v>40</v>
      </c>
      <c r="B30" s="94" t="s">
        <v>85</v>
      </c>
      <c r="C30" s="94" t="s">
        <v>41</v>
      </c>
      <c r="D30" s="94" t="s">
        <v>25</v>
      </c>
      <c r="E30" s="94" t="s">
        <v>25</v>
      </c>
      <c r="F30" s="94" t="s">
        <v>25</v>
      </c>
      <c r="G30" s="27" t="s">
        <v>73</v>
      </c>
      <c r="H30" s="27" t="s">
        <v>72</v>
      </c>
      <c r="I30" s="27">
        <f>'MERCADO TUSD'!$U$27</f>
        <v>0</v>
      </c>
      <c r="J30" s="15"/>
      <c r="L30" s="17">
        <f>('TUSD BE'!$L$30+'TUSD BF'!$L$30+'TUSD CVA'!$L$30)*(1 - CUSTOS!$M$38)</f>
        <v>0</v>
      </c>
      <c r="M30" s="17">
        <f>('TUSD BE'!$M$30+'TUSD BF'!$M$30+'TUSD CVA'!$M$30)*(1 - CUSTOS!$M$38)</f>
        <v>1.4074202414542509</v>
      </c>
      <c r="N30" s="17">
        <f ca="1">('TUSD BE'!$N$30+'TUSD BF'!$N$30+'TUSD CVA'!$N$30)*(1 - CUSTOS!$M$38)</f>
        <v>0</v>
      </c>
      <c r="O30" s="17">
        <f>('TUSD BE'!$O$30+'TUSD BF'!$O$30+'TUSD CVA'!$O$30)*(1 - CUSTOS!$M$38)</f>
        <v>0</v>
      </c>
      <c r="P30" s="17">
        <f>('TUSD BE'!$P$30+'TUSD BF'!$P$30+'TUSD CVA'!$P$30)*(1 - CUSTOS!$M$38)</f>
        <v>0</v>
      </c>
      <c r="Q30" s="17">
        <f>('TUSD BE'!$Q$30+'TUSD BF'!$Q$30+'TUSD CVA'!$Q$30)*(1 - CUSTOS!$M$38)</f>
        <v>86.383768031138928</v>
      </c>
      <c r="R30" s="17">
        <f>('TUSD BE'!$R$30+'TUSD BF'!$R$30+'TUSD CVA'!$R$30)*(1 - CUSTOS!$M$38)</f>
        <v>13.62831931970104</v>
      </c>
      <c r="S30" s="17">
        <f>('TUSD BE'!$S$30+'TUSD BF'!$S$30+'TUSD CVA'!$S$30)*(1 - CUSTOS!$M$38)</f>
        <v>0</v>
      </c>
      <c r="T30" s="17">
        <f>('TUSD BE'!$U$30+'TUSD BF'!$U$30+'TUSD CVA'!$U$30)*(1 - CUSTOS!$M$38)</f>
        <v>0</v>
      </c>
      <c r="U30" s="17">
        <f>('TUSD BE'!$V$30+'TUSD BF'!$V$30+'TUSD CVA'!$V$30)*(1 - CUSTOS!$M$38)</f>
        <v>0</v>
      </c>
      <c r="V30" s="17">
        <f>('TUSD BE'!$W$30+'TUSD BF'!$W$30+'TUSD CVA'!$W$30)*(1 - CUSTOS!$M$38)</f>
        <v>0</v>
      </c>
      <c r="W30" s="17">
        <f>('TUSD BE'!$X$30+'TUSD BF'!$X$30+'TUSD CVA'!$X$30)*(1 - CUSTOS!$M$38)</f>
        <v>0</v>
      </c>
      <c r="X30" s="17">
        <f>('TUSD BE'!$Y$30+'TUSD BF'!$Y$30+'TUSD CVA'!$Y$30)*(1 - CUSTOS!$M$38)</f>
        <v>283.34400700554392</v>
      </c>
      <c r="Y30" s="17">
        <f>('TUSD BE'!$Z$30+'TUSD BF'!$Z$30+'TUSD CVA'!$Z$30)*(1 - CUSTOS!$M$38)</f>
        <v>0</v>
      </c>
      <c r="Z30" s="17">
        <f>('TUSD BE'!$AA$30+'TUSD BF'!$AA$30+'TUSD CVA'!$AA$30)*(1 - CUSTOS!$M$38)</f>
        <v>0</v>
      </c>
      <c r="AA30" s="17">
        <f>('TUSD BE'!$AC$30+'TUSD BF'!$AC$30+'TUSD CVA'!$AC$30)*(1 - CUSTOS!$M$38)</f>
        <v>517.28059108516277</v>
      </c>
      <c r="AB30" s="17">
        <f ca="1">('TUSD BE'!$AE$30+'TUSD BF'!$AE$30+'TUSD CVA'!$AE$30)*(1 - CUSTOS!$M$38)</f>
        <v>0</v>
      </c>
      <c r="AC30" s="17">
        <f ca="1">('TUSD BE'!$AF$30+'TUSD BF'!$AF$30+'TUSD CVA'!$AF$30)*(1 - CUSTOS!$M$38)</f>
        <v>0</v>
      </c>
      <c r="AD30" s="17">
        <f>('TUSD BE'!$AH$30+'TUSD BF'!$AH$30+'TUSD CVA'!$AH$30)*(1 - CUSTOS!$M$38)</f>
        <v>17.920416547372199</v>
      </c>
      <c r="AE30" s="17">
        <f>('TUSD BE'!$AI$30+'TUSD BF'!$AI$30+'TUSD CVA'!$AI$30)*(1 - CUSTOS!$M$38)</f>
        <v>0</v>
      </c>
      <c r="AF30" s="17">
        <f ca="1">('TUSD BE'!$AJ$30+'TUSD BF'!$AJ$30+'TUSD CVA'!$AJ$30)*(1 - CUSTOS!$M$38)</f>
        <v>0</v>
      </c>
      <c r="AG30" s="17">
        <f ca="1">('TUSD BE'!$AK$30+'TUSD BF'!$AK$30+'TUSD CVA'!$AK$30)*(1 - CUSTOS!$M$38)</f>
        <v>0</v>
      </c>
      <c r="AI30" s="17">
        <v>0</v>
      </c>
      <c r="AJ30" s="17">
        <v>1.1712308811563901</v>
      </c>
      <c r="AK30" s="17">
        <v>0</v>
      </c>
      <c r="AL30" s="17">
        <v>0</v>
      </c>
      <c r="AM30" s="17">
        <v>0</v>
      </c>
      <c r="AN30" s="17">
        <v>50.387282669041099</v>
      </c>
      <c r="AO30" s="17">
        <v>7.8436081293931199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277.89162278190503</v>
      </c>
      <c r="AV30" s="17">
        <v>0</v>
      </c>
      <c r="AW30" s="17">
        <v>0</v>
      </c>
      <c r="AX30" s="17">
        <v>479.132724701379</v>
      </c>
      <c r="AY30" s="17">
        <v>0</v>
      </c>
      <c r="AZ30" s="17">
        <v>0</v>
      </c>
      <c r="BA30" s="17">
        <v>15.756310249677099</v>
      </c>
      <c r="BB30" s="17">
        <v>0</v>
      </c>
      <c r="BC30" s="17">
        <v>0</v>
      </c>
      <c r="BD30" s="17">
        <v>0</v>
      </c>
    </row>
    <row r="31" spans="1:56" ht="11.25" customHeight="1" x14ac:dyDescent="0.25">
      <c r="A31" s="94"/>
      <c r="B31" s="94"/>
      <c r="C31" s="94"/>
      <c r="D31" s="94"/>
      <c r="E31" s="94"/>
      <c r="F31" s="94"/>
      <c r="G31" s="27" t="s">
        <v>83</v>
      </c>
      <c r="H31" s="27" t="s">
        <v>72</v>
      </c>
      <c r="I31" s="27">
        <f>'MERCADO TUSD'!$U$28</f>
        <v>0</v>
      </c>
      <c r="J31" s="15"/>
      <c r="L31" s="17">
        <f>('TUSD BE'!$L$31+'TUSD BF'!$L$31+'TUSD CVA'!$L$31)*(1 - CUSTOS!$M$38)</f>
        <v>0</v>
      </c>
      <c r="M31" s="17">
        <f>('TUSD BE'!$M$31+'TUSD BF'!$M$31+'TUSD CVA'!$M$31)*(1 - CUSTOS!$M$38)</f>
        <v>1.4074202414542509</v>
      </c>
      <c r="N31" s="17">
        <f ca="1">('TUSD BE'!$N$31+'TUSD BF'!$N$31+'TUSD CVA'!$N$31)*(1 - CUSTOS!$M$38)</f>
        <v>0</v>
      </c>
      <c r="O31" s="17">
        <f>('TUSD BE'!$O$31+'TUSD BF'!$O$31+'TUSD CVA'!$O$31)*(1 - CUSTOS!$M$38)</f>
        <v>0</v>
      </c>
      <c r="P31" s="17">
        <f>('TUSD BE'!$P$31+'TUSD BF'!$P$31+'TUSD CVA'!$P$31)*(1 - CUSTOS!$M$38)</f>
        <v>0</v>
      </c>
      <c r="Q31" s="17">
        <f>('TUSD BE'!$Q$31+'TUSD BF'!$Q$31+'TUSD CVA'!$Q$31)*(1 - CUSTOS!$M$38)</f>
        <v>86.383768031138928</v>
      </c>
      <c r="R31" s="17">
        <f>('TUSD BE'!$R$31+'TUSD BF'!$R$31+'TUSD CVA'!$R$31)*(1 - CUSTOS!$M$38)</f>
        <v>13.62831931970104</v>
      </c>
      <c r="S31" s="17">
        <f>('TUSD BE'!$S$31+'TUSD BF'!$S$31+'TUSD CVA'!$S$31)*(1 - CUSTOS!$M$38)</f>
        <v>0</v>
      </c>
      <c r="T31" s="17">
        <f>('TUSD BE'!$U$31+'TUSD BF'!$U$31+'TUSD CVA'!$U$31)*(1 - CUSTOS!$M$38)</f>
        <v>0</v>
      </c>
      <c r="U31" s="17">
        <f>('TUSD BE'!$V$31+'TUSD BF'!$V$31+'TUSD CVA'!$V$31)*(1 - CUSTOS!$M$38)</f>
        <v>0</v>
      </c>
      <c r="V31" s="17">
        <f>('TUSD BE'!$W$31+'TUSD BF'!$W$31+'TUSD CVA'!$W$31)*(1 - CUSTOS!$M$38)</f>
        <v>0</v>
      </c>
      <c r="W31" s="17">
        <f>('TUSD BE'!$X$31+'TUSD BF'!$X$31+'TUSD CVA'!$X$31)*(1 - CUSTOS!$M$38)</f>
        <v>0</v>
      </c>
      <c r="X31" s="17">
        <f>('TUSD BE'!$Y$31+'TUSD BF'!$Y$31+'TUSD CVA'!$Y$31)*(1 - CUSTOS!$M$38)</f>
        <v>169.987419177655</v>
      </c>
      <c r="Y31" s="17">
        <f>('TUSD BE'!$Z$31+'TUSD BF'!$Z$31+'TUSD CVA'!$Z$31)*(1 - CUSTOS!$M$38)</f>
        <v>0</v>
      </c>
      <c r="Z31" s="17">
        <f>('TUSD BE'!$AA$31+'TUSD BF'!$AA$31+'TUSD CVA'!$AA$31)*(1 - CUSTOS!$M$38)</f>
        <v>0</v>
      </c>
      <c r="AA31" s="17">
        <f>('TUSD BE'!$AC$31+'TUSD BF'!$AC$31+'TUSD CVA'!$AC$31)*(1 - CUSTOS!$M$38)</f>
        <v>310.36822514274462</v>
      </c>
      <c r="AB31" s="17">
        <f ca="1">('TUSD BE'!$AE$31+'TUSD BF'!$AE$31+'TUSD CVA'!$AE$31)*(1 - CUSTOS!$M$38)</f>
        <v>0</v>
      </c>
      <c r="AC31" s="17">
        <f ca="1">('TUSD BE'!$AF$31+'TUSD BF'!$AF$31+'TUSD CVA'!$AF$31)*(1 - CUSTOS!$M$38)</f>
        <v>0</v>
      </c>
      <c r="AD31" s="17">
        <f>('TUSD BE'!$AH$31+'TUSD BF'!$AH$31+'TUSD CVA'!$AH$31)*(1 - CUSTOS!$M$38)</f>
        <v>17.920416547372199</v>
      </c>
      <c r="AE31" s="17">
        <f>('TUSD BE'!$AI$31+'TUSD BF'!$AI$31+'TUSD CVA'!$AI$31)*(1 - CUSTOS!$M$38)</f>
        <v>0</v>
      </c>
      <c r="AF31" s="17">
        <f ca="1">('TUSD BE'!$AJ$31+'TUSD BF'!$AJ$31+'TUSD CVA'!$AJ$31)*(1 - CUSTOS!$M$38)</f>
        <v>0</v>
      </c>
      <c r="AG31" s="17">
        <f ca="1">('TUSD BE'!$AK$31+'TUSD BF'!$AK$31+'TUSD CVA'!$AK$31)*(1 - CUSTOS!$M$38)</f>
        <v>0</v>
      </c>
      <c r="AI31" s="17">
        <v>0</v>
      </c>
      <c r="AJ31" s="17">
        <v>1.1712308811563901</v>
      </c>
      <c r="AK31" s="17">
        <v>0</v>
      </c>
      <c r="AL31" s="17">
        <v>0</v>
      </c>
      <c r="AM31" s="17">
        <v>0</v>
      </c>
      <c r="AN31" s="17">
        <v>50.387282669041099</v>
      </c>
      <c r="AO31" s="17">
        <v>7.8436081293931199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166.71636495542</v>
      </c>
      <c r="AV31" s="17">
        <v>0</v>
      </c>
      <c r="AW31" s="17">
        <v>0</v>
      </c>
      <c r="AX31" s="17">
        <v>287.47953346841399</v>
      </c>
      <c r="AY31" s="17">
        <v>0</v>
      </c>
      <c r="AZ31" s="17">
        <v>0</v>
      </c>
      <c r="BA31" s="17">
        <v>15.756310249677099</v>
      </c>
      <c r="BB31" s="17">
        <v>0</v>
      </c>
      <c r="BC31" s="17">
        <v>0</v>
      </c>
      <c r="BD31" s="17">
        <v>0</v>
      </c>
    </row>
    <row r="32" spans="1:56" ht="11.25" customHeight="1" x14ac:dyDescent="0.25">
      <c r="A32" s="94"/>
      <c r="B32" s="94"/>
      <c r="C32" s="94"/>
      <c r="D32" s="94"/>
      <c r="E32" s="94"/>
      <c r="F32" s="94"/>
      <c r="G32" s="27" t="s">
        <v>74</v>
      </c>
      <c r="H32" s="27" t="s">
        <v>72</v>
      </c>
      <c r="I32" s="27">
        <f>'MERCADO TUSD'!$U$29</f>
        <v>0</v>
      </c>
      <c r="J32" s="15"/>
      <c r="L32" s="17">
        <f>('TUSD BE'!$L$32+'TUSD BF'!$L$32+'TUSD CVA'!$L$32)*(1 - CUSTOS!$M$38)</f>
        <v>0</v>
      </c>
      <c r="M32" s="17">
        <f>('TUSD BE'!$M$32+'TUSD BF'!$M$32+'TUSD CVA'!$M$32)*(1 - CUSTOS!$M$38)</f>
        <v>1.4074202414542509</v>
      </c>
      <c r="N32" s="17">
        <f ca="1">('TUSD BE'!$N$32+'TUSD BF'!$N$32+'TUSD CVA'!$N$32)*(1 - CUSTOS!$M$38)</f>
        <v>0</v>
      </c>
      <c r="O32" s="17">
        <f>('TUSD BE'!$O$32+'TUSD BF'!$O$32+'TUSD CVA'!$O$32)*(1 - CUSTOS!$M$38)</f>
        <v>0</v>
      </c>
      <c r="P32" s="17">
        <f>('TUSD BE'!$P$32+'TUSD BF'!$P$32+'TUSD CVA'!$P$32)*(1 - CUSTOS!$M$38)</f>
        <v>0</v>
      </c>
      <c r="Q32" s="17">
        <f>('TUSD BE'!$Q$32+'TUSD BF'!$Q$32+'TUSD CVA'!$Q$32)*(1 - CUSTOS!$M$38)</f>
        <v>86.383768031138928</v>
      </c>
      <c r="R32" s="17">
        <f>('TUSD BE'!$R$32+'TUSD BF'!$R$32+'TUSD CVA'!$R$32)*(1 - CUSTOS!$M$38)</f>
        <v>13.62831931970104</v>
      </c>
      <c r="S32" s="17">
        <f>('TUSD BE'!$S$32+'TUSD BF'!$S$32+'TUSD CVA'!$S$32)*(1 - CUSTOS!$M$38)</f>
        <v>0</v>
      </c>
      <c r="T32" s="17">
        <f>('TUSD BE'!$U$32+'TUSD BF'!$U$32+'TUSD CVA'!$U$32)*(1 - CUSTOS!$M$38)</f>
        <v>0</v>
      </c>
      <c r="U32" s="17">
        <f>('TUSD BE'!$V$32+'TUSD BF'!$V$32+'TUSD CVA'!$V$32)*(1 - CUSTOS!$M$38)</f>
        <v>0</v>
      </c>
      <c r="V32" s="17">
        <f>('TUSD BE'!$W$32+'TUSD BF'!$W$32+'TUSD CVA'!$W$32)*(1 - CUSTOS!$M$38)</f>
        <v>0</v>
      </c>
      <c r="W32" s="17">
        <f>('TUSD BE'!$X$32+'TUSD BF'!$X$32+'TUSD CVA'!$X$32)*(1 - CUSTOS!$M$38)</f>
        <v>0</v>
      </c>
      <c r="X32" s="17">
        <f>('TUSD BE'!$Y$32+'TUSD BF'!$Y$32+'TUSD CVA'!$Y$32)*(1 - CUSTOS!$M$38)</f>
        <v>56.630831349766119</v>
      </c>
      <c r="Y32" s="17">
        <f>('TUSD BE'!$Z$32+'TUSD BF'!$Z$32+'TUSD CVA'!$Z$32)*(1 - CUSTOS!$M$38)</f>
        <v>0</v>
      </c>
      <c r="Z32" s="17">
        <f>('TUSD BE'!$AA$32+'TUSD BF'!$AA$32+'TUSD CVA'!$AA$32)*(1 - CUSTOS!$M$38)</f>
        <v>0</v>
      </c>
      <c r="AA32" s="17">
        <f>('TUSD BE'!$AC$32+'TUSD BF'!$AC$32+'TUSD CVA'!$AC$32)*(1 - CUSTOS!$M$38)</f>
        <v>103.45607504758154</v>
      </c>
      <c r="AB32" s="17">
        <f ca="1">('TUSD BE'!$AE$32+'TUSD BF'!$AE$32+'TUSD CVA'!$AE$32)*(1 - CUSTOS!$M$38)</f>
        <v>0</v>
      </c>
      <c r="AC32" s="17">
        <f ca="1">('TUSD BE'!$AF$32+'TUSD BF'!$AF$32+'TUSD CVA'!$AF$32)*(1 - CUSTOS!$M$38)</f>
        <v>0</v>
      </c>
      <c r="AD32" s="17">
        <f>('TUSD BE'!$AH$32+'TUSD BF'!$AH$32+'TUSD CVA'!$AH$32)*(1 - CUSTOS!$M$38)</f>
        <v>17.920416547372199</v>
      </c>
      <c r="AE32" s="17">
        <f>('TUSD BE'!$AI$32+'TUSD BF'!$AI$32+'TUSD CVA'!$AI$32)*(1 - CUSTOS!$M$38)</f>
        <v>0</v>
      </c>
      <c r="AF32" s="17">
        <f ca="1">('TUSD BE'!$AJ$32+'TUSD BF'!$AJ$32+'TUSD CVA'!$AJ$32)*(1 - CUSTOS!$M$38)</f>
        <v>0</v>
      </c>
      <c r="AG32" s="17">
        <f ca="1">('TUSD BE'!$AK$32+'TUSD BF'!$AK$32+'TUSD CVA'!$AK$32)*(1 - CUSTOS!$M$38)</f>
        <v>0</v>
      </c>
      <c r="AI32" s="17">
        <v>0</v>
      </c>
      <c r="AJ32" s="17">
        <v>1.1712308811563901</v>
      </c>
      <c r="AK32" s="17">
        <v>0</v>
      </c>
      <c r="AL32" s="17">
        <v>0</v>
      </c>
      <c r="AM32" s="17">
        <v>0</v>
      </c>
      <c r="AN32" s="17">
        <v>50.387282669041099</v>
      </c>
      <c r="AO32" s="17">
        <v>7.8436081293931199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55.541107128936098</v>
      </c>
      <c r="AV32" s="17">
        <v>0</v>
      </c>
      <c r="AW32" s="17">
        <v>0</v>
      </c>
      <c r="AX32" s="17">
        <v>95.826511156137997</v>
      </c>
      <c r="AY32" s="17">
        <v>0</v>
      </c>
      <c r="AZ32" s="17">
        <v>0</v>
      </c>
      <c r="BA32" s="17">
        <v>15.756310249677099</v>
      </c>
      <c r="BB32" s="17">
        <v>0</v>
      </c>
      <c r="BC32" s="17">
        <v>0</v>
      </c>
      <c r="BD32" s="17">
        <v>0</v>
      </c>
    </row>
    <row r="33" spans="1:56" ht="11.25" customHeight="1" x14ac:dyDescent="0.25">
      <c r="A33" s="94"/>
      <c r="B33" s="26" t="s">
        <v>23</v>
      </c>
      <c r="C33" s="26" t="s">
        <v>41</v>
      </c>
      <c r="D33" s="26" t="s">
        <v>25</v>
      </c>
      <c r="E33" s="26" t="s">
        <v>25</v>
      </c>
      <c r="F33" s="26" t="s">
        <v>25</v>
      </c>
      <c r="G33" s="27" t="s">
        <v>78</v>
      </c>
      <c r="H33" s="27" t="s">
        <v>72</v>
      </c>
      <c r="I33" s="27">
        <f>'MERCADO TUSD'!$U$30</f>
        <v>40057.667999999998</v>
      </c>
      <c r="J33" s="15"/>
      <c r="L33" s="17">
        <f>('TUSD BE'!$L$33+'TUSD BF'!$L$33+'TUSD CVA'!$L$33)*(1 - CUSTOS!$M$38)</f>
        <v>0</v>
      </c>
      <c r="M33" s="17">
        <f>('TUSD BE'!$M$33+'TUSD BF'!$M$33+'TUSD CVA'!$M$33)*(1 - CUSTOS!$M$38)</f>
        <v>1.4074202414542509</v>
      </c>
      <c r="N33" s="17">
        <f ca="1">('TUSD BE'!$N$33+'TUSD BF'!$N$33+'TUSD CVA'!$N$33)*(1 - CUSTOS!$M$38)</f>
        <v>0</v>
      </c>
      <c r="O33" s="17">
        <f>('TUSD BE'!$O$33+'TUSD BF'!$O$33+'TUSD CVA'!$O$33)*(1 - CUSTOS!$M$38)</f>
        <v>0</v>
      </c>
      <c r="P33" s="17">
        <f>('TUSD BE'!$P$33+'TUSD BF'!$P$33+'TUSD CVA'!$P$33)*(1 - CUSTOS!$M$38)</f>
        <v>0</v>
      </c>
      <c r="Q33" s="17">
        <f>('TUSD BE'!$Q$33+'TUSD BF'!$Q$33+'TUSD CVA'!$Q$33)*(1 - CUSTOS!$M$38)</f>
        <v>86.383768031138928</v>
      </c>
      <c r="R33" s="17">
        <f>('TUSD BE'!$R$33+'TUSD BF'!$R$33+'TUSD CVA'!$R$33)*(1 - CUSTOS!$M$38)</f>
        <v>13.62831931970104</v>
      </c>
      <c r="S33" s="17">
        <f>('TUSD BE'!$S$33+'TUSD BF'!$S$33+'TUSD CVA'!$S$33)*(1 - CUSTOS!$M$38)</f>
        <v>0</v>
      </c>
      <c r="T33" s="17">
        <f>('TUSD BE'!$U$33+'TUSD BF'!$U$33+'TUSD CVA'!$U$33)*(1 - CUSTOS!$M$38)</f>
        <v>0</v>
      </c>
      <c r="U33" s="17">
        <f>('TUSD BE'!$V$33+'TUSD BF'!$V$33+'TUSD CVA'!$V$33)*(1 - CUSTOS!$M$38)</f>
        <v>0</v>
      </c>
      <c r="V33" s="17">
        <f>('TUSD BE'!$W$33+'TUSD BF'!$W$33+'TUSD CVA'!$W$33)*(1 - CUSTOS!$M$38)</f>
        <v>0</v>
      </c>
      <c r="W33" s="17">
        <f>('TUSD BE'!$X$33+'TUSD BF'!$X$33+'TUSD CVA'!$X$33)*(1 - CUSTOS!$M$38)</f>
        <v>0</v>
      </c>
      <c r="X33" s="17">
        <f>('TUSD BE'!$Y$33+'TUSD BF'!$Y$33+'TUSD CVA'!$Y$33)*(1 - CUSTOS!$M$38)</f>
        <v>96.044762655167233</v>
      </c>
      <c r="Y33" s="17">
        <f>('TUSD BE'!$Z$33+'TUSD BF'!$Z$33+'TUSD CVA'!$Z$33)*(1 - CUSTOS!$M$38)</f>
        <v>0</v>
      </c>
      <c r="Z33" s="17">
        <f>('TUSD BE'!$AA$33+'TUSD BF'!$AA$33+'TUSD CVA'!$AA$33)*(1 - CUSTOS!$M$38)</f>
        <v>0</v>
      </c>
      <c r="AA33" s="17">
        <f>('TUSD BE'!$AC$33+'TUSD BF'!$AC$33+'TUSD CVA'!$AC$33)*(1 - CUSTOS!$M$38)</f>
        <v>175.34934559336861</v>
      </c>
      <c r="AB33" s="17">
        <f ca="1">('TUSD BE'!$AE$33+'TUSD BF'!$AE$33+'TUSD CVA'!$AE$33)*(1 - CUSTOS!$M$38)</f>
        <v>0</v>
      </c>
      <c r="AC33" s="17">
        <f ca="1">('TUSD BE'!$AF$33+'TUSD BF'!$AF$33+'TUSD CVA'!$AF$33)*(1 - CUSTOS!$M$38)</f>
        <v>0</v>
      </c>
      <c r="AD33" s="17">
        <f>('TUSD BE'!$AH$33+'TUSD BF'!$AH$33+'TUSD CVA'!$AH$33)*(1 - CUSTOS!$M$38)</f>
        <v>17.920416547372199</v>
      </c>
      <c r="AE33" s="17">
        <f>('TUSD BE'!$AI$33+'TUSD BF'!$AI$33+'TUSD CVA'!$AI$33)*(1 - CUSTOS!$M$38)</f>
        <v>0</v>
      </c>
      <c r="AF33" s="17">
        <f ca="1">('TUSD BE'!$AJ$33+'TUSD BF'!$AJ$33+'TUSD CVA'!$AJ$33)*(1 - CUSTOS!$M$38)</f>
        <v>0</v>
      </c>
      <c r="AG33" s="17">
        <f ca="1">('TUSD BE'!$AK$33+'TUSD BF'!$AK$33+'TUSD CVA'!$AK$33)*(1 - CUSTOS!$M$38)</f>
        <v>0</v>
      </c>
      <c r="AI33" s="17">
        <v>0</v>
      </c>
      <c r="AJ33" s="17">
        <v>1.1712308811563901</v>
      </c>
      <c r="AK33" s="17">
        <v>0</v>
      </c>
      <c r="AL33" s="17">
        <v>0</v>
      </c>
      <c r="AM33" s="17">
        <v>0</v>
      </c>
      <c r="AN33" s="17">
        <v>50.387282669041099</v>
      </c>
      <c r="AO33" s="17">
        <v>7.8436081293931199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94.196568743578396</v>
      </c>
      <c r="AV33" s="17">
        <v>0</v>
      </c>
      <c r="AW33" s="17">
        <v>0</v>
      </c>
      <c r="AX33" s="17">
        <v>162.41786228223299</v>
      </c>
      <c r="AY33" s="17">
        <v>0</v>
      </c>
      <c r="AZ33" s="17">
        <v>0</v>
      </c>
      <c r="BA33" s="17">
        <v>15.756310249677099</v>
      </c>
      <c r="BB33" s="17">
        <v>0</v>
      </c>
      <c r="BC33" s="17">
        <v>0</v>
      </c>
      <c r="BD33" s="17">
        <v>0</v>
      </c>
    </row>
    <row r="34" spans="1:56" ht="11.25" customHeight="1" x14ac:dyDescent="0.25">
      <c r="A34" s="94"/>
      <c r="B34" s="94" t="s">
        <v>85</v>
      </c>
      <c r="C34" s="94" t="s">
        <v>41</v>
      </c>
      <c r="D34" s="94" t="s">
        <v>88</v>
      </c>
      <c r="E34" s="94" t="s">
        <v>25</v>
      </c>
      <c r="F34" s="94" t="s">
        <v>25</v>
      </c>
      <c r="G34" s="27" t="s">
        <v>73</v>
      </c>
      <c r="H34" s="27" t="s">
        <v>72</v>
      </c>
      <c r="I34" s="27">
        <f>'MERCADO TUSD'!$U$31</f>
        <v>0</v>
      </c>
      <c r="J34" s="15"/>
      <c r="L34" s="17">
        <f>('TUSD BE'!$L$34+'TUSD BF'!$L$34+'TUSD CVA'!$L$34)*(1 - CUSTOS!$M$39)</f>
        <v>0</v>
      </c>
      <c r="M34" s="17">
        <f>('TUSD BE'!$M$34+'TUSD BF'!$M$34+'TUSD CVA'!$M$34)*(1 - CUSTOS!$M$39)</f>
        <v>1.4074202414542509</v>
      </c>
      <c r="N34" s="17">
        <f ca="1">('TUSD BE'!$N$34+'TUSD BF'!$N$34+'TUSD CVA'!$N$34)*(1 - CUSTOS!$M$39)</f>
        <v>0</v>
      </c>
      <c r="O34" s="17">
        <f>('TUSD BE'!$O$34+'TUSD BF'!$O$34+'TUSD CVA'!$O$34)*(1 - CUSTOS!$M$39)</f>
        <v>0</v>
      </c>
      <c r="P34" s="17">
        <f>('TUSD BE'!$P$34+'TUSD BF'!$P$34+'TUSD CVA'!$P$34)*(1 - CUSTOS!$M$39)</f>
        <v>0</v>
      </c>
      <c r="Q34" s="17">
        <f>('TUSD BE'!$Q$34+'TUSD BF'!$Q$34+'TUSD CVA'!$Q$34)*(1 - CUSTOS!$M$39)</f>
        <v>86.383768031138928</v>
      </c>
      <c r="R34" s="17">
        <f>('TUSD BE'!$R$34+'TUSD BF'!$R$34+'TUSD CVA'!$R$34)*(1 - CUSTOS!$M$39)</f>
        <v>13.62831931970104</v>
      </c>
      <c r="S34" s="17">
        <f>('TUSD BE'!$S$34+'TUSD BF'!$S$34+'TUSD CVA'!$S$34)*(1 - CUSTOS!$M$39)</f>
        <v>0</v>
      </c>
      <c r="T34" s="17">
        <f>('TUSD BE'!$U$34+'TUSD BF'!$U$34+'TUSD CVA'!$U$34)*(1 - CUSTOS!$M$39)</f>
        <v>0</v>
      </c>
      <c r="U34" s="17">
        <f>('TUSD BE'!$V$34+'TUSD BF'!$V$34+'TUSD CVA'!$V$34)*(1 - CUSTOS!$M$39)</f>
        <v>0</v>
      </c>
      <c r="V34" s="17">
        <f>('TUSD BE'!$W$34+'TUSD BF'!$W$34+'TUSD CVA'!$W$34)*(1 - CUSTOS!$M$39)</f>
        <v>0</v>
      </c>
      <c r="W34" s="17">
        <f>('TUSD BE'!$X$34+'TUSD BF'!$X$34+'TUSD CVA'!$X$34)*(1 - CUSTOS!$M$39)</f>
        <v>0</v>
      </c>
      <c r="X34" s="17">
        <f>('TUSD BE'!$Y$34+'TUSD BF'!$Y$34+'TUSD CVA'!$Y$34)*(1 - CUSTOS!$M$39)</f>
        <v>283.34400700554392</v>
      </c>
      <c r="Y34" s="17">
        <f>('TUSD BE'!$Z$34+'TUSD BF'!$Z$34+'TUSD CVA'!$Z$34)*(1 - CUSTOS!$M$39)</f>
        <v>0</v>
      </c>
      <c r="Z34" s="17">
        <f>('TUSD BE'!$AA$34+'TUSD BF'!$AA$34+'TUSD CVA'!$AA$34)*(1 - CUSTOS!$M$39)</f>
        <v>0</v>
      </c>
      <c r="AA34" s="17">
        <f>('TUSD BE'!$AC$34+'TUSD BF'!$AC$34+'TUSD CVA'!$AC$34)*(1 - CUSTOS!$M$39)</f>
        <v>517.28059108516277</v>
      </c>
      <c r="AB34" s="17">
        <f ca="1">('TUSD BE'!$AE$34+'TUSD BF'!$AE$34+'TUSD CVA'!$AE$34)*(1 - CUSTOS!$M$39)</f>
        <v>0</v>
      </c>
      <c r="AC34" s="17">
        <f ca="1">('TUSD BE'!$AF$34+'TUSD BF'!$AF$34+'TUSD CVA'!$AF$34)*(1 - CUSTOS!$M$39)</f>
        <v>0</v>
      </c>
      <c r="AD34" s="17">
        <f>('TUSD BE'!$AH$34+'TUSD BF'!$AH$34+'TUSD CVA'!$AH$34)*(1 - CUSTOS!$M$39)</f>
        <v>17.920416547372199</v>
      </c>
      <c r="AE34" s="17">
        <f>('TUSD BE'!$AI$34+'TUSD BF'!$AI$34+'TUSD CVA'!$AI$34)*(1 - CUSTOS!$M$39)</f>
        <v>0</v>
      </c>
      <c r="AF34" s="17">
        <f ca="1">('TUSD BE'!$AJ$34+'TUSD BF'!$AJ$34+'TUSD CVA'!$AJ$34)*(1 - CUSTOS!$M$39)</f>
        <v>0</v>
      </c>
      <c r="AG34" s="17">
        <f ca="1">('TUSD BE'!$AK$34+'TUSD BF'!$AK$34+'TUSD CVA'!$AK$34)*(1 - CUSTOS!$M$39)</f>
        <v>0</v>
      </c>
      <c r="AI34" s="17">
        <v>0</v>
      </c>
      <c r="AJ34" s="17">
        <v>1.1712308811563901</v>
      </c>
      <c r="AK34" s="17">
        <v>0</v>
      </c>
      <c r="AL34" s="17">
        <v>0</v>
      </c>
      <c r="AM34" s="17">
        <v>0</v>
      </c>
      <c r="AN34" s="17">
        <v>50.387282669041099</v>
      </c>
      <c r="AO34" s="17">
        <v>7.8436081293931199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277.89162278190503</v>
      </c>
      <c r="AV34" s="17">
        <v>0</v>
      </c>
      <c r="AW34" s="17">
        <v>0</v>
      </c>
      <c r="AX34" s="17">
        <v>479.132724701379</v>
      </c>
      <c r="AY34" s="17">
        <v>0</v>
      </c>
      <c r="AZ34" s="17">
        <v>0</v>
      </c>
      <c r="BA34" s="17">
        <v>15.756310249677099</v>
      </c>
      <c r="BB34" s="17">
        <v>0</v>
      </c>
      <c r="BC34" s="17">
        <v>0</v>
      </c>
      <c r="BD34" s="17">
        <v>0</v>
      </c>
    </row>
    <row r="35" spans="1:56" ht="11.25" customHeight="1" x14ac:dyDescent="0.25">
      <c r="A35" s="94"/>
      <c r="B35" s="94"/>
      <c r="C35" s="94"/>
      <c r="D35" s="94"/>
      <c r="E35" s="94"/>
      <c r="F35" s="94"/>
      <c r="G35" s="27" t="s">
        <v>83</v>
      </c>
      <c r="H35" s="27" t="s">
        <v>72</v>
      </c>
      <c r="I35" s="27">
        <f>'MERCADO TUSD'!$U$32</f>
        <v>0</v>
      </c>
      <c r="J35" s="15"/>
      <c r="L35" s="17">
        <f>('TUSD BE'!$L$35+'TUSD BF'!$L$35+'TUSD CVA'!$L$35)*(1 - CUSTOS!$M$39)</f>
        <v>0</v>
      </c>
      <c r="M35" s="17">
        <f>('TUSD BE'!$M$35+'TUSD BF'!$M$35+'TUSD CVA'!$M$35)*(1 - CUSTOS!$M$39)</f>
        <v>1.4074202414542509</v>
      </c>
      <c r="N35" s="17">
        <f ca="1">('TUSD BE'!$N$35+'TUSD BF'!$N$35+'TUSD CVA'!$N$35)*(1 - CUSTOS!$M$39)</f>
        <v>0</v>
      </c>
      <c r="O35" s="17">
        <f>('TUSD BE'!$O$35+'TUSD BF'!$O$35+'TUSD CVA'!$O$35)*(1 - CUSTOS!$M$39)</f>
        <v>0</v>
      </c>
      <c r="P35" s="17">
        <f>('TUSD BE'!$P$35+'TUSD BF'!$P$35+'TUSD CVA'!$P$35)*(1 - CUSTOS!$M$39)</f>
        <v>0</v>
      </c>
      <c r="Q35" s="17">
        <f>('TUSD BE'!$Q$35+'TUSD BF'!$Q$35+'TUSD CVA'!$Q$35)*(1 - CUSTOS!$M$39)</f>
        <v>86.383768031138928</v>
      </c>
      <c r="R35" s="17">
        <f>('TUSD BE'!$R$35+'TUSD BF'!$R$35+'TUSD CVA'!$R$35)*(1 - CUSTOS!$M$39)</f>
        <v>13.62831931970104</v>
      </c>
      <c r="S35" s="17">
        <f>('TUSD BE'!$S$35+'TUSD BF'!$S$35+'TUSD CVA'!$S$35)*(1 - CUSTOS!$M$39)</f>
        <v>0</v>
      </c>
      <c r="T35" s="17">
        <f>('TUSD BE'!$U$35+'TUSD BF'!$U$35+'TUSD CVA'!$U$35)*(1 - CUSTOS!$M$39)</f>
        <v>0</v>
      </c>
      <c r="U35" s="17">
        <f>('TUSD BE'!$V$35+'TUSD BF'!$V$35+'TUSD CVA'!$V$35)*(1 - CUSTOS!$M$39)</f>
        <v>0</v>
      </c>
      <c r="V35" s="17">
        <f>('TUSD BE'!$W$35+'TUSD BF'!$W$35+'TUSD CVA'!$W$35)*(1 - CUSTOS!$M$39)</f>
        <v>0</v>
      </c>
      <c r="W35" s="17">
        <f>('TUSD BE'!$X$35+'TUSD BF'!$X$35+'TUSD CVA'!$X$35)*(1 - CUSTOS!$M$39)</f>
        <v>0</v>
      </c>
      <c r="X35" s="17">
        <f>('TUSD BE'!$Y$35+'TUSD BF'!$Y$35+'TUSD CVA'!$Y$35)*(1 - CUSTOS!$M$39)</f>
        <v>169.987419177655</v>
      </c>
      <c r="Y35" s="17">
        <f>('TUSD BE'!$Z$35+'TUSD BF'!$Z$35+'TUSD CVA'!$Z$35)*(1 - CUSTOS!$M$39)</f>
        <v>0</v>
      </c>
      <c r="Z35" s="17">
        <f>('TUSD BE'!$AA$35+'TUSD BF'!$AA$35+'TUSD CVA'!$AA$35)*(1 - CUSTOS!$M$39)</f>
        <v>0</v>
      </c>
      <c r="AA35" s="17">
        <f>('TUSD BE'!$AC$35+'TUSD BF'!$AC$35+'TUSD CVA'!$AC$35)*(1 - CUSTOS!$M$39)</f>
        <v>310.36822514274462</v>
      </c>
      <c r="AB35" s="17">
        <f ca="1">('TUSD BE'!$AE$35+'TUSD BF'!$AE$35+'TUSD CVA'!$AE$35)*(1 - CUSTOS!$M$39)</f>
        <v>0</v>
      </c>
      <c r="AC35" s="17">
        <f ca="1">('TUSD BE'!$AF$35+'TUSD BF'!$AF$35+'TUSD CVA'!$AF$35)*(1 - CUSTOS!$M$39)</f>
        <v>0</v>
      </c>
      <c r="AD35" s="17">
        <f>('TUSD BE'!$AH$35+'TUSD BF'!$AH$35+'TUSD CVA'!$AH$35)*(1 - CUSTOS!$M$39)</f>
        <v>17.920416547372199</v>
      </c>
      <c r="AE35" s="17">
        <f>('TUSD BE'!$AI$35+'TUSD BF'!$AI$35+'TUSD CVA'!$AI$35)*(1 - CUSTOS!$M$39)</f>
        <v>0</v>
      </c>
      <c r="AF35" s="17">
        <f ca="1">('TUSD BE'!$AJ$35+'TUSD BF'!$AJ$35+'TUSD CVA'!$AJ$35)*(1 - CUSTOS!$M$39)</f>
        <v>0</v>
      </c>
      <c r="AG35" s="17">
        <f ca="1">('TUSD BE'!$AK$35+'TUSD BF'!$AK$35+'TUSD CVA'!$AK$35)*(1 - CUSTOS!$M$39)</f>
        <v>0</v>
      </c>
      <c r="AI35" s="17">
        <v>0</v>
      </c>
      <c r="AJ35" s="17">
        <v>1.1712308811563901</v>
      </c>
      <c r="AK35" s="17">
        <v>0</v>
      </c>
      <c r="AL35" s="17">
        <v>0</v>
      </c>
      <c r="AM35" s="17">
        <v>0</v>
      </c>
      <c r="AN35" s="17">
        <v>50.387282669041099</v>
      </c>
      <c r="AO35" s="17">
        <v>7.8436081293931199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166.71636495542</v>
      </c>
      <c r="AV35" s="17">
        <v>0</v>
      </c>
      <c r="AW35" s="17">
        <v>0</v>
      </c>
      <c r="AX35" s="17">
        <v>287.47953346841399</v>
      </c>
      <c r="AY35" s="17">
        <v>0</v>
      </c>
      <c r="AZ35" s="17">
        <v>0</v>
      </c>
      <c r="BA35" s="17">
        <v>15.756310249677099</v>
      </c>
      <c r="BB35" s="17">
        <v>0</v>
      </c>
      <c r="BC35" s="17">
        <v>0</v>
      </c>
      <c r="BD35" s="17">
        <v>0</v>
      </c>
    </row>
    <row r="36" spans="1:56" ht="11.25" customHeight="1" x14ac:dyDescent="0.25">
      <c r="A36" s="94"/>
      <c r="B36" s="94"/>
      <c r="C36" s="94"/>
      <c r="D36" s="94"/>
      <c r="E36" s="94"/>
      <c r="F36" s="94"/>
      <c r="G36" s="27" t="s">
        <v>74</v>
      </c>
      <c r="H36" s="27" t="s">
        <v>72</v>
      </c>
      <c r="I36" s="27">
        <f>'MERCADO TUSD'!$U$33</f>
        <v>0</v>
      </c>
      <c r="J36" s="15"/>
      <c r="L36" s="17">
        <f>('TUSD BE'!$L$36+'TUSD BF'!$L$36+'TUSD CVA'!$L$36)*(1 - CUSTOS!$M$39)</f>
        <v>0</v>
      </c>
      <c r="M36" s="17">
        <f>('TUSD BE'!$M$36+'TUSD BF'!$M$36+'TUSD CVA'!$M$36)*(1 - CUSTOS!$M$39)</f>
        <v>1.4074202414542509</v>
      </c>
      <c r="N36" s="17">
        <f ca="1">('TUSD BE'!$N$36+'TUSD BF'!$N$36+'TUSD CVA'!$N$36)*(1 - CUSTOS!$M$39)</f>
        <v>0</v>
      </c>
      <c r="O36" s="17">
        <f>('TUSD BE'!$O$36+'TUSD BF'!$O$36+'TUSD CVA'!$O$36)*(1 - CUSTOS!$M$39)</f>
        <v>0</v>
      </c>
      <c r="P36" s="17">
        <f>('TUSD BE'!$P$36+'TUSD BF'!$P$36+'TUSD CVA'!$P$36)*(1 - CUSTOS!$M$39)</f>
        <v>0</v>
      </c>
      <c r="Q36" s="17">
        <f>('TUSD BE'!$Q$36+'TUSD BF'!$Q$36+'TUSD CVA'!$Q$36)*(1 - CUSTOS!$M$39)</f>
        <v>86.383768031138928</v>
      </c>
      <c r="R36" s="17">
        <f>('TUSD BE'!$R$36+'TUSD BF'!$R$36+'TUSD CVA'!$R$36)*(1 - CUSTOS!$M$39)</f>
        <v>13.62831931970104</v>
      </c>
      <c r="S36" s="17">
        <f>('TUSD BE'!$S$36+'TUSD BF'!$S$36+'TUSD CVA'!$S$36)*(1 - CUSTOS!$M$39)</f>
        <v>0</v>
      </c>
      <c r="T36" s="17">
        <f>('TUSD BE'!$U$36+'TUSD BF'!$U$36+'TUSD CVA'!$U$36)*(1 - CUSTOS!$M$39)</f>
        <v>0</v>
      </c>
      <c r="U36" s="17">
        <f>('TUSD BE'!$V$36+'TUSD BF'!$V$36+'TUSD CVA'!$V$36)*(1 - CUSTOS!$M$39)</f>
        <v>0</v>
      </c>
      <c r="V36" s="17">
        <f>('TUSD BE'!$W$36+'TUSD BF'!$W$36+'TUSD CVA'!$W$36)*(1 - CUSTOS!$M$39)</f>
        <v>0</v>
      </c>
      <c r="W36" s="17">
        <f>('TUSD BE'!$X$36+'TUSD BF'!$X$36+'TUSD CVA'!$X$36)*(1 - CUSTOS!$M$39)</f>
        <v>0</v>
      </c>
      <c r="X36" s="17">
        <f>('TUSD BE'!$Y$36+'TUSD BF'!$Y$36+'TUSD CVA'!$Y$36)*(1 - CUSTOS!$M$39)</f>
        <v>56.630831349766119</v>
      </c>
      <c r="Y36" s="17">
        <f>('TUSD BE'!$Z$36+'TUSD BF'!$Z$36+'TUSD CVA'!$Z$36)*(1 - CUSTOS!$M$39)</f>
        <v>0</v>
      </c>
      <c r="Z36" s="17">
        <f>('TUSD BE'!$AA$36+'TUSD BF'!$AA$36+'TUSD CVA'!$AA$36)*(1 - CUSTOS!$M$39)</f>
        <v>0</v>
      </c>
      <c r="AA36" s="17">
        <f>('TUSD BE'!$AC$36+'TUSD BF'!$AC$36+'TUSD CVA'!$AC$36)*(1 - CUSTOS!$M$39)</f>
        <v>103.45607504758154</v>
      </c>
      <c r="AB36" s="17">
        <f ca="1">('TUSD BE'!$AE$36+'TUSD BF'!$AE$36+'TUSD CVA'!$AE$36)*(1 - CUSTOS!$M$39)</f>
        <v>0</v>
      </c>
      <c r="AC36" s="17">
        <f ca="1">('TUSD BE'!$AF$36+'TUSD BF'!$AF$36+'TUSD CVA'!$AF$36)*(1 - CUSTOS!$M$39)</f>
        <v>0</v>
      </c>
      <c r="AD36" s="17">
        <f>('TUSD BE'!$AH$36+'TUSD BF'!$AH$36+'TUSD CVA'!$AH$36)*(1 - CUSTOS!$M$39)</f>
        <v>17.920416547372199</v>
      </c>
      <c r="AE36" s="17">
        <f>('TUSD BE'!$AI$36+'TUSD BF'!$AI$36+'TUSD CVA'!$AI$36)*(1 - CUSTOS!$M$39)</f>
        <v>0</v>
      </c>
      <c r="AF36" s="17">
        <f ca="1">('TUSD BE'!$AJ$36+'TUSD BF'!$AJ$36+'TUSD CVA'!$AJ$36)*(1 - CUSTOS!$M$39)</f>
        <v>0</v>
      </c>
      <c r="AG36" s="17">
        <f ca="1">('TUSD BE'!$AK$36+'TUSD BF'!$AK$36+'TUSD CVA'!$AK$36)*(1 - CUSTOS!$M$39)</f>
        <v>0</v>
      </c>
      <c r="AI36" s="17">
        <v>0</v>
      </c>
      <c r="AJ36" s="17">
        <v>1.1712308811563901</v>
      </c>
      <c r="AK36" s="17">
        <v>0</v>
      </c>
      <c r="AL36" s="17">
        <v>0</v>
      </c>
      <c r="AM36" s="17">
        <v>0</v>
      </c>
      <c r="AN36" s="17">
        <v>50.387282669041099</v>
      </c>
      <c r="AO36" s="17">
        <v>7.8436081293931199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55.541107128936098</v>
      </c>
      <c r="AV36" s="17">
        <v>0</v>
      </c>
      <c r="AW36" s="17">
        <v>0</v>
      </c>
      <c r="AX36" s="17">
        <v>95.826511156137997</v>
      </c>
      <c r="AY36" s="17">
        <v>0</v>
      </c>
      <c r="AZ36" s="17">
        <v>0</v>
      </c>
      <c r="BA36" s="17">
        <v>15.756310249677099</v>
      </c>
      <c r="BB36" s="17">
        <v>0</v>
      </c>
      <c r="BC36" s="17">
        <v>0</v>
      </c>
      <c r="BD36" s="17">
        <v>0</v>
      </c>
    </row>
    <row r="37" spans="1:56" ht="11.25" customHeight="1" x14ac:dyDescent="0.25">
      <c r="A37" s="94"/>
      <c r="B37" s="26" t="s">
        <v>23</v>
      </c>
      <c r="C37" s="26" t="s">
        <v>41</v>
      </c>
      <c r="D37" s="26" t="s">
        <v>88</v>
      </c>
      <c r="E37" s="26" t="s">
        <v>25</v>
      </c>
      <c r="F37" s="26" t="s">
        <v>25</v>
      </c>
      <c r="G37" s="27" t="s">
        <v>78</v>
      </c>
      <c r="H37" s="27" t="s">
        <v>72</v>
      </c>
      <c r="I37" s="27">
        <f>'MERCADO TUSD'!$U$34</f>
        <v>0</v>
      </c>
      <c r="J37" s="15"/>
      <c r="L37" s="17">
        <f>('TUSD BE'!$L$37+'TUSD BF'!$L$37+'TUSD CVA'!$L$37)*(1 - CUSTOS!$M$39)</f>
        <v>0</v>
      </c>
      <c r="M37" s="17">
        <f>('TUSD BE'!$M$37+'TUSD BF'!$M$37+'TUSD CVA'!$M$37)*(1 - CUSTOS!$M$39)</f>
        <v>1.4074202414542509</v>
      </c>
      <c r="N37" s="17">
        <f ca="1">('TUSD BE'!$N$37+'TUSD BF'!$N$37+'TUSD CVA'!$N$37)*(1 - CUSTOS!$M$39)</f>
        <v>0</v>
      </c>
      <c r="O37" s="17">
        <f>('TUSD BE'!$O$37+'TUSD BF'!$O$37+'TUSD CVA'!$O$37)*(1 - CUSTOS!$M$39)</f>
        <v>0</v>
      </c>
      <c r="P37" s="17">
        <f>('TUSD BE'!$P$37+'TUSD BF'!$P$37+'TUSD CVA'!$P$37)*(1 - CUSTOS!$M$39)</f>
        <v>0</v>
      </c>
      <c r="Q37" s="17">
        <f>('TUSD BE'!$Q$37+'TUSD BF'!$Q$37+'TUSD CVA'!$Q$37)*(1 - CUSTOS!$M$39)</f>
        <v>86.383768031138928</v>
      </c>
      <c r="R37" s="17">
        <f>('TUSD BE'!$R$37+'TUSD BF'!$R$37+'TUSD CVA'!$R$37)*(1 - CUSTOS!$M$39)</f>
        <v>13.62831931970104</v>
      </c>
      <c r="S37" s="17">
        <f>('TUSD BE'!$S$37+'TUSD BF'!$S$37+'TUSD CVA'!$S$37)*(1 - CUSTOS!$M$39)</f>
        <v>0</v>
      </c>
      <c r="T37" s="17">
        <f>('TUSD BE'!$U$37+'TUSD BF'!$U$37+'TUSD CVA'!$U$37)*(1 - CUSTOS!$M$39)</f>
        <v>0</v>
      </c>
      <c r="U37" s="17">
        <f>('TUSD BE'!$V$37+'TUSD BF'!$V$37+'TUSD CVA'!$V$37)*(1 - CUSTOS!$M$39)</f>
        <v>0</v>
      </c>
      <c r="V37" s="17">
        <f>('TUSD BE'!$W$37+'TUSD BF'!$W$37+'TUSD CVA'!$W$37)*(1 - CUSTOS!$M$39)</f>
        <v>0</v>
      </c>
      <c r="W37" s="17">
        <f>('TUSD BE'!$X$37+'TUSD BF'!$X$37+'TUSD CVA'!$X$37)*(1 - CUSTOS!$M$39)</f>
        <v>0</v>
      </c>
      <c r="X37" s="17">
        <f>('TUSD BE'!$Y$37+'TUSD BF'!$Y$37+'TUSD CVA'!$Y$37)*(1 - CUSTOS!$M$39)</f>
        <v>96.044762655167233</v>
      </c>
      <c r="Y37" s="17">
        <f>('TUSD BE'!$Z$37+'TUSD BF'!$Z$37+'TUSD CVA'!$Z$37)*(1 - CUSTOS!$M$39)</f>
        <v>0</v>
      </c>
      <c r="Z37" s="17">
        <f>('TUSD BE'!$AA$37+'TUSD BF'!$AA$37+'TUSD CVA'!$AA$37)*(1 - CUSTOS!$M$39)</f>
        <v>0</v>
      </c>
      <c r="AA37" s="17">
        <f>('TUSD BE'!$AC$37+'TUSD BF'!$AC$37+'TUSD CVA'!$AC$37)*(1 - CUSTOS!$M$39)</f>
        <v>175.34934559336861</v>
      </c>
      <c r="AB37" s="17">
        <f ca="1">('TUSD BE'!$AE$37+'TUSD BF'!$AE$37+'TUSD CVA'!$AE$37)*(1 - CUSTOS!$M$39)</f>
        <v>0</v>
      </c>
      <c r="AC37" s="17">
        <f ca="1">('TUSD BE'!$AF$37+'TUSD BF'!$AF$37+'TUSD CVA'!$AF$37)*(1 - CUSTOS!$M$39)</f>
        <v>0</v>
      </c>
      <c r="AD37" s="17">
        <f>('TUSD BE'!$AH$37+'TUSD BF'!$AH$37+'TUSD CVA'!$AH$37)*(1 - CUSTOS!$M$39)</f>
        <v>17.920416547372199</v>
      </c>
      <c r="AE37" s="17">
        <f>('TUSD BE'!$AI$37+'TUSD BF'!$AI$37+'TUSD CVA'!$AI$37)*(1 - CUSTOS!$M$39)</f>
        <v>0</v>
      </c>
      <c r="AF37" s="17">
        <f ca="1">('TUSD BE'!$AJ$37+'TUSD BF'!$AJ$37+'TUSD CVA'!$AJ$37)*(1 - CUSTOS!$M$39)</f>
        <v>0</v>
      </c>
      <c r="AG37" s="17">
        <f ca="1">('TUSD BE'!$AK$37+'TUSD BF'!$AK$37+'TUSD CVA'!$AK$37)*(1 - CUSTOS!$M$39)</f>
        <v>0</v>
      </c>
      <c r="AI37" s="17">
        <v>0</v>
      </c>
      <c r="AJ37" s="17">
        <v>1.1712308811563901</v>
      </c>
      <c r="AK37" s="17">
        <v>0</v>
      </c>
      <c r="AL37" s="17">
        <v>0</v>
      </c>
      <c r="AM37" s="17">
        <v>0</v>
      </c>
      <c r="AN37" s="17">
        <v>50.387282669041099</v>
      </c>
      <c r="AO37" s="17">
        <v>7.8436081293931199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94.196568743578396</v>
      </c>
      <c r="AV37" s="17">
        <v>0</v>
      </c>
      <c r="AW37" s="17">
        <v>0</v>
      </c>
      <c r="AX37" s="17">
        <v>162.41786228223299</v>
      </c>
      <c r="AY37" s="17">
        <v>0</v>
      </c>
      <c r="AZ37" s="17">
        <v>0</v>
      </c>
      <c r="BA37" s="17">
        <v>15.756310249677099</v>
      </c>
      <c r="BB37" s="17">
        <v>0</v>
      </c>
      <c r="BC37" s="17">
        <v>0</v>
      </c>
      <c r="BD37" s="17">
        <v>0</v>
      </c>
    </row>
    <row r="38" spans="1:56" ht="11.25" customHeight="1" x14ac:dyDescent="0.25">
      <c r="A38" s="94"/>
      <c r="B38" s="94" t="s">
        <v>85</v>
      </c>
      <c r="C38" s="94" t="s">
        <v>41</v>
      </c>
      <c r="D38" s="94" t="s">
        <v>89</v>
      </c>
      <c r="E38" s="94" t="s">
        <v>25</v>
      </c>
      <c r="F38" s="94" t="s">
        <v>25</v>
      </c>
      <c r="G38" s="27" t="s">
        <v>73</v>
      </c>
      <c r="H38" s="27" t="s">
        <v>72</v>
      </c>
      <c r="I38" s="27">
        <f>'MERCADO TUSD'!$U$35</f>
        <v>0</v>
      </c>
      <c r="J38" s="15"/>
      <c r="L38" s="17">
        <f>('TUSD BE'!$L$38+'TUSD BF'!$L$38+'TUSD CVA'!$L$38)*(1 - CUSTOS!$M$40)</f>
        <v>0</v>
      </c>
      <c r="M38" s="17">
        <f>('TUSD BE'!$M$38+'TUSD BF'!$M$38+'TUSD CVA'!$M$38)*(1 - CUSTOS!$M$40)</f>
        <v>1.3774751299339478</v>
      </c>
      <c r="N38" s="17">
        <f ca="1">('TUSD BE'!$N$38+'TUSD BF'!$N$38+'TUSD CVA'!$N$38)*(1 - CUSTOS!$M$40)</f>
        <v>0</v>
      </c>
      <c r="O38" s="17">
        <f>('TUSD BE'!$O$38+'TUSD BF'!$O$38+'TUSD CVA'!$O$38)*(1 - CUSTOS!$M$40)</f>
        <v>0</v>
      </c>
      <c r="P38" s="17">
        <f>('TUSD BE'!$P$38+'TUSD BF'!$P$38+'TUSD CVA'!$P$38)*(1 - CUSTOS!$M$40)</f>
        <v>0</v>
      </c>
      <c r="Q38" s="17">
        <f>('TUSD BE'!$Q$38+'TUSD BF'!$Q$38+'TUSD CVA'!$Q$38)*(1 - CUSTOS!$M$40)</f>
        <v>84.545815519838115</v>
      </c>
      <c r="R38" s="17">
        <f>('TUSD BE'!$R$38+'TUSD BF'!$R$38+'TUSD CVA'!$R$38)*(1 - CUSTOS!$M$40)</f>
        <v>13.338355078856338</v>
      </c>
      <c r="S38" s="17">
        <f>('TUSD BE'!$S$38+'TUSD BF'!$S$38+'TUSD CVA'!$S$38)*(1 - CUSTOS!$M$40)</f>
        <v>0</v>
      </c>
      <c r="T38" s="17">
        <f>('TUSD BE'!$U$38+'TUSD BF'!$U$38+'TUSD CVA'!$U$38)*(1 - CUSTOS!$M$40)</f>
        <v>0</v>
      </c>
      <c r="U38" s="17">
        <f>('TUSD BE'!$V$38+'TUSD BF'!$V$38+'TUSD CVA'!$V$38)*(1 - CUSTOS!$M$40)</f>
        <v>0</v>
      </c>
      <c r="V38" s="17">
        <f>('TUSD BE'!$W$38+'TUSD BF'!$W$38+'TUSD CVA'!$W$38)*(1 - CUSTOS!$M$40)</f>
        <v>0</v>
      </c>
      <c r="W38" s="17">
        <f>('TUSD BE'!$X$38+'TUSD BF'!$X$38+'TUSD CVA'!$X$38)*(1 - CUSTOS!$M$40)</f>
        <v>0</v>
      </c>
      <c r="X38" s="17">
        <f>('TUSD BE'!$Y$38+'TUSD BF'!$Y$38+'TUSD CVA'!$Y$38)*(1 - CUSTOS!$M$40)</f>
        <v>277.31541111180894</v>
      </c>
      <c r="Y38" s="17">
        <f>('TUSD BE'!$Z$38+'TUSD BF'!$Z$38+'TUSD CVA'!$Z$38)*(1 - CUSTOS!$M$40)</f>
        <v>0</v>
      </c>
      <c r="Z38" s="17">
        <f>('TUSD BE'!$AA$38+'TUSD BF'!$AA$38+'TUSD CVA'!$AA$38)*(1 - CUSTOS!$M$40)</f>
        <v>0</v>
      </c>
      <c r="AA38" s="17">
        <f>('TUSD BE'!$AC$38+'TUSD BF'!$AC$38+'TUSD CVA'!$AC$38)*(1 - CUSTOS!$M$40)</f>
        <v>506.27462106207429</v>
      </c>
      <c r="AB38" s="17">
        <f ca="1">('TUSD BE'!$AE$38+'TUSD BF'!$AE$38+'TUSD CVA'!$AE$38)*(1 - CUSTOS!$M$40)</f>
        <v>0</v>
      </c>
      <c r="AC38" s="17">
        <f ca="1">('TUSD BE'!$AF$38+'TUSD BF'!$AF$38+'TUSD CVA'!$AF$38)*(1 - CUSTOS!$M$40)</f>
        <v>0</v>
      </c>
      <c r="AD38" s="17">
        <f>('TUSD BE'!$AH$38+'TUSD BF'!$AH$38+'TUSD CVA'!$AH$38)*(1 - CUSTOS!$M$40)</f>
        <v>17.539131088917472</v>
      </c>
      <c r="AE38" s="17">
        <f>('TUSD BE'!$AI$38+'TUSD BF'!$AI$38+'TUSD CVA'!$AI$38)*(1 - CUSTOS!$M$40)</f>
        <v>0</v>
      </c>
      <c r="AF38" s="17">
        <f ca="1">('TUSD BE'!$AJ$38+'TUSD BF'!$AJ$38+'TUSD CVA'!$AJ$38)*(1 - CUSTOS!$M$40)</f>
        <v>0</v>
      </c>
      <c r="AG38" s="17">
        <f ca="1">('TUSD BE'!$AK$38+'TUSD BF'!$AK$38+'TUSD CVA'!$AK$38)*(1 - CUSTOS!$M$40)</f>
        <v>0</v>
      </c>
      <c r="AI38" s="17">
        <v>0</v>
      </c>
      <c r="AJ38" s="17">
        <v>1.1179931138310999</v>
      </c>
      <c r="AK38" s="17">
        <v>0</v>
      </c>
      <c r="AL38" s="17">
        <v>0</v>
      </c>
      <c r="AM38" s="17">
        <v>0</v>
      </c>
      <c r="AN38" s="17">
        <v>48.096951638630102</v>
      </c>
      <c r="AO38" s="17">
        <v>7.4870804871479804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265.260185382727</v>
      </c>
      <c r="AV38" s="17">
        <v>0</v>
      </c>
      <c r="AW38" s="17">
        <v>0</v>
      </c>
      <c r="AX38" s="17">
        <v>457.35396448768</v>
      </c>
      <c r="AY38" s="17">
        <v>0</v>
      </c>
      <c r="AZ38" s="17">
        <v>0</v>
      </c>
      <c r="BA38" s="17">
        <v>15.0401143292372</v>
      </c>
      <c r="BB38" s="17">
        <v>0</v>
      </c>
      <c r="BC38" s="17">
        <v>0</v>
      </c>
      <c r="BD38" s="17">
        <v>0</v>
      </c>
    </row>
    <row r="39" spans="1:56" ht="11.25" customHeight="1" x14ac:dyDescent="0.25">
      <c r="A39" s="94"/>
      <c r="B39" s="94"/>
      <c r="C39" s="94"/>
      <c r="D39" s="94"/>
      <c r="E39" s="94"/>
      <c r="F39" s="94"/>
      <c r="G39" s="27" t="s">
        <v>83</v>
      </c>
      <c r="H39" s="27" t="s">
        <v>72</v>
      </c>
      <c r="I39" s="27">
        <f>'MERCADO TUSD'!$U$36</f>
        <v>0</v>
      </c>
      <c r="J39" s="15"/>
      <c r="L39" s="17">
        <f>('TUSD BE'!$L$39+'TUSD BF'!$L$39+'TUSD CVA'!$L$39)*(1 - CUSTOS!$M$40)</f>
        <v>0</v>
      </c>
      <c r="M39" s="17">
        <f>('TUSD BE'!$M$39+'TUSD BF'!$M$39+'TUSD CVA'!$M$39)*(1 - CUSTOS!$M$40)</f>
        <v>1.3774751299339478</v>
      </c>
      <c r="N39" s="17">
        <f ca="1">('TUSD BE'!$N$39+'TUSD BF'!$N$39+'TUSD CVA'!$N$39)*(1 - CUSTOS!$M$40)</f>
        <v>0</v>
      </c>
      <c r="O39" s="17">
        <f>('TUSD BE'!$O$39+'TUSD BF'!$O$39+'TUSD CVA'!$O$39)*(1 - CUSTOS!$M$40)</f>
        <v>0</v>
      </c>
      <c r="P39" s="17">
        <f>('TUSD BE'!$P$39+'TUSD BF'!$P$39+'TUSD CVA'!$P$39)*(1 - CUSTOS!$M$40)</f>
        <v>0</v>
      </c>
      <c r="Q39" s="17">
        <f>('TUSD BE'!$Q$39+'TUSD BF'!$Q$39+'TUSD CVA'!$Q$39)*(1 - CUSTOS!$M$40)</f>
        <v>84.545815519838115</v>
      </c>
      <c r="R39" s="17">
        <f>('TUSD BE'!$R$39+'TUSD BF'!$R$39+'TUSD CVA'!$R$39)*(1 - CUSTOS!$M$40)</f>
        <v>13.338355078856338</v>
      </c>
      <c r="S39" s="17">
        <f>('TUSD BE'!$S$39+'TUSD BF'!$S$39+'TUSD CVA'!$S$39)*(1 - CUSTOS!$M$40)</f>
        <v>0</v>
      </c>
      <c r="T39" s="17">
        <f>('TUSD BE'!$U$39+'TUSD BF'!$U$39+'TUSD CVA'!$U$39)*(1 - CUSTOS!$M$40)</f>
        <v>0</v>
      </c>
      <c r="U39" s="17">
        <f>('TUSD BE'!$V$39+'TUSD BF'!$V$39+'TUSD CVA'!$V$39)*(1 - CUSTOS!$M$40)</f>
        <v>0</v>
      </c>
      <c r="V39" s="17">
        <f>('TUSD BE'!$W$39+'TUSD BF'!$W$39+'TUSD CVA'!$W$39)*(1 - CUSTOS!$M$40)</f>
        <v>0</v>
      </c>
      <c r="W39" s="17">
        <f>('TUSD BE'!$X$39+'TUSD BF'!$X$39+'TUSD CVA'!$X$39)*(1 - CUSTOS!$M$40)</f>
        <v>0</v>
      </c>
      <c r="X39" s="17">
        <f>('TUSD BE'!$Y$39+'TUSD BF'!$Y$39+'TUSD CVA'!$Y$39)*(1 - CUSTOS!$M$40)</f>
        <v>166.37066557813046</v>
      </c>
      <c r="Y39" s="17">
        <f>('TUSD BE'!$Z$39+'TUSD BF'!$Z$39+'TUSD CVA'!$Z$39)*(1 - CUSTOS!$M$40)</f>
        <v>0</v>
      </c>
      <c r="Z39" s="17">
        <f>('TUSD BE'!$AA$39+'TUSD BF'!$AA$39+'TUSD CVA'!$AA$39)*(1 - CUSTOS!$M$40)</f>
        <v>0</v>
      </c>
      <c r="AA39" s="17">
        <f>('TUSD BE'!$AC$39+'TUSD BF'!$AC$39+'TUSD CVA'!$AC$39)*(1 - CUSTOS!$M$40)</f>
        <v>303.76464588438841</v>
      </c>
      <c r="AB39" s="17">
        <f ca="1">('TUSD BE'!$AE$39+'TUSD BF'!$AE$39+'TUSD CVA'!$AE$39)*(1 - CUSTOS!$M$40)</f>
        <v>0</v>
      </c>
      <c r="AC39" s="17">
        <f ca="1">('TUSD BE'!$AF$39+'TUSD BF'!$AF$39+'TUSD CVA'!$AF$39)*(1 - CUSTOS!$M$40)</f>
        <v>0</v>
      </c>
      <c r="AD39" s="17">
        <f>('TUSD BE'!$AH$39+'TUSD BF'!$AH$39+'TUSD CVA'!$AH$39)*(1 - CUSTOS!$M$40)</f>
        <v>17.539131088917472</v>
      </c>
      <c r="AE39" s="17">
        <f>('TUSD BE'!$AI$39+'TUSD BF'!$AI$39+'TUSD CVA'!$AI$39)*(1 - CUSTOS!$M$40)</f>
        <v>0</v>
      </c>
      <c r="AF39" s="17">
        <f ca="1">('TUSD BE'!$AJ$39+'TUSD BF'!$AJ$39+'TUSD CVA'!$AJ$39)*(1 - CUSTOS!$M$40)</f>
        <v>0</v>
      </c>
      <c r="AG39" s="17">
        <f ca="1">('TUSD BE'!$AK$39+'TUSD BF'!$AK$39+'TUSD CVA'!$AK$39)*(1 - CUSTOS!$M$40)</f>
        <v>0</v>
      </c>
      <c r="AI39" s="17">
        <v>0</v>
      </c>
      <c r="AJ39" s="17">
        <v>1.1179931138310999</v>
      </c>
      <c r="AK39" s="17">
        <v>0</v>
      </c>
      <c r="AL39" s="17">
        <v>0</v>
      </c>
      <c r="AM39" s="17">
        <v>0</v>
      </c>
      <c r="AN39" s="17">
        <v>48.096951638630102</v>
      </c>
      <c r="AO39" s="17">
        <v>7.4870804871479804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159.138348366538</v>
      </c>
      <c r="AV39" s="17">
        <v>0</v>
      </c>
      <c r="AW39" s="17">
        <v>0</v>
      </c>
      <c r="AX39" s="17">
        <v>274.41228194712198</v>
      </c>
      <c r="AY39" s="17">
        <v>0</v>
      </c>
      <c r="AZ39" s="17">
        <v>0</v>
      </c>
      <c r="BA39" s="17">
        <v>15.0401143292372</v>
      </c>
      <c r="BB39" s="17">
        <v>0</v>
      </c>
      <c r="BC39" s="17">
        <v>0</v>
      </c>
      <c r="BD39" s="17">
        <v>0</v>
      </c>
    </row>
    <row r="40" spans="1:56" ht="11.25" customHeight="1" x14ac:dyDescent="0.25">
      <c r="A40" s="94"/>
      <c r="B40" s="94"/>
      <c r="C40" s="94"/>
      <c r="D40" s="94"/>
      <c r="E40" s="94"/>
      <c r="F40" s="94"/>
      <c r="G40" s="27" t="s">
        <v>74</v>
      </c>
      <c r="H40" s="27" t="s">
        <v>72</v>
      </c>
      <c r="I40" s="27">
        <f>'MERCADO TUSD'!$U$37</f>
        <v>0</v>
      </c>
      <c r="J40" s="15"/>
      <c r="L40" s="17">
        <f>('TUSD BE'!$L$40+'TUSD BF'!$L$40+'TUSD CVA'!$L$40)*(1 - CUSTOS!$M$40)</f>
        <v>0</v>
      </c>
      <c r="M40" s="17">
        <f>('TUSD BE'!$M$40+'TUSD BF'!$M$40+'TUSD CVA'!$M$40)*(1 - CUSTOS!$M$40)</f>
        <v>1.3774751299339478</v>
      </c>
      <c r="N40" s="17">
        <f ca="1">('TUSD BE'!$N$40+'TUSD BF'!$N$40+'TUSD CVA'!$N$40)*(1 - CUSTOS!$M$40)</f>
        <v>0</v>
      </c>
      <c r="O40" s="17">
        <f>('TUSD BE'!$O$40+'TUSD BF'!$O$40+'TUSD CVA'!$O$40)*(1 - CUSTOS!$M$40)</f>
        <v>0</v>
      </c>
      <c r="P40" s="17">
        <f>('TUSD BE'!$P$40+'TUSD BF'!$P$40+'TUSD CVA'!$P$40)*(1 - CUSTOS!$M$40)</f>
        <v>0</v>
      </c>
      <c r="Q40" s="17">
        <f>('TUSD BE'!$Q$40+'TUSD BF'!$Q$40+'TUSD CVA'!$Q$40)*(1 - CUSTOS!$M$40)</f>
        <v>84.545815519838115</v>
      </c>
      <c r="R40" s="17">
        <f>('TUSD BE'!$R$40+'TUSD BF'!$R$40+'TUSD CVA'!$R$40)*(1 - CUSTOS!$M$40)</f>
        <v>13.338355078856338</v>
      </c>
      <c r="S40" s="17">
        <f>('TUSD BE'!$S$40+'TUSD BF'!$S$40+'TUSD CVA'!$S$40)*(1 - CUSTOS!$M$40)</f>
        <v>0</v>
      </c>
      <c r="T40" s="17">
        <f>('TUSD BE'!$U$40+'TUSD BF'!$U$40+'TUSD CVA'!$U$40)*(1 - CUSTOS!$M$40)</f>
        <v>0</v>
      </c>
      <c r="U40" s="17">
        <f>('TUSD BE'!$V$40+'TUSD BF'!$V$40+'TUSD CVA'!$V$40)*(1 - CUSTOS!$M$40)</f>
        <v>0</v>
      </c>
      <c r="V40" s="17">
        <f>('TUSD BE'!$W$40+'TUSD BF'!$W$40+'TUSD CVA'!$W$40)*(1 - CUSTOS!$M$40)</f>
        <v>0</v>
      </c>
      <c r="W40" s="17">
        <f>('TUSD BE'!$X$40+'TUSD BF'!$X$40+'TUSD CVA'!$X$40)*(1 - CUSTOS!$M$40)</f>
        <v>0</v>
      </c>
      <c r="X40" s="17">
        <f>('TUSD BE'!$Y$40+'TUSD BF'!$Y$40+'TUSD CVA'!$Y$40)*(1 - CUSTOS!$M$40)</f>
        <v>55.425920044451949</v>
      </c>
      <c r="Y40" s="17">
        <f>('TUSD BE'!$Z$40+'TUSD BF'!$Z$40+'TUSD CVA'!$Z$40)*(1 - CUSTOS!$M$40)</f>
        <v>0</v>
      </c>
      <c r="Z40" s="17">
        <f>('TUSD BE'!$AA$40+'TUSD BF'!$AA$40+'TUSD CVA'!$AA$40)*(1 - CUSTOS!$M$40)</f>
        <v>0</v>
      </c>
      <c r="AA40" s="17">
        <f>('TUSD BE'!$AC$40+'TUSD BF'!$AC$40+'TUSD CVA'!$AC$40)*(1 - CUSTOS!$M$40)</f>
        <v>101.25488196146279</v>
      </c>
      <c r="AB40" s="17">
        <f ca="1">('TUSD BE'!$AE$40+'TUSD BF'!$AE$40+'TUSD CVA'!$AE$40)*(1 - CUSTOS!$M$40)</f>
        <v>0</v>
      </c>
      <c r="AC40" s="17">
        <f ca="1">('TUSD BE'!$AF$40+'TUSD BF'!$AF$40+'TUSD CVA'!$AF$40)*(1 - CUSTOS!$M$40)</f>
        <v>0</v>
      </c>
      <c r="AD40" s="17">
        <f>('TUSD BE'!$AH$40+'TUSD BF'!$AH$40+'TUSD CVA'!$AH$40)*(1 - CUSTOS!$M$40)</f>
        <v>17.539131088917472</v>
      </c>
      <c r="AE40" s="17">
        <f>('TUSD BE'!$AI$40+'TUSD BF'!$AI$40+'TUSD CVA'!$AI$40)*(1 - CUSTOS!$M$40)</f>
        <v>0</v>
      </c>
      <c r="AF40" s="17">
        <f ca="1">('TUSD BE'!$AJ$40+'TUSD BF'!$AJ$40+'TUSD CVA'!$AJ$40)*(1 - CUSTOS!$M$40)</f>
        <v>0</v>
      </c>
      <c r="AG40" s="17">
        <f ca="1">('TUSD BE'!$AK$40+'TUSD BF'!$AK$40+'TUSD CVA'!$AK$40)*(1 - CUSTOS!$M$40)</f>
        <v>0</v>
      </c>
      <c r="AI40" s="17">
        <v>0</v>
      </c>
      <c r="AJ40" s="17">
        <v>1.1179931138310999</v>
      </c>
      <c r="AK40" s="17">
        <v>0</v>
      </c>
      <c r="AL40" s="17">
        <v>0</v>
      </c>
      <c r="AM40" s="17">
        <v>0</v>
      </c>
      <c r="AN40" s="17">
        <v>48.096951638630102</v>
      </c>
      <c r="AO40" s="17">
        <v>7.4870804871479804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53.016511350348097</v>
      </c>
      <c r="AV40" s="17">
        <v>0</v>
      </c>
      <c r="AW40" s="17">
        <v>0</v>
      </c>
      <c r="AX40" s="17">
        <v>91.470760649040798</v>
      </c>
      <c r="AY40" s="17">
        <v>0</v>
      </c>
      <c r="AZ40" s="17">
        <v>0</v>
      </c>
      <c r="BA40" s="17">
        <v>15.0401143292372</v>
      </c>
      <c r="BB40" s="17">
        <v>0</v>
      </c>
      <c r="BC40" s="17">
        <v>0</v>
      </c>
      <c r="BD40" s="17">
        <v>0</v>
      </c>
    </row>
    <row r="41" spans="1:56" ht="11.25" customHeight="1" x14ac:dyDescent="0.25">
      <c r="A41" s="94"/>
      <c r="B41" s="26" t="s">
        <v>23</v>
      </c>
      <c r="C41" s="26" t="s">
        <v>41</v>
      </c>
      <c r="D41" s="26" t="s">
        <v>89</v>
      </c>
      <c r="E41" s="26" t="s">
        <v>25</v>
      </c>
      <c r="F41" s="26" t="s">
        <v>25</v>
      </c>
      <c r="G41" s="27" t="s">
        <v>78</v>
      </c>
      <c r="H41" s="27" t="s">
        <v>72</v>
      </c>
      <c r="I41" s="27">
        <f>'MERCADO TUSD'!$U$38</f>
        <v>0</v>
      </c>
      <c r="J41" s="15"/>
      <c r="L41" s="17">
        <f>('TUSD BE'!$L$41+'TUSD BF'!$L$41+'TUSD CVA'!$L$41)*(1 - CUSTOS!$M$40)</f>
        <v>0</v>
      </c>
      <c r="M41" s="17">
        <f>('TUSD BE'!$M$41+'TUSD BF'!$M$41+'TUSD CVA'!$M$41)*(1 - CUSTOS!$M$40)</f>
        <v>1.3774751299339478</v>
      </c>
      <c r="N41" s="17">
        <f ca="1">('TUSD BE'!$N$41+'TUSD BF'!$N$41+'TUSD CVA'!$N$41)*(1 - CUSTOS!$M$40)</f>
        <v>0</v>
      </c>
      <c r="O41" s="17">
        <f>('TUSD BE'!$O$41+'TUSD BF'!$O$41+'TUSD CVA'!$O$41)*(1 - CUSTOS!$M$40)</f>
        <v>0</v>
      </c>
      <c r="P41" s="17">
        <f>('TUSD BE'!$P$41+'TUSD BF'!$P$41+'TUSD CVA'!$P$41)*(1 - CUSTOS!$M$40)</f>
        <v>0</v>
      </c>
      <c r="Q41" s="17">
        <f>('TUSD BE'!$Q$41+'TUSD BF'!$Q$41+'TUSD CVA'!$Q$41)*(1 - CUSTOS!$M$40)</f>
        <v>84.545815519838115</v>
      </c>
      <c r="R41" s="17">
        <f>('TUSD BE'!$R$41+'TUSD BF'!$R$41+'TUSD CVA'!$R$41)*(1 - CUSTOS!$M$40)</f>
        <v>13.338355078856338</v>
      </c>
      <c r="S41" s="17">
        <f>('TUSD BE'!$S$41+'TUSD BF'!$S$41+'TUSD CVA'!$S$41)*(1 - CUSTOS!$M$40)</f>
        <v>0</v>
      </c>
      <c r="T41" s="17">
        <f>('TUSD BE'!$U$41+'TUSD BF'!$U$41+'TUSD CVA'!$U$41)*(1 - CUSTOS!$M$40)</f>
        <v>0</v>
      </c>
      <c r="U41" s="17">
        <f>('TUSD BE'!$V$41+'TUSD BF'!$V$41+'TUSD CVA'!$V$41)*(1 - CUSTOS!$M$40)</f>
        <v>0</v>
      </c>
      <c r="V41" s="17">
        <f>('TUSD BE'!$W$41+'TUSD BF'!$W$41+'TUSD CVA'!$W$41)*(1 - CUSTOS!$M$40)</f>
        <v>0</v>
      </c>
      <c r="W41" s="17">
        <f>('TUSD BE'!$X$41+'TUSD BF'!$X$41+'TUSD CVA'!$X$41)*(1 - CUSTOS!$M$40)</f>
        <v>0</v>
      </c>
      <c r="X41" s="17">
        <f>('TUSD BE'!$Y$41+'TUSD BF'!$Y$41+'TUSD CVA'!$Y$41)*(1 - CUSTOS!$M$40)</f>
        <v>94.001257066759436</v>
      </c>
      <c r="Y41" s="17">
        <f>('TUSD BE'!$Z$41+'TUSD BF'!$Z$41+'TUSD CVA'!$Z$41)*(1 - CUSTOS!$M$40)</f>
        <v>0</v>
      </c>
      <c r="Z41" s="17">
        <f>('TUSD BE'!$AA$41+'TUSD BF'!$AA$41+'TUSD CVA'!$AA$41)*(1 - CUSTOS!$M$40)</f>
        <v>0</v>
      </c>
      <c r="AA41" s="17">
        <f>('TUSD BE'!$AC$41+'TUSD BF'!$AC$41+'TUSD CVA'!$AC$41)*(1 - CUSTOS!$M$40)</f>
        <v>171.61850845308419</v>
      </c>
      <c r="AB41" s="17">
        <f ca="1">('TUSD BE'!$AE$41+'TUSD BF'!$AE$41+'TUSD CVA'!$AE$41)*(1 - CUSTOS!$M$40)</f>
        <v>0</v>
      </c>
      <c r="AC41" s="17">
        <f ca="1">('TUSD BE'!$AF$41+'TUSD BF'!$AF$41+'TUSD CVA'!$AF$41)*(1 - CUSTOS!$M$40)</f>
        <v>0</v>
      </c>
      <c r="AD41" s="17">
        <f>('TUSD BE'!$AH$41+'TUSD BF'!$AH$41+'TUSD CVA'!$AH$41)*(1 - CUSTOS!$M$40)</f>
        <v>17.539131088917472</v>
      </c>
      <c r="AE41" s="17">
        <f>('TUSD BE'!$AI$41+'TUSD BF'!$AI$41+'TUSD CVA'!$AI$41)*(1 - CUSTOS!$M$40)</f>
        <v>0</v>
      </c>
      <c r="AF41" s="17">
        <f ca="1">('TUSD BE'!$AJ$41+'TUSD BF'!$AJ$41+'TUSD CVA'!$AJ$41)*(1 - CUSTOS!$M$40)</f>
        <v>0</v>
      </c>
      <c r="AG41" s="17">
        <f ca="1">('TUSD BE'!$AK$41+'TUSD BF'!$AK$41+'TUSD CVA'!$AK$41)*(1 - CUSTOS!$M$40)</f>
        <v>0</v>
      </c>
      <c r="AI41" s="17">
        <v>0</v>
      </c>
      <c r="AJ41" s="17">
        <v>1.1179931138310999</v>
      </c>
      <c r="AK41" s="17">
        <v>0</v>
      </c>
      <c r="AL41" s="17">
        <v>0</v>
      </c>
      <c r="AM41" s="17">
        <v>0</v>
      </c>
      <c r="AN41" s="17">
        <v>48.096951638630102</v>
      </c>
      <c r="AO41" s="17">
        <v>7.4870804871479804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89.914906527961193</v>
      </c>
      <c r="AV41" s="17">
        <v>0</v>
      </c>
      <c r="AW41" s="17">
        <v>0</v>
      </c>
      <c r="AX41" s="17">
        <v>155.03523217849499</v>
      </c>
      <c r="AY41" s="17">
        <v>0</v>
      </c>
      <c r="AZ41" s="17">
        <v>0</v>
      </c>
      <c r="BA41" s="17">
        <v>15.0401143292372</v>
      </c>
      <c r="BB41" s="17">
        <v>0</v>
      </c>
      <c r="BC41" s="17">
        <v>0</v>
      </c>
      <c r="BD41" s="17">
        <v>0</v>
      </c>
    </row>
    <row r="42" spans="1:56" ht="11.25" customHeight="1" x14ac:dyDescent="0.25">
      <c r="A42" s="94"/>
      <c r="B42" s="94" t="s">
        <v>87</v>
      </c>
      <c r="C42" s="94" t="s">
        <v>41</v>
      </c>
      <c r="D42" s="26" t="s">
        <v>25</v>
      </c>
      <c r="E42" s="26" t="s">
        <v>25</v>
      </c>
      <c r="F42" s="26" t="s">
        <v>25</v>
      </c>
      <c r="G42" s="27" t="s">
        <v>78</v>
      </c>
      <c r="H42" s="27" t="s">
        <v>72</v>
      </c>
      <c r="I42" s="27">
        <f>'MERCADO TUSD'!$U$39</f>
        <v>0</v>
      </c>
      <c r="J42" s="15"/>
      <c r="L42" s="17">
        <f>('TUSD BE'!$L$42+'TUSD BF'!$L$42+'TUSD CVA'!$L$42)*(1 - CUSTOS!$M$38)</f>
        <v>0</v>
      </c>
      <c r="M42" s="17">
        <f>('TUSD BE'!$M$42+'TUSD BF'!$M$42+'TUSD CVA'!$M$42)*(1 - CUSTOS!$M$38)</f>
        <v>1.4074202414542509</v>
      </c>
      <c r="N42" s="17">
        <f ca="1">('TUSD BE'!$N$42+'TUSD BF'!$N$42+'TUSD CVA'!$N$42)*(1 - CUSTOS!$M$38)</f>
        <v>0</v>
      </c>
      <c r="O42" s="17">
        <f>('TUSD BE'!$O$42+'TUSD BF'!$O$42+'TUSD CVA'!$O$42)*(1 - CUSTOS!$M$38)</f>
        <v>0</v>
      </c>
      <c r="P42" s="17">
        <f>('TUSD BE'!$P$42+'TUSD BF'!$P$42+'TUSD CVA'!$P$42)*(1 - CUSTOS!$M$38)</f>
        <v>0</v>
      </c>
      <c r="Q42" s="17">
        <f>('TUSD BE'!$Q$42+'TUSD BF'!$Q$42+'TUSD CVA'!$Q$42)*(1 - CUSTOS!$M$38)</f>
        <v>86.383768031138928</v>
      </c>
      <c r="R42" s="17">
        <f>('TUSD BE'!$R$42+'TUSD BF'!$R$42+'TUSD CVA'!$R$42)*(1 - CUSTOS!$M$38)</f>
        <v>13.62831931970104</v>
      </c>
      <c r="S42" s="17">
        <f>('TUSD BE'!$S$42+'TUSD BF'!$S$42+'TUSD CVA'!$S$42)*(1 - CUSTOS!$M$38)</f>
        <v>0</v>
      </c>
      <c r="T42" s="17">
        <f>('TUSD BE'!$U$42+'TUSD BF'!$U$42+'TUSD CVA'!$U$42)*(1 - CUSTOS!$M$38)</f>
        <v>0</v>
      </c>
      <c r="U42" s="17">
        <f>('TUSD BE'!$V$42+'TUSD BF'!$V$42+'TUSD CVA'!$V$42)*(1 - CUSTOS!$M$38)</f>
        <v>0</v>
      </c>
      <c r="V42" s="17">
        <f>('TUSD BE'!$W$42+'TUSD BF'!$W$42+'TUSD CVA'!$W$42)*(1 - CUSTOS!$M$38)</f>
        <v>0</v>
      </c>
      <c r="W42" s="17">
        <f>('TUSD BE'!$X$42+'TUSD BF'!$X$42+'TUSD CVA'!$X$42)*(1 - CUSTOS!$M$38)</f>
        <v>0</v>
      </c>
      <c r="X42" s="17">
        <f>('TUSD BE'!$Y$42+'TUSD BF'!$Y$42+'TUSD CVA'!$Y$42)*(1 - CUSTOS!$M$38)</f>
        <v>96.044762655167233</v>
      </c>
      <c r="Y42" s="17">
        <f>('TUSD BE'!$Z$42+'TUSD BF'!$Z$42+'TUSD CVA'!$Z$42)*(1 - CUSTOS!$M$38)</f>
        <v>0</v>
      </c>
      <c r="Z42" s="17">
        <f>('TUSD BE'!$AA$42+'TUSD BF'!$AA$42+'TUSD CVA'!$AA$42)*(1 - CUSTOS!$M$38)</f>
        <v>0</v>
      </c>
      <c r="AA42" s="17">
        <f>('TUSD BE'!$AC$42+'TUSD BF'!$AC$42+'TUSD CVA'!$AC$42)*(1 - CUSTOS!$M$38)</f>
        <v>175.34934559336861</v>
      </c>
      <c r="AB42" s="17">
        <f ca="1">('TUSD BE'!$AE$42+'TUSD BF'!$AE$42+'TUSD CVA'!$AE$42)*(1 - CUSTOS!$M$38)</f>
        <v>0</v>
      </c>
      <c r="AC42" s="17">
        <f ca="1">('TUSD BE'!$AF$42+'TUSD BF'!$AF$42+'TUSD CVA'!$AF$42)*(1 - CUSTOS!$M$38)</f>
        <v>0</v>
      </c>
      <c r="AD42" s="17">
        <f>('TUSD BE'!$AH$42+'TUSD BF'!$AH$42+'TUSD CVA'!$AH$42)*(1 - CUSTOS!$M$38)</f>
        <v>17.920416547372199</v>
      </c>
      <c r="AE42" s="17">
        <f>('TUSD BE'!$AI$42+'TUSD BF'!$AI$42+'TUSD CVA'!$AI$42)*(1 - CUSTOS!$M$38)</f>
        <v>0</v>
      </c>
      <c r="AF42" s="17">
        <f ca="1">('TUSD BE'!$AJ$42+'TUSD BF'!$AJ$42+'TUSD CVA'!$AJ$42)*(1 - CUSTOS!$M$38)</f>
        <v>0</v>
      </c>
      <c r="AG42" s="17">
        <f ca="1">('TUSD BE'!$AK$42+'TUSD BF'!$AK$42+'TUSD CVA'!$AK$42)*(1 - CUSTOS!$M$38)</f>
        <v>0</v>
      </c>
      <c r="AI42" s="17">
        <v>0</v>
      </c>
      <c r="AJ42" s="17">
        <v>1.1712308811563901</v>
      </c>
      <c r="AK42" s="17">
        <v>0</v>
      </c>
      <c r="AL42" s="17">
        <v>0</v>
      </c>
      <c r="AM42" s="17">
        <v>0</v>
      </c>
      <c r="AN42" s="17">
        <v>50.387282669041099</v>
      </c>
      <c r="AO42" s="17">
        <v>7.8436081293931199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94.196568743578396</v>
      </c>
      <c r="AV42" s="17">
        <v>0</v>
      </c>
      <c r="AW42" s="17">
        <v>0</v>
      </c>
      <c r="AX42" s="17">
        <v>162.41786228223299</v>
      </c>
      <c r="AY42" s="17">
        <v>0</v>
      </c>
      <c r="AZ42" s="17">
        <v>0</v>
      </c>
      <c r="BA42" s="17">
        <v>15.756310249677099</v>
      </c>
      <c r="BB42" s="17">
        <v>0</v>
      </c>
      <c r="BC42" s="17">
        <v>0</v>
      </c>
      <c r="BD42" s="17">
        <v>0</v>
      </c>
    </row>
    <row r="43" spans="1:56" ht="11.25" customHeight="1" x14ac:dyDescent="0.25">
      <c r="A43" s="94"/>
      <c r="B43" s="94"/>
      <c r="C43" s="94"/>
      <c r="D43" s="26" t="s">
        <v>88</v>
      </c>
      <c r="E43" s="26" t="s">
        <v>25</v>
      </c>
      <c r="F43" s="26" t="s">
        <v>25</v>
      </c>
      <c r="G43" s="27" t="s">
        <v>78</v>
      </c>
      <c r="H43" s="27" t="s">
        <v>72</v>
      </c>
      <c r="I43" s="27">
        <f>'MERCADO TUSD'!$U$40</f>
        <v>0</v>
      </c>
      <c r="J43" s="15"/>
      <c r="L43" s="17">
        <f>('TUSD BE'!$L$43+'TUSD BF'!$L$43+'TUSD CVA'!$L$43)*(1 - CUSTOS!$M$39)</f>
        <v>0</v>
      </c>
      <c r="M43" s="17">
        <f>('TUSD BE'!$M$43+'TUSD BF'!$M$43+'TUSD CVA'!$M$43)*(1 - CUSTOS!$M$39)</f>
        <v>1.4074202414542509</v>
      </c>
      <c r="N43" s="17">
        <f ca="1">('TUSD BE'!$N$43+'TUSD BF'!$N$43+'TUSD CVA'!$N$43)*(1 - CUSTOS!$M$39)</f>
        <v>0</v>
      </c>
      <c r="O43" s="17">
        <f>('TUSD BE'!$O$43+'TUSD BF'!$O$43+'TUSD CVA'!$O$43)*(1 - CUSTOS!$M$39)</f>
        <v>0</v>
      </c>
      <c r="P43" s="17">
        <f>('TUSD BE'!$P$43+'TUSD BF'!$P$43+'TUSD CVA'!$P$43)*(1 - CUSTOS!$M$39)</f>
        <v>0</v>
      </c>
      <c r="Q43" s="17">
        <f>('TUSD BE'!$Q$43+'TUSD BF'!$Q$43+'TUSD CVA'!$Q$43)*(1 - CUSTOS!$M$39)</f>
        <v>86.383768031138928</v>
      </c>
      <c r="R43" s="17">
        <f>('TUSD BE'!$R$43+'TUSD BF'!$R$43+'TUSD CVA'!$R$43)*(1 - CUSTOS!$M$39)</f>
        <v>13.62831931970104</v>
      </c>
      <c r="S43" s="17">
        <f>('TUSD BE'!$S$43+'TUSD BF'!$S$43+'TUSD CVA'!$S$43)*(1 - CUSTOS!$M$39)</f>
        <v>0</v>
      </c>
      <c r="T43" s="17">
        <f>('TUSD BE'!$U$43+'TUSD BF'!$U$43+'TUSD CVA'!$U$43)*(1 - CUSTOS!$M$39)</f>
        <v>0</v>
      </c>
      <c r="U43" s="17">
        <f>('TUSD BE'!$V$43+'TUSD BF'!$V$43+'TUSD CVA'!$V$43)*(1 - CUSTOS!$M$39)</f>
        <v>0</v>
      </c>
      <c r="V43" s="17">
        <f>('TUSD BE'!$W$43+'TUSD BF'!$W$43+'TUSD CVA'!$W$43)*(1 - CUSTOS!$M$39)</f>
        <v>0</v>
      </c>
      <c r="W43" s="17">
        <f>('TUSD BE'!$X$43+'TUSD BF'!$X$43+'TUSD CVA'!$X$43)*(1 - CUSTOS!$M$39)</f>
        <v>0</v>
      </c>
      <c r="X43" s="17">
        <f>('TUSD BE'!$Y$43+'TUSD BF'!$Y$43+'TUSD CVA'!$Y$43)*(1 - CUSTOS!$M$39)</f>
        <v>96.044762655167233</v>
      </c>
      <c r="Y43" s="17">
        <f>('TUSD BE'!$Z$43+'TUSD BF'!$Z$43+'TUSD CVA'!$Z$43)*(1 - CUSTOS!$M$39)</f>
        <v>0</v>
      </c>
      <c r="Z43" s="17">
        <f>('TUSD BE'!$AA$43+'TUSD BF'!$AA$43+'TUSD CVA'!$AA$43)*(1 - CUSTOS!$M$39)</f>
        <v>0</v>
      </c>
      <c r="AA43" s="17">
        <f>('TUSD BE'!$AC$43+'TUSD BF'!$AC$43+'TUSD CVA'!$AC$43)*(1 - CUSTOS!$M$39)</f>
        <v>175.34934559336861</v>
      </c>
      <c r="AB43" s="17">
        <f ca="1">('TUSD BE'!$AE$43+'TUSD BF'!$AE$43+'TUSD CVA'!$AE$43)*(1 - CUSTOS!$M$39)</f>
        <v>0</v>
      </c>
      <c r="AC43" s="17">
        <f ca="1">('TUSD BE'!$AF$43+'TUSD BF'!$AF$43+'TUSD CVA'!$AF$43)*(1 - CUSTOS!$M$39)</f>
        <v>0</v>
      </c>
      <c r="AD43" s="17">
        <f>('TUSD BE'!$AH$43+'TUSD BF'!$AH$43+'TUSD CVA'!$AH$43)*(1 - CUSTOS!$M$39)</f>
        <v>17.920416547372199</v>
      </c>
      <c r="AE43" s="17">
        <f>('TUSD BE'!$AI$43+'TUSD BF'!$AI$43+'TUSD CVA'!$AI$43)*(1 - CUSTOS!$M$39)</f>
        <v>0</v>
      </c>
      <c r="AF43" s="17">
        <f ca="1">('TUSD BE'!$AJ$43+'TUSD BF'!$AJ$43+'TUSD CVA'!$AJ$43)*(1 - CUSTOS!$M$39)</f>
        <v>0</v>
      </c>
      <c r="AG43" s="17">
        <f ca="1">('TUSD BE'!$AK$43+'TUSD BF'!$AK$43+'TUSD CVA'!$AK$43)*(1 - CUSTOS!$M$39)</f>
        <v>0</v>
      </c>
      <c r="AI43" s="17">
        <v>0</v>
      </c>
      <c r="AJ43" s="17">
        <v>1.1712308811563901</v>
      </c>
      <c r="AK43" s="17">
        <v>0</v>
      </c>
      <c r="AL43" s="17">
        <v>0</v>
      </c>
      <c r="AM43" s="17">
        <v>0</v>
      </c>
      <c r="AN43" s="17">
        <v>50.387282669041099</v>
      </c>
      <c r="AO43" s="17">
        <v>7.8436081293931199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94.196568743578396</v>
      </c>
      <c r="AV43" s="17">
        <v>0</v>
      </c>
      <c r="AW43" s="17">
        <v>0</v>
      </c>
      <c r="AX43" s="17">
        <v>162.41786228223299</v>
      </c>
      <c r="AY43" s="17">
        <v>0</v>
      </c>
      <c r="AZ43" s="17">
        <v>0</v>
      </c>
      <c r="BA43" s="17">
        <v>15.756310249677099</v>
      </c>
      <c r="BB43" s="17">
        <v>0</v>
      </c>
      <c r="BC43" s="17">
        <v>0</v>
      </c>
      <c r="BD43" s="17">
        <v>0</v>
      </c>
    </row>
    <row r="44" spans="1:56" ht="11.25" customHeight="1" x14ac:dyDescent="0.25">
      <c r="A44" s="94"/>
      <c r="B44" s="94"/>
      <c r="C44" s="94"/>
      <c r="D44" s="26" t="s">
        <v>89</v>
      </c>
      <c r="E44" s="26" t="s">
        <v>25</v>
      </c>
      <c r="F44" s="26" t="s">
        <v>25</v>
      </c>
      <c r="G44" s="27" t="s">
        <v>78</v>
      </c>
      <c r="H44" s="27" t="s">
        <v>72</v>
      </c>
      <c r="I44" s="27">
        <f>'MERCADO TUSD'!$U$41</f>
        <v>0</v>
      </c>
      <c r="J44" s="15"/>
      <c r="L44" s="17">
        <f>('TUSD BE'!$L$44+'TUSD BF'!$L$44+'TUSD CVA'!$L$44)*(1 - CUSTOS!$M$40)</f>
        <v>0</v>
      </c>
      <c r="M44" s="17">
        <f>('TUSD BE'!$M$44+'TUSD BF'!$M$44+'TUSD CVA'!$M$44)*(1 - CUSTOS!$M$40)</f>
        <v>1.3774751299339478</v>
      </c>
      <c r="N44" s="17">
        <f ca="1">('TUSD BE'!$N$44+'TUSD BF'!$N$44+'TUSD CVA'!$N$44)*(1 - CUSTOS!$M$40)</f>
        <v>0</v>
      </c>
      <c r="O44" s="17">
        <f>('TUSD BE'!$O$44+'TUSD BF'!$O$44+'TUSD CVA'!$O$44)*(1 - CUSTOS!$M$40)</f>
        <v>0</v>
      </c>
      <c r="P44" s="17">
        <f>('TUSD BE'!$P$44+'TUSD BF'!$P$44+'TUSD CVA'!$P$44)*(1 - CUSTOS!$M$40)</f>
        <v>0</v>
      </c>
      <c r="Q44" s="17">
        <f>('TUSD BE'!$Q$44+'TUSD BF'!$Q$44+'TUSD CVA'!$Q$44)*(1 - CUSTOS!$M$40)</f>
        <v>84.545815519838115</v>
      </c>
      <c r="R44" s="17">
        <f>('TUSD BE'!$R$44+'TUSD BF'!$R$44+'TUSD CVA'!$R$44)*(1 - CUSTOS!$M$40)</f>
        <v>13.338355078856338</v>
      </c>
      <c r="S44" s="17">
        <f>('TUSD BE'!$S$44+'TUSD BF'!$S$44+'TUSD CVA'!$S$44)*(1 - CUSTOS!$M$40)</f>
        <v>0</v>
      </c>
      <c r="T44" s="17">
        <f>('TUSD BE'!$U$44+'TUSD BF'!$U$44+'TUSD CVA'!$U$44)*(1 - CUSTOS!$M$40)</f>
        <v>0</v>
      </c>
      <c r="U44" s="17">
        <f>('TUSD BE'!$V$44+'TUSD BF'!$V$44+'TUSD CVA'!$V$44)*(1 - CUSTOS!$M$40)</f>
        <v>0</v>
      </c>
      <c r="V44" s="17">
        <f>('TUSD BE'!$W$44+'TUSD BF'!$W$44+'TUSD CVA'!$W$44)*(1 - CUSTOS!$M$40)</f>
        <v>0</v>
      </c>
      <c r="W44" s="17">
        <f>('TUSD BE'!$X$44+'TUSD BF'!$X$44+'TUSD CVA'!$X$44)*(1 - CUSTOS!$M$40)</f>
        <v>0</v>
      </c>
      <c r="X44" s="17">
        <f>('TUSD BE'!$Y$44+'TUSD BF'!$Y$44+'TUSD CVA'!$Y$44)*(1 - CUSTOS!$M$40)</f>
        <v>94.001257066759436</v>
      </c>
      <c r="Y44" s="17">
        <f>('TUSD BE'!$Z$44+'TUSD BF'!$Z$44+'TUSD CVA'!$Z$44)*(1 - CUSTOS!$M$40)</f>
        <v>0</v>
      </c>
      <c r="Z44" s="17">
        <f>('TUSD BE'!$AA$44+'TUSD BF'!$AA$44+'TUSD CVA'!$AA$44)*(1 - CUSTOS!$M$40)</f>
        <v>0</v>
      </c>
      <c r="AA44" s="17">
        <f>('TUSD BE'!$AC$44+'TUSD BF'!$AC$44+'TUSD CVA'!$AC$44)*(1 - CUSTOS!$M$40)</f>
        <v>171.61850845308419</v>
      </c>
      <c r="AB44" s="17">
        <f ca="1">('TUSD BE'!$AE$44+'TUSD BF'!$AE$44+'TUSD CVA'!$AE$44)*(1 - CUSTOS!$M$40)</f>
        <v>0</v>
      </c>
      <c r="AC44" s="17">
        <f ca="1">('TUSD BE'!$AF$44+'TUSD BF'!$AF$44+'TUSD CVA'!$AF$44)*(1 - CUSTOS!$M$40)</f>
        <v>0</v>
      </c>
      <c r="AD44" s="17">
        <f>('TUSD BE'!$AH$44+'TUSD BF'!$AH$44+'TUSD CVA'!$AH$44)*(1 - CUSTOS!$M$40)</f>
        <v>17.539131088917472</v>
      </c>
      <c r="AE44" s="17">
        <f>('TUSD BE'!$AI$44+'TUSD BF'!$AI$44+'TUSD CVA'!$AI$44)*(1 - CUSTOS!$M$40)</f>
        <v>0</v>
      </c>
      <c r="AF44" s="17">
        <f ca="1">('TUSD BE'!$AJ$44+'TUSD BF'!$AJ$44+'TUSD CVA'!$AJ$44)*(1 - CUSTOS!$M$40)</f>
        <v>0</v>
      </c>
      <c r="AG44" s="17">
        <f ca="1">('TUSD BE'!$AK$44+'TUSD BF'!$AK$44+'TUSD CVA'!$AK$44)*(1 - CUSTOS!$M$40)</f>
        <v>0</v>
      </c>
      <c r="AI44" s="17">
        <v>0</v>
      </c>
      <c r="AJ44" s="17">
        <v>1.1179931138310999</v>
      </c>
      <c r="AK44" s="17">
        <v>0</v>
      </c>
      <c r="AL44" s="17">
        <v>0</v>
      </c>
      <c r="AM44" s="17">
        <v>0</v>
      </c>
      <c r="AN44" s="17">
        <v>48.096951638630102</v>
      </c>
      <c r="AO44" s="17">
        <v>7.4870804871479804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89.914906527961193</v>
      </c>
      <c r="AV44" s="17">
        <v>0</v>
      </c>
      <c r="AW44" s="17">
        <v>0</v>
      </c>
      <c r="AX44" s="17">
        <v>155.03523217849499</v>
      </c>
      <c r="AY44" s="17">
        <v>0</v>
      </c>
      <c r="AZ44" s="17">
        <v>0</v>
      </c>
      <c r="BA44" s="17">
        <v>15.0401143292372</v>
      </c>
      <c r="BB44" s="17">
        <v>0</v>
      </c>
      <c r="BC44" s="17">
        <v>0</v>
      </c>
      <c r="BD44" s="17">
        <v>0</v>
      </c>
    </row>
    <row r="45" spans="1:56" ht="11.25" customHeight="1" x14ac:dyDescent="0.25">
      <c r="A45" s="94" t="s">
        <v>33</v>
      </c>
      <c r="B45" s="94" t="s">
        <v>85</v>
      </c>
      <c r="C45" s="94" t="s">
        <v>25</v>
      </c>
      <c r="D45" s="94" t="s">
        <v>25</v>
      </c>
      <c r="E45" s="94" t="s">
        <v>25</v>
      </c>
      <c r="F45" s="94" t="s">
        <v>25</v>
      </c>
      <c r="G45" s="27" t="s">
        <v>73</v>
      </c>
      <c r="H45" s="27" t="s">
        <v>72</v>
      </c>
      <c r="I45" s="27">
        <f>'MERCADO TUSD'!$U$42</f>
        <v>0</v>
      </c>
      <c r="J45" s="15"/>
      <c r="L45" s="17">
        <f>('TUSD BE'!$L$45+'TUSD BF'!$L$45+'TUSD CVA'!$L$45)*1</f>
        <v>0</v>
      </c>
      <c r="M45" s="17">
        <f>('TUSD BE'!$M$45+'TUSD BF'!$M$45+'TUSD CVA'!$M$45)*1</f>
        <v>1.4972555760151607</v>
      </c>
      <c r="N45" s="17">
        <f ca="1">('TUSD BE'!$N$45+'TUSD BF'!$N$45+'TUSD CVA'!$N$45)*1</f>
        <v>0</v>
      </c>
      <c r="O45" s="17">
        <f>('TUSD BE'!$O$45+'TUSD BF'!$O$45+'TUSD CVA'!$O$45)*1</f>
        <v>0</v>
      </c>
      <c r="P45" s="17">
        <f>('TUSD BE'!$P$45+'TUSD BF'!$P$45+'TUSD CVA'!$P$45)*1</f>
        <v>0</v>
      </c>
      <c r="Q45" s="17">
        <f>('TUSD BE'!$Q$45+'TUSD BF'!$Q$45+'TUSD CVA'!$Q$45)*1</f>
        <v>91.897625565041423</v>
      </c>
      <c r="R45" s="17">
        <f>('TUSD BE'!$R$45+'TUSD BF'!$R$45+'TUSD CVA'!$R$45)*1</f>
        <v>14.498212042235149</v>
      </c>
      <c r="S45" s="17">
        <f>('TUSD BE'!$S$45+'TUSD BF'!$S$45+'TUSD CVA'!$S$45)*1</f>
        <v>0</v>
      </c>
      <c r="T45" s="17">
        <f>('TUSD BE'!$U$45+'TUSD BF'!$U$45+'TUSD CVA'!$U$45)*1</f>
        <v>0</v>
      </c>
      <c r="U45" s="17">
        <f>('TUSD BE'!$V$45+'TUSD BF'!$V$45+'TUSD CVA'!$V$45)*1</f>
        <v>0</v>
      </c>
      <c r="V45" s="17">
        <f>('TUSD BE'!$W$45+'TUSD BF'!$W$45+'TUSD CVA'!$W$45)*1</f>
        <v>0</v>
      </c>
      <c r="W45" s="17">
        <f>('TUSD BE'!$X$45+'TUSD BF'!$X$45+'TUSD CVA'!$X$45)*1</f>
        <v>0</v>
      </c>
      <c r="X45" s="17">
        <f>('TUSD BE'!$Y$45+'TUSD BF'!$Y$45+'TUSD CVA'!$Y$45)*1</f>
        <v>352.59314878146432</v>
      </c>
      <c r="Y45" s="17">
        <f>('TUSD BE'!$Z$45+'TUSD BF'!$Z$45+'TUSD CVA'!$Z$45)*1</f>
        <v>0</v>
      </c>
      <c r="Z45" s="17">
        <f>('TUSD BE'!$AA$45+'TUSD BF'!$AA$45+'TUSD CVA'!$AA$45)*1</f>
        <v>0</v>
      </c>
      <c r="AA45" s="17">
        <f>('TUSD BE'!$AC$45+'TUSD BF'!$AC$45+'TUSD CVA'!$AC$45)*1</f>
        <v>643.56920003680011</v>
      </c>
      <c r="AB45" s="17">
        <f ca="1">('TUSD BE'!$AE$45+'TUSD BF'!$AE$45+'TUSD CVA'!$AE$45)*1</f>
        <v>0</v>
      </c>
      <c r="AC45" s="17">
        <f ca="1">('TUSD BE'!$AF$45+'TUSD BF'!$AF$45+'TUSD CVA'!$AF$45)*1</f>
        <v>0</v>
      </c>
      <c r="AD45" s="17">
        <f>('TUSD BE'!$AH$45+'TUSD BF'!$AH$45+'TUSD CVA'!$AH$45)*1</f>
        <v>19.064272922736382</v>
      </c>
      <c r="AE45" s="17">
        <f>('TUSD BE'!$AI$45+'TUSD BF'!$AI$45+'TUSD CVA'!$AI$45)*1</f>
        <v>0</v>
      </c>
      <c r="AF45" s="17">
        <f ca="1">('TUSD BE'!$AJ$45+'TUSD BF'!$AJ$45+'TUSD CVA'!$AJ$45)*1</f>
        <v>0</v>
      </c>
      <c r="AG45" s="17">
        <f ca="1">('TUSD BE'!$AK$45+'TUSD BF'!$AK$45+'TUSD CVA'!$AK$45)*1</f>
        <v>0</v>
      </c>
      <c r="AI45" s="17">
        <v>0</v>
      </c>
      <c r="AJ45" s="17">
        <v>1.3309441831322699</v>
      </c>
      <c r="AK45" s="17">
        <v>0</v>
      </c>
      <c r="AL45" s="17">
        <v>0</v>
      </c>
      <c r="AM45" s="17">
        <v>0</v>
      </c>
      <c r="AN45" s="17">
        <v>57.258275760274003</v>
      </c>
      <c r="AO45" s="17">
        <v>8.9131910561285501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369.38601117062802</v>
      </c>
      <c r="AV45" s="17">
        <v>0</v>
      </c>
      <c r="AW45" s="17">
        <v>0</v>
      </c>
      <c r="AX45" s="17">
        <v>636.75165769131604</v>
      </c>
      <c r="AY45" s="17">
        <v>0</v>
      </c>
      <c r="AZ45" s="17">
        <v>0</v>
      </c>
      <c r="BA45" s="17">
        <v>17.9048980109967</v>
      </c>
      <c r="BB45" s="17">
        <v>0</v>
      </c>
      <c r="BC45" s="17">
        <v>0</v>
      </c>
      <c r="BD45" s="17">
        <v>0</v>
      </c>
    </row>
    <row r="46" spans="1:56" ht="11.25" customHeight="1" x14ac:dyDescent="0.25">
      <c r="A46" s="94"/>
      <c r="B46" s="94"/>
      <c r="C46" s="94"/>
      <c r="D46" s="94"/>
      <c r="E46" s="94"/>
      <c r="F46" s="94"/>
      <c r="G46" s="27" t="s">
        <v>83</v>
      </c>
      <c r="H46" s="27" t="s">
        <v>72</v>
      </c>
      <c r="I46" s="27">
        <f>'MERCADO TUSD'!$U$43</f>
        <v>0</v>
      </c>
      <c r="J46" s="15"/>
      <c r="L46" s="17">
        <f>('TUSD BE'!$L$46+'TUSD BF'!$L$46+'TUSD CVA'!$L$46)*1</f>
        <v>0</v>
      </c>
      <c r="M46" s="17">
        <f>('TUSD BE'!$M$46+'TUSD BF'!$M$46+'TUSD CVA'!$M$46)*1</f>
        <v>1.4972555760151607</v>
      </c>
      <c r="N46" s="17">
        <f ca="1">('TUSD BE'!$N$46+'TUSD BF'!$N$46+'TUSD CVA'!$N$46)*1</f>
        <v>0</v>
      </c>
      <c r="O46" s="17">
        <f>('TUSD BE'!$O$46+'TUSD BF'!$O$46+'TUSD CVA'!$O$46)*1</f>
        <v>0</v>
      </c>
      <c r="P46" s="17">
        <f>('TUSD BE'!$P$46+'TUSD BF'!$P$46+'TUSD CVA'!$P$46)*1</f>
        <v>0</v>
      </c>
      <c r="Q46" s="17">
        <f>('TUSD BE'!$Q$46+'TUSD BF'!$Q$46+'TUSD CVA'!$Q$46)*1</f>
        <v>91.897625565041423</v>
      </c>
      <c r="R46" s="17">
        <f>('TUSD BE'!$R$46+'TUSD BF'!$R$46+'TUSD CVA'!$R$46)*1</f>
        <v>14.498212042235149</v>
      </c>
      <c r="S46" s="17">
        <f>('TUSD BE'!$S$46+'TUSD BF'!$S$46+'TUSD CVA'!$S$46)*1</f>
        <v>0</v>
      </c>
      <c r="T46" s="17">
        <f>('TUSD BE'!$U$46+'TUSD BF'!$U$46+'TUSD CVA'!$U$46)*1</f>
        <v>0</v>
      </c>
      <c r="U46" s="17">
        <f>('TUSD BE'!$V$46+'TUSD BF'!$V$46+'TUSD CVA'!$V$46)*1</f>
        <v>0</v>
      </c>
      <c r="V46" s="17">
        <f>('TUSD BE'!$W$46+'TUSD BF'!$W$46+'TUSD CVA'!$W$46)*1</f>
        <v>0</v>
      </c>
      <c r="W46" s="17">
        <f>('TUSD BE'!$X$46+'TUSD BF'!$X$46+'TUSD CVA'!$X$46)*1</f>
        <v>0</v>
      </c>
      <c r="X46" s="17">
        <f>('TUSD BE'!$Y$46+'TUSD BF'!$Y$46+'TUSD CVA'!$Y$46)*1</f>
        <v>211.51549559723748</v>
      </c>
      <c r="Y46" s="17">
        <f>('TUSD BE'!$Z$46+'TUSD BF'!$Z$46+'TUSD CVA'!$Z$46)*1</f>
        <v>0</v>
      </c>
      <c r="Z46" s="17">
        <f>('TUSD BE'!$AA$46+'TUSD BF'!$AA$46+'TUSD CVA'!$AA$46)*1</f>
        <v>0</v>
      </c>
      <c r="AA46" s="17">
        <f>('TUSD BE'!$AC$46+'TUSD BF'!$AC$46+'TUSD CVA'!$AC$46)*1</f>
        <v>386.14149705960614</v>
      </c>
      <c r="AB46" s="17">
        <f ca="1">('TUSD BE'!$AE$46+'TUSD BF'!$AE$46+'TUSD CVA'!$AE$46)*1</f>
        <v>0</v>
      </c>
      <c r="AC46" s="17">
        <f ca="1">('TUSD BE'!$AF$46+'TUSD BF'!$AF$46+'TUSD CVA'!$AF$46)*1</f>
        <v>0</v>
      </c>
      <c r="AD46" s="17">
        <f>('TUSD BE'!$AH$46+'TUSD BF'!$AH$46+'TUSD CVA'!$AH$46)*1</f>
        <v>19.064272922736382</v>
      </c>
      <c r="AE46" s="17">
        <f>('TUSD BE'!$AI$46+'TUSD BF'!$AI$46+'TUSD CVA'!$AI$46)*1</f>
        <v>0</v>
      </c>
      <c r="AF46" s="17">
        <f ca="1">('TUSD BE'!$AJ$46+'TUSD BF'!$AJ$46+'TUSD CVA'!$AJ$46)*1</f>
        <v>0</v>
      </c>
      <c r="AG46" s="17">
        <f ca="1">('TUSD BE'!$AK$46+'TUSD BF'!$AK$46+'TUSD CVA'!$AK$46)*1</f>
        <v>0</v>
      </c>
      <c r="AI46" s="17">
        <v>0</v>
      </c>
      <c r="AJ46" s="17">
        <v>1.3309441831322699</v>
      </c>
      <c r="AK46" s="17">
        <v>0</v>
      </c>
      <c r="AL46" s="17">
        <v>0</v>
      </c>
      <c r="AM46" s="17">
        <v>0</v>
      </c>
      <c r="AN46" s="17">
        <v>57.258275760274003</v>
      </c>
      <c r="AO46" s="17">
        <v>8.9131910561285501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221.589334196062</v>
      </c>
      <c r="AV46" s="17">
        <v>0</v>
      </c>
      <c r="AW46" s="17">
        <v>0</v>
      </c>
      <c r="AX46" s="17">
        <v>382.05099461479</v>
      </c>
      <c r="AY46" s="17">
        <v>0</v>
      </c>
      <c r="AZ46" s="17">
        <v>0</v>
      </c>
      <c r="BA46" s="17">
        <v>17.9048980109967</v>
      </c>
      <c r="BB46" s="17">
        <v>0</v>
      </c>
      <c r="BC46" s="17">
        <v>0</v>
      </c>
      <c r="BD46" s="17">
        <v>0</v>
      </c>
    </row>
    <row r="47" spans="1:56" ht="11.25" customHeight="1" x14ac:dyDescent="0.25">
      <c r="A47" s="94"/>
      <c r="B47" s="94"/>
      <c r="C47" s="94"/>
      <c r="D47" s="94"/>
      <c r="E47" s="94"/>
      <c r="F47" s="94"/>
      <c r="G47" s="27" t="s">
        <v>74</v>
      </c>
      <c r="H47" s="27" t="s">
        <v>72</v>
      </c>
      <c r="I47" s="27">
        <f>'MERCADO TUSD'!$U$44</f>
        <v>0</v>
      </c>
      <c r="J47" s="15"/>
      <c r="L47" s="17">
        <f>('TUSD BE'!$L$47+'TUSD BF'!$L$47+'TUSD CVA'!$L$47)*1</f>
        <v>0</v>
      </c>
      <c r="M47" s="17">
        <f>('TUSD BE'!$M$47+'TUSD BF'!$M$47+'TUSD CVA'!$M$47)*1</f>
        <v>1.4972555760151607</v>
      </c>
      <c r="N47" s="17">
        <f ca="1">('TUSD BE'!$N$47+'TUSD BF'!$N$47+'TUSD CVA'!$N$47)*1</f>
        <v>0</v>
      </c>
      <c r="O47" s="17">
        <f>('TUSD BE'!$O$47+'TUSD BF'!$O$47+'TUSD CVA'!$O$47)*1</f>
        <v>0</v>
      </c>
      <c r="P47" s="17">
        <f>('TUSD BE'!$P$47+'TUSD BF'!$P$47+'TUSD CVA'!$P$47)*1</f>
        <v>0</v>
      </c>
      <c r="Q47" s="17">
        <f>('TUSD BE'!$Q$47+'TUSD BF'!$Q$47+'TUSD CVA'!$Q$47)*1</f>
        <v>91.897625565041423</v>
      </c>
      <c r="R47" s="17">
        <f>('TUSD BE'!$R$47+'TUSD BF'!$R$47+'TUSD CVA'!$R$47)*1</f>
        <v>14.498212042235149</v>
      </c>
      <c r="S47" s="17">
        <f>('TUSD BE'!$S$47+'TUSD BF'!$S$47+'TUSD CVA'!$S$47)*1</f>
        <v>0</v>
      </c>
      <c r="T47" s="17">
        <f>('TUSD BE'!$U$47+'TUSD BF'!$U$47+'TUSD CVA'!$U$47)*1</f>
        <v>0</v>
      </c>
      <c r="U47" s="17">
        <f>('TUSD BE'!$V$47+'TUSD BF'!$V$47+'TUSD CVA'!$V$47)*1</f>
        <v>0</v>
      </c>
      <c r="V47" s="17">
        <f>('TUSD BE'!$W$47+'TUSD BF'!$W$47+'TUSD CVA'!$W$47)*1</f>
        <v>0</v>
      </c>
      <c r="W47" s="17">
        <f>('TUSD BE'!$X$47+'TUSD BF'!$X$47+'TUSD CVA'!$X$47)*1</f>
        <v>0</v>
      </c>
      <c r="X47" s="17">
        <f>('TUSD BE'!$Y$47+'TUSD BF'!$Y$47+'TUSD CVA'!$Y$47)*1</f>
        <v>70.488382002175896</v>
      </c>
      <c r="Y47" s="17">
        <f>('TUSD BE'!$Z$47+'TUSD BF'!$Z$47+'TUSD CVA'!$Z$47)*1</f>
        <v>0</v>
      </c>
      <c r="Z47" s="17">
        <f>('TUSD BE'!$AA$47+'TUSD BF'!$AA$47+'TUSD CVA'!$AA$47)*1</f>
        <v>0</v>
      </c>
      <c r="AA47" s="17">
        <f>('TUSD BE'!$AC$47+'TUSD BF'!$AC$47+'TUSD CVA'!$AC$47)*1</f>
        <v>128.71396630096675</v>
      </c>
      <c r="AB47" s="17">
        <f ca="1">('TUSD BE'!$AE$47+'TUSD BF'!$AE$47+'TUSD CVA'!$AE$47)*1</f>
        <v>0</v>
      </c>
      <c r="AC47" s="17">
        <f ca="1">('TUSD BE'!$AF$47+'TUSD BF'!$AF$47+'TUSD CVA'!$AF$47)*1</f>
        <v>0</v>
      </c>
      <c r="AD47" s="17">
        <f>('TUSD BE'!$AH$47+'TUSD BF'!$AH$47+'TUSD CVA'!$AH$47)*1</f>
        <v>19.064272922736382</v>
      </c>
      <c r="AE47" s="17">
        <f>('TUSD BE'!$AI$47+'TUSD BF'!$AI$47+'TUSD CVA'!$AI$47)*1</f>
        <v>0</v>
      </c>
      <c r="AF47" s="17">
        <f ca="1">('TUSD BE'!$AJ$47+'TUSD BF'!$AJ$47+'TUSD CVA'!$AJ$47)*1</f>
        <v>0</v>
      </c>
      <c r="AG47" s="17">
        <f ca="1">('TUSD BE'!$AK$47+'TUSD BF'!$AK$47+'TUSD CVA'!$AK$47)*1</f>
        <v>0</v>
      </c>
      <c r="AI47" s="17">
        <v>0</v>
      </c>
      <c r="AJ47" s="17">
        <v>1.3309441831322699</v>
      </c>
      <c r="AK47" s="17">
        <v>0</v>
      </c>
      <c r="AL47" s="17">
        <v>0</v>
      </c>
      <c r="AM47" s="17">
        <v>0</v>
      </c>
      <c r="AN47" s="17">
        <v>57.258275760274003</v>
      </c>
      <c r="AO47" s="17">
        <v>8.9131910561285501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73.845522885480605</v>
      </c>
      <c r="AV47" s="17">
        <v>0</v>
      </c>
      <c r="AW47" s="17">
        <v>0</v>
      </c>
      <c r="AX47" s="17">
        <v>127.350459508482</v>
      </c>
      <c r="AY47" s="17">
        <v>0</v>
      </c>
      <c r="AZ47" s="17">
        <v>0</v>
      </c>
      <c r="BA47" s="17">
        <v>17.9048980109967</v>
      </c>
      <c r="BB47" s="17">
        <v>0</v>
      </c>
      <c r="BC47" s="17">
        <v>0</v>
      </c>
      <c r="BD47" s="17">
        <v>0</v>
      </c>
    </row>
    <row r="48" spans="1:56" ht="11.25" customHeight="1" x14ac:dyDescent="0.25">
      <c r="A48" s="94"/>
      <c r="B48" s="26" t="s">
        <v>23</v>
      </c>
      <c r="C48" s="26" t="s">
        <v>25</v>
      </c>
      <c r="D48" s="26" t="s">
        <v>25</v>
      </c>
      <c r="E48" s="26" t="s">
        <v>25</v>
      </c>
      <c r="F48" s="26" t="s">
        <v>25</v>
      </c>
      <c r="G48" s="27" t="s">
        <v>78</v>
      </c>
      <c r="H48" s="27" t="s">
        <v>72</v>
      </c>
      <c r="I48" s="27">
        <f>'MERCADO TUSD'!$U$45</f>
        <v>6621.2499999999991</v>
      </c>
      <c r="J48" s="15"/>
      <c r="L48" s="17">
        <f>('TUSD BE'!$L$48+'TUSD BF'!$L$48+'TUSD CVA'!$L$48)*1</f>
        <v>0</v>
      </c>
      <c r="M48" s="17">
        <f>('TUSD BE'!$M$48+'TUSD BF'!$M$48+'TUSD CVA'!$M$48)*1</f>
        <v>1.4972555760151607</v>
      </c>
      <c r="N48" s="17">
        <f ca="1">('TUSD BE'!$N$48+'TUSD BF'!$N$48+'TUSD CVA'!$N$48)*1</f>
        <v>0</v>
      </c>
      <c r="O48" s="17">
        <f>('TUSD BE'!$O$48+'TUSD BF'!$O$48+'TUSD CVA'!$O$48)*1</f>
        <v>0</v>
      </c>
      <c r="P48" s="17">
        <f>('TUSD BE'!$P$48+'TUSD BF'!$P$48+'TUSD CVA'!$P$48)*1</f>
        <v>0</v>
      </c>
      <c r="Q48" s="17">
        <f>('TUSD BE'!$Q$48+'TUSD BF'!$Q$48+'TUSD CVA'!$Q$48)*1</f>
        <v>91.897625565041423</v>
      </c>
      <c r="R48" s="17">
        <f>('TUSD BE'!$R$48+'TUSD BF'!$R$48+'TUSD CVA'!$R$48)*1</f>
        <v>14.498212042235149</v>
      </c>
      <c r="S48" s="17">
        <f>('TUSD BE'!$S$48+'TUSD BF'!$S$48+'TUSD CVA'!$S$48)*1</f>
        <v>0</v>
      </c>
      <c r="T48" s="17">
        <f>('TUSD BE'!$U$48+'TUSD BF'!$U$48+'TUSD CVA'!$U$48)*1</f>
        <v>0</v>
      </c>
      <c r="U48" s="17">
        <f>('TUSD BE'!$V$48+'TUSD BF'!$V$48+'TUSD CVA'!$V$48)*1</f>
        <v>0</v>
      </c>
      <c r="V48" s="17">
        <f>('TUSD BE'!$W$48+'TUSD BF'!$W$48+'TUSD CVA'!$W$48)*1</f>
        <v>0</v>
      </c>
      <c r="W48" s="17">
        <f>('TUSD BE'!$X$48+'TUSD BF'!$X$48+'TUSD CVA'!$X$48)*1</f>
        <v>0</v>
      </c>
      <c r="X48" s="17">
        <f>('TUSD BE'!$Y$48+'TUSD BF'!$Y$48+'TUSD CVA'!$Y$48)*1</f>
        <v>102.17527942039068</v>
      </c>
      <c r="Y48" s="17">
        <f>('TUSD BE'!$Z$48+'TUSD BF'!$Z$48+'TUSD CVA'!$Z$48)*1</f>
        <v>0</v>
      </c>
      <c r="Z48" s="17">
        <f>('TUSD BE'!$AA$48+'TUSD BF'!$AA$48+'TUSD CVA'!$AA$48)*1</f>
        <v>0</v>
      </c>
      <c r="AA48" s="17">
        <f>('TUSD BE'!$AC$48+'TUSD BF'!$AC$48+'TUSD CVA'!$AC$48)*1</f>
        <v>186.54185701422193</v>
      </c>
      <c r="AB48" s="17">
        <f ca="1">('TUSD BE'!$AE$48+'TUSD BF'!$AE$48+'TUSD CVA'!$AE$48)*1</f>
        <v>0</v>
      </c>
      <c r="AC48" s="17">
        <f ca="1">('TUSD BE'!$AF$48+'TUSD BF'!$AF$48+'TUSD CVA'!$AF$48)*1</f>
        <v>0</v>
      </c>
      <c r="AD48" s="17">
        <f>('TUSD BE'!$AH$48+'TUSD BF'!$AH$48+'TUSD CVA'!$AH$48)*1</f>
        <v>19.064272922736382</v>
      </c>
      <c r="AE48" s="17">
        <f>('TUSD BE'!$AI$48+'TUSD BF'!$AI$48+'TUSD CVA'!$AI$48)*1</f>
        <v>0</v>
      </c>
      <c r="AF48" s="17">
        <f ca="1">('TUSD BE'!$AJ$48+'TUSD BF'!$AJ$48+'TUSD CVA'!$AJ$48)*1</f>
        <v>0</v>
      </c>
      <c r="AG48" s="17">
        <f ca="1">('TUSD BE'!$AK$48+'TUSD BF'!$AK$48+'TUSD CVA'!$AK$48)*1</f>
        <v>0</v>
      </c>
      <c r="AI48" s="17">
        <v>0</v>
      </c>
      <c r="AJ48" s="17">
        <v>1.3309441831322699</v>
      </c>
      <c r="AK48" s="17">
        <v>0</v>
      </c>
      <c r="AL48" s="17">
        <v>0</v>
      </c>
      <c r="AM48" s="17">
        <v>0</v>
      </c>
      <c r="AN48" s="17">
        <v>57.258275760274003</v>
      </c>
      <c r="AO48" s="17">
        <v>8.9131910561285501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107.04155539043001</v>
      </c>
      <c r="AV48" s="17">
        <v>0</v>
      </c>
      <c r="AW48" s="17">
        <v>0</v>
      </c>
      <c r="AX48" s="17">
        <v>184.56575259344601</v>
      </c>
      <c r="AY48" s="17">
        <v>0</v>
      </c>
      <c r="AZ48" s="17">
        <v>0</v>
      </c>
      <c r="BA48" s="17">
        <v>17.9048980109967</v>
      </c>
      <c r="BB48" s="17">
        <v>0</v>
      </c>
      <c r="BC48" s="17">
        <v>0</v>
      </c>
      <c r="BD48" s="17">
        <v>0</v>
      </c>
    </row>
    <row r="49" spans="1:56" ht="11.25" customHeight="1" x14ac:dyDescent="0.25">
      <c r="A49" s="94"/>
      <c r="B49" s="26" t="s">
        <v>87</v>
      </c>
      <c r="C49" s="26" t="s">
        <v>25</v>
      </c>
      <c r="D49" s="26" t="s">
        <v>25</v>
      </c>
      <c r="E49" s="26" t="s">
        <v>25</v>
      </c>
      <c r="F49" s="26" t="s">
        <v>25</v>
      </c>
      <c r="G49" s="27" t="s">
        <v>78</v>
      </c>
      <c r="H49" s="27" t="s">
        <v>72</v>
      </c>
      <c r="I49" s="27">
        <f>'MERCADO TUSD'!$U$46</f>
        <v>0</v>
      </c>
      <c r="J49" s="15"/>
      <c r="L49" s="17">
        <f>('TUSD BE'!$L$49+'TUSD BF'!$L$49+'TUSD CVA'!$L$49)*1</f>
        <v>0</v>
      </c>
      <c r="M49" s="17">
        <f>('TUSD BE'!$M$49+'TUSD BF'!$M$49+'TUSD CVA'!$M$49)*1</f>
        <v>1.4972555760151607</v>
      </c>
      <c r="N49" s="17">
        <f ca="1">('TUSD BE'!$N$49+'TUSD BF'!$N$49+'TUSD CVA'!$N$49)*1</f>
        <v>0</v>
      </c>
      <c r="O49" s="17">
        <f>('TUSD BE'!$O$49+'TUSD BF'!$O$49+'TUSD CVA'!$O$49)*1</f>
        <v>0</v>
      </c>
      <c r="P49" s="17">
        <f>('TUSD BE'!$P$49+'TUSD BF'!$P$49+'TUSD CVA'!$P$49)*1</f>
        <v>0</v>
      </c>
      <c r="Q49" s="17">
        <f>('TUSD BE'!$Q$49+'TUSD BF'!$Q$49+'TUSD CVA'!$Q$49)*1</f>
        <v>91.897625565041423</v>
      </c>
      <c r="R49" s="17">
        <f>('TUSD BE'!$R$49+'TUSD BF'!$R$49+'TUSD CVA'!$R$49)*1</f>
        <v>14.498212042235149</v>
      </c>
      <c r="S49" s="17">
        <f>('TUSD BE'!$S$49+'TUSD BF'!$S$49+'TUSD CVA'!$S$49)*1</f>
        <v>0</v>
      </c>
      <c r="T49" s="17">
        <f>('TUSD BE'!$U$49+'TUSD BF'!$U$49+'TUSD CVA'!$U$49)*1</f>
        <v>0</v>
      </c>
      <c r="U49" s="17">
        <f>('TUSD BE'!$V$49+'TUSD BF'!$V$49+'TUSD CVA'!$V$49)*1</f>
        <v>0</v>
      </c>
      <c r="V49" s="17">
        <f>('TUSD BE'!$W$49+'TUSD BF'!$W$49+'TUSD CVA'!$W$49)*1</f>
        <v>0</v>
      </c>
      <c r="W49" s="17">
        <f>('TUSD BE'!$X$49+'TUSD BF'!$X$49+'TUSD CVA'!$X$49)*1</f>
        <v>0</v>
      </c>
      <c r="X49" s="17">
        <f>('TUSD BE'!$Y$49+'TUSD BF'!$Y$49+'TUSD CVA'!$Y$49)*1</f>
        <v>102.17527942039068</v>
      </c>
      <c r="Y49" s="17">
        <f>('TUSD BE'!$Z$49+'TUSD BF'!$Z$49+'TUSD CVA'!$Z$49)*1</f>
        <v>0</v>
      </c>
      <c r="Z49" s="17">
        <f>('TUSD BE'!$AA$49+'TUSD BF'!$AA$49+'TUSD CVA'!$AA$49)*1</f>
        <v>0</v>
      </c>
      <c r="AA49" s="17">
        <f>('TUSD BE'!$AC$49+'TUSD BF'!$AC$49+'TUSD CVA'!$AC$49)*1</f>
        <v>186.54185701422193</v>
      </c>
      <c r="AB49" s="17">
        <f ca="1">('TUSD BE'!$AE$49+'TUSD BF'!$AE$49+'TUSD CVA'!$AE$49)*1</f>
        <v>0</v>
      </c>
      <c r="AC49" s="17">
        <f ca="1">('TUSD BE'!$AF$49+'TUSD BF'!$AF$49+'TUSD CVA'!$AF$49)*1</f>
        <v>0</v>
      </c>
      <c r="AD49" s="17">
        <f>('TUSD BE'!$AH$49+'TUSD BF'!$AH$49+'TUSD CVA'!$AH$49)*1</f>
        <v>19.064272922736382</v>
      </c>
      <c r="AE49" s="17">
        <f>('TUSD BE'!$AI$49+'TUSD BF'!$AI$49+'TUSD CVA'!$AI$49)*1</f>
        <v>0</v>
      </c>
      <c r="AF49" s="17">
        <f ca="1">('TUSD BE'!$AJ$49+'TUSD BF'!$AJ$49+'TUSD CVA'!$AJ$49)*1</f>
        <v>0</v>
      </c>
      <c r="AG49" s="17">
        <f ca="1">('TUSD BE'!$AK$49+'TUSD BF'!$AK$49+'TUSD CVA'!$AK$49)*1</f>
        <v>0</v>
      </c>
      <c r="AI49" s="17">
        <v>0</v>
      </c>
      <c r="AJ49" s="17">
        <v>1.3309441831322699</v>
      </c>
      <c r="AK49" s="17">
        <v>0</v>
      </c>
      <c r="AL49" s="17">
        <v>0</v>
      </c>
      <c r="AM49" s="17">
        <v>0</v>
      </c>
      <c r="AN49" s="17">
        <v>57.258275760274003</v>
      </c>
      <c r="AO49" s="17">
        <v>8.9131910561285501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107.04155539043001</v>
      </c>
      <c r="AV49" s="17">
        <v>0</v>
      </c>
      <c r="AW49" s="17">
        <v>0</v>
      </c>
      <c r="AX49" s="17">
        <v>184.56575259344601</v>
      </c>
      <c r="AY49" s="17">
        <v>0</v>
      </c>
      <c r="AZ49" s="17">
        <v>0</v>
      </c>
      <c r="BA49" s="17">
        <v>17.9048980109967</v>
      </c>
      <c r="BB49" s="17">
        <v>0</v>
      </c>
      <c r="BC49" s="17">
        <v>0</v>
      </c>
      <c r="BD49" s="17">
        <v>0</v>
      </c>
    </row>
    <row r="50" spans="1:56" ht="11.25" customHeight="1" x14ac:dyDescent="0.25">
      <c r="A50" s="94" t="s">
        <v>43</v>
      </c>
      <c r="B50" s="94" t="s">
        <v>23</v>
      </c>
      <c r="C50" s="94" t="s">
        <v>44</v>
      </c>
      <c r="D50" s="26" t="s">
        <v>45</v>
      </c>
      <c r="E50" s="26" t="s">
        <v>25</v>
      </c>
      <c r="F50" s="26" t="s">
        <v>25</v>
      </c>
      <c r="G50" s="27" t="s">
        <v>78</v>
      </c>
      <c r="H50" s="27" t="s">
        <v>72</v>
      </c>
      <c r="I50" s="27">
        <f>'MERCADO TUSD'!$U$47</f>
        <v>930.54300000000012</v>
      </c>
      <c r="J50" s="15"/>
      <c r="L50" s="17">
        <f>('TUSD BE'!$L$50+'TUSD BF'!$L$50+'TUSD CVA'!$L$50)*1</f>
        <v>0</v>
      </c>
      <c r="M50" s="17">
        <f>('TUSD BE'!$M$50+'TUSD BF'!$M$50+'TUSD CVA'!$M$50)*1</f>
        <v>0.82349056680833854</v>
      </c>
      <c r="N50" s="17">
        <f ca="1">('TUSD BE'!$N$50+'TUSD BF'!$N$50+'TUSD CVA'!$N$50)*1</f>
        <v>0</v>
      </c>
      <c r="O50" s="17">
        <f>('TUSD BE'!$O$50+'TUSD BF'!$O$50+'TUSD CVA'!$O$50)*1</f>
        <v>0</v>
      </c>
      <c r="P50" s="17">
        <f>('TUSD BE'!$P$50+'TUSD BF'!$P$50+'TUSD CVA'!$P$50)*1</f>
        <v>0</v>
      </c>
      <c r="Q50" s="17">
        <f>('TUSD BE'!$Q$50+'TUSD BF'!$Q$50+'TUSD CVA'!$Q$50)*1</f>
        <v>50.543694060772786</v>
      </c>
      <c r="R50" s="17">
        <f>('TUSD BE'!$R$50+'TUSD BF'!$R$50+'TUSD CVA'!$R$50)*1</f>
        <v>7.9740166232293319</v>
      </c>
      <c r="S50" s="17">
        <f>('TUSD BE'!$S$50+'TUSD BF'!$S$50+'TUSD CVA'!$S$50)*1</f>
        <v>0</v>
      </c>
      <c r="T50" s="17">
        <f>('TUSD BE'!$U$50+'TUSD BF'!$U$50+'TUSD CVA'!$U$50)*1</f>
        <v>0</v>
      </c>
      <c r="U50" s="17">
        <f>('TUSD BE'!$V$50+'TUSD BF'!$V$50+'TUSD CVA'!$V$50)*1</f>
        <v>0</v>
      </c>
      <c r="V50" s="17">
        <f>('TUSD BE'!$W$50+'TUSD BF'!$W$50+'TUSD CVA'!$W$50)*1</f>
        <v>0</v>
      </c>
      <c r="W50" s="17">
        <f>('TUSD BE'!$X$50+'TUSD BF'!$X$50+'TUSD CVA'!$X$50)*1</f>
        <v>0</v>
      </c>
      <c r="X50" s="17">
        <f>('TUSD BE'!$Y$50+'TUSD BF'!$Y$50+'TUSD CVA'!$Y$50)*1</f>
        <v>56.196403681214882</v>
      </c>
      <c r="Y50" s="17">
        <f>('TUSD BE'!$Z$50+'TUSD BF'!$Z$50+'TUSD CVA'!$Z$50)*1</f>
        <v>0</v>
      </c>
      <c r="Z50" s="17">
        <f>('TUSD BE'!$AA$50+'TUSD BF'!$AA$50+'TUSD CVA'!$AA$50)*1</f>
        <v>0</v>
      </c>
      <c r="AA50" s="17">
        <f>('TUSD BE'!$AC$50+'TUSD BF'!$AC$50+'TUSD CVA'!$AC$50)*1</f>
        <v>102.59802135782206</v>
      </c>
      <c r="AB50" s="17">
        <f ca="1">('TUSD BE'!$AE$50+'TUSD BF'!$AE$50+'TUSD CVA'!$AE$50)*1</f>
        <v>0</v>
      </c>
      <c r="AC50" s="17">
        <f ca="1">('TUSD BE'!$AF$50+'TUSD BF'!$AF$50+'TUSD CVA'!$AF$50)*1</f>
        <v>0</v>
      </c>
      <c r="AD50" s="17">
        <f>('TUSD BE'!$AH$50+'TUSD BF'!$AH$50+'TUSD CVA'!$AH$50)*1</f>
        <v>10.485350107505012</v>
      </c>
      <c r="AE50" s="17">
        <f>('TUSD BE'!$AI$50+'TUSD BF'!$AI$50+'TUSD CVA'!$AI$50)*1</f>
        <v>0</v>
      </c>
      <c r="AF50" s="17">
        <f ca="1">('TUSD BE'!$AJ$50+'TUSD BF'!$AJ$50+'TUSD CVA'!$AJ$50)*1</f>
        <v>0</v>
      </c>
      <c r="AG50" s="17">
        <f ca="1">('TUSD BE'!$AK$50+'TUSD BF'!$AK$50+'TUSD CVA'!$AK$50)*1</f>
        <v>0</v>
      </c>
      <c r="AI50" s="17">
        <v>0</v>
      </c>
      <c r="AJ50" s="17">
        <v>0.73201930072274701</v>
      </c>
      <c r="AK50" s="17">
        <v>0</v>
      </c>
      <c r="AL50" s="17">
        <v>0</v>
      </c>
      <c r="AM50" s="17">
        <v>0</v>
      </c>
      <c r="AN50" s="17">
        <v>31.492051668150701</v>
      </c>
      <c r="AO50" s="17">
        <v>4.9022550808706997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58.872855464736503</v>
      </c>
      <c r="AV50" s="17">
        <v>0</v>
      </c>
      <c r="AW50" s="17">
        <v>0</v>
      </c>
      <c r="AX50" s="17">
        <v>101.511163926395</v>
      </c>
      <c r="AY50" s="17">
        <v>0</v>
      </c>
      <c r="AZ50" s="17">
        <v>0</v>
      </c>
      <c r="BA50" s="17">
        <v>9.8476939060481694</v>
      </c>
      <c r="BB50" s="17">
        <v>0</v>
      </c>
      <c r="BC50" s="17">
        <v>0</v>
      </c>
      <c r="BD50" s="17">
        <v>0</v>
      </c>
    </row>
    <row r="51" spans="1:56" ht="11.25" customHeight="1" x14ac:dyDescent="0.25">
      <c r="A51" s="94"/>
      <c r="B51" s="94"/>
      <c r="C51" s="94"/>
      <c r="D51" s="27" t="s">
        <v>90</v>
      </c>
      <c r="E51" s="27" t="s">
        <v>25</v>
      </c>
      <c r="F51" s="27" t="s">
        <v>25</v>
      </c>
      <c r="G51" s="27" t="s">
        <v>78</v>
      </c>
      <c r="H51" s="27" t="s">
        <v>72</v>
      </c>
      <c r="I51" s="27">
        <f>'MERCADO TUSD'!$U$48</f>
        <v>0</v>
      </c>
      <c r="J51" s="15"/>
      <c r="L51" s="17">
        <f>('TUSD BE'!$L$51+'TUSD BF'!$L$51+'TUSD CVA'!$L$51)*1</f>
        <v>0</v>
      </c>
      <c r="M51" s="17">
        <f>('TUSD BE'!$M$51+'TUSD BF'!$M$51+'TUSD CVA'!$M$51)*1</f>
        <v>0.89835334560909641</v>
      </c>
      <c r="N51" s="17">
        <f ca="1">('TUSD BE'!$N$51+'TUSD BF'!$N$51+'TUSD CVA'!$N$51)*1</f>
        <v>0</v>
      </c>
      <c r="O51" s="17">
        <f>('TUSD BE'!$O$51+'TUSD BF'!$O$51+'TUSD CVA'!$O$51)*1</f>
        <v>0</v>
      </c>
      <c r="P51" s="17">
        <f>('TUSD BE'!$P$51+'TUSD BF'!$P$51+'TUSD CVA'!$P$51)*1</f>
        <v>0</v>
      </c>
      <c r="Q51" s="17">
        <f>('TUSD BE'!$Q$51+'TUSD BF'!$Q$51+'TUSD CVA'!$Q$51)*1</f>
        <v>55.138575339024854</v>
      </c>
      <c r="R51" s="17">
        <f>('TUSD BE'!$R$51+'TUSD BF'!$R$51+'TUSD CVA'!$R$51)*1</f>
        <v>8.6989272253410892</v>
      </c>
      <c r="S51" s="17">
        <f>('TUSD BE'!$S$51+'TUSD BF'!$S$51+'TUSD CVA'!$S$51)*1</f>
        <v>0</v>
      </c>
      <c r="T51" s="17">
        <f>('TUSD BE'!$U$51+'TUSD BF'!$U$51+'TUSD CVA'!$U$51)*1</f>
        <v>0</v>
      </c>
      <c r="U51" s="17">
        <f>('TUSD BE'!$V$51+'TUSD BF'!$V$51+'TUSD CVA'!$V$51)*1</f>
        <v>0</v>
      </c>
      <c r="V51" s="17">
        <f>('TUSD BE'!$W$51+'TUSD BF'!$W$51+'TUSD CVA'!$W$51)*1</f>
        <v>0</v>
      </c>
      <c r="W51" s="17">
        <f>('TUSD BE'!$X$51+'TUSD BF'!$X$51+'TUSD CVA'!$X$51)*1</f>
        <v>0</v>
      </c>
      <c r="X51" s="17">
        <f>('TUSD BE'!$Y$51+'TUSD BF'!$Y$51+'TUSD CVA'!$Y$51)*1</f>
        <v>61.305167652234417</v>
      </c>
      <c r="Y51" s="17">
        <f>('TUSD BE'!$Z$51+'TUSD BF'!$Z$51+'TUSD CVA'!$Z$51)*1</f>
        <v>0</v>
      </c>
      <c r="Z51" s="17">
        <f>('TUSD BE'!$AA$51+'TUSD BF'!$AA$51+'TUSD CVA'!$AA$51)*1</f>
        <v>0</v>
      </c>
      <c r="AA51" s="17">
        <f>('TUSD BE'!$AC$51+'TUSD BF'!$AC$51+'TUSD CVA'!$AC$51)*1</f>
        <v>111.92511420853316</v>
      </c>
      <c r="AB51" s="17">
        <f ca="1">('TUSD BE'!$AE$51+'TUSD BF'!$AE$51+'TUSD CVA'!$AE$51)*1</f>
        <v>0</v>
      </c>
      <c r="AC51" s="17">
        <f ca="1">('TUSD BE'!$AF$51+'TUSD BF'!$AF$51+'TUSD CVA'!$AF$51)*1</f>
        <v>0</v>
      </c>
      <c r="AD51" s="17">
        <f>('TUSD BE'!$AH$51+'TUSD BF'!$AH$51+'TUSD CVA'!$AH$51)*1</f>
        <v>11.438563753641828</v>
      </c>
      <c r="AE51" s="17">
        <f>('TUSD BE'!$AI$51+'TUSD BF'!$AI$51+'TUSD CVA'!$AI$51)*1</f>
        <v>0</v>
      </c>
      <c r="AF51" s="17">
        <f ca="1">('TUSD BE'!$AJ$51+'TUSD BF'!$AJ$51+'TUSD CVA'!$AJ$51)*1</f>
        <v>0</v>
      </c>
      <c r="AG51" s="17">
        <f ca="1">('TUSD BE'!$AK$51+'TUSD BF'!$AK$51+'TUSD CVA'!$AK$51)*1</f>
        <v>0</v>
      </c>
      <c r="AI51" s="17">
        <v>0</v>
      </c>
      <c r="AJ51" s="17">
        <v>0.79856650987935995</v>
      </c>
      <c r="AK51" s="17">
        <v>0</v>
      </c>
      <c r="AL51" s="17">
        <v>0</v>
      </c>
      <c r="AM51" s="17">
        <v>0</v>
      </c>
      <c r="AN51" s="17">
        <v>34.3549654561644</v>
      </c>
      <c r="AO51" s="17">
        <v>5.3479146336771297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64.224933234258003</v>
      </c>
      <c r="AV51" s="17">
        <v>0</v>
      </c>
      <c r="AW51" s="17">
        <v>0</v>
      </c>
      <c r="AX51" s="17">
        <v>110.739451556068</v>
      </c>
      <c r="AY51" s="17">
        <v>0</v>
      </c>
      <c r="AZ51" s="17">
        <v>0</v>
      </c>
      <c r="BA51" s="17">
        <v>10.742938806598</v>
      </c>
      <c r="BB51" s="17">
        <v>0</v>
      </c>
      <c r="BC51" s="17">
        <v>0</v>
      </c>
      <c r="BD51" s="17">
        <v>0</v>
      </c>
    </row>
    <row r="53" spans="1:56" ht="11.25" customHeight="1" x14ac:dyDescent="0.25">
      <c r="L53" s="96" t="s">
        <v>688</v>
      </c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I53" s="96" t="s">
        <v>689</v>
      </c>
      <c r="AJ53" s="96"/>
      <c r="AK53" s="96"/>
      <c r="AL53" s="96"/>
      <c r="AM53" s="96"/>
      <c r="AN53" s="96"/>
      <c r="AO53" s="96"/>
      <c r="AP53" s="96"/>
      <c r="AQ53" s="96"/>
      <c r="AR53" s="96"/>
      <c r="AS53" s="96"/>
      <c r="AT53" s="96"/>
      <c r="AU53" s="96"/>
      <c r="AV53" s="96"/>
      <c r="AW53" s="96"/>
      <c r="AX53" s="96"/>
      <c r="AY53" s="96"/>
      <c r="AZ53" s="96"/>
      <c r="BA53" s="96"/>
      <c r="BB53" s="96"/>
      <c r="BC53" s="96"/>
      <c r="BD53" s="96"/>
    </row>
    <row r="54" spans="1:56" ht="11.25" customHeight="1" x14ac:dyDescent="0.25">
      <c r="L54" s="96" t="s">
        <v>386</v>
      </c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  <c r="AG54" s="96"/>
      <c r="AI54" s="96" t="s">
        <v>386</v>
      </c>
      <c r="AJ54" s="96"/>
      <c r="AK54" s="96"/>
      <c r="AL54" s="96"/>
      <c r="AM54" s="96"/>
      <c r="AN54" s="96"/>
      <c r="AO54" s="96"/>
      <c r="AP54" s="96"/>
      <c r="AQ54" s="96"/>
      <c r="AR54" s="96"/>
      <c r="AS54" s="96"/>
      <c r="AT54" s="96"/>
      <c r="AU54" s="96"/>
      <c r="AV54" s="96"/>
      <c r="AW54" s="96"/>
      <c r="AX54" s="96"/>
      <c r="AY54" s="96"/>
      <c r="AZ54" s="96"/>
      <c r="BA54" s="96"/>
      <c r="BB54" s="96"/>
      <c r="BC54" s="96"/>
      <c r="BD54" s="96"/>
    </row>
    <row r="55" spans="1:56" ht="11.25" customHeight="1" x14ac:dyDescent="0.25">
      <c r="L55" s="96" t="s">
        <v>387</v>
      </c>
      <c r="M55" s="96"/>
      <c r="N55" s="96"/>
      <c r="O55" s="96"/>
      <c r="P55" s="96"/>
      <c r="Q55" s="96"/>
      <c r="R55" s="96"/>
      <c r="S55" s="96"/>
      <c r="T55" s="96" t="s">
        <v>396</v>
      </c>
      <c r="U55" s="96"/>
      <c r="V55" s="96"/>
      <c r="W55" s="96"/>
      <c r="X55" s="96"/>
      <c r="Y55" s="96"/>
      <c r="Z55" s="96"/>
      <c r="AA55" s="25" t="s">
        <v>404</v>
      </c>
      <c r="AB55" s="96" t="s">
        <v>406</v>
      </c>
      <c r="AC55" s="96"/>
      <c r="AD55" s="96" t="s">
        <v>409</v>
      </c>
      <c r="AE55" s="96"/>
      <c r="AF55" s="96"/>
      <c r="AG55" s="96"/>
      <c r="AI55" s="96" t="s">
        <v>387</v>
      </c>
      <c r="AJ55" s="96"/>
      <c r="AK55" s="96"/>
      <c r="AL55" s="96"/>
      <c r="AM55" s="96"/>
      <c r="AN55" s="96"/>
      <c r="AO55" s="96"/>
      <c r="AP55" s="96"/>
      <c r="AQ55" s="96" t="s">
        <v>396</v>
      </c>
      <c r="AR55" s="96"/>
      <c r="AS55" s="96"/>
      <c r="AT55" s="96"/>
      <c r="AU55" s="96"/>
      <c r="AV55" s="96"/>
      <c r="AW55" s="96"/>
      <c r="AX55" s="25" t="s">
        <v>404</v>
      </c>
      <c r="AY55" s="96" t="s">
        <v>406</v>
      </c>
      <c r="AZ55" s="96"/>
      <c r="BA55" s="96" t="s">
        <v>409</v>
      </c>
      <c r="BB55" s="96"/>
      <c r="BC55" s="96"/>
      <c r="BD55" s="96"/>
    </row>
    <row r="56" spans="1:56" ht="11.25" customHeight="1" x14ac:dyDescent="0.25">
      <c r="L56" s="25" t="s">
        <v>472</v>
      </c>
      <c r="M56" s="25" t="s">
        <v>388</v>
      </c>
      <c r="N56" s="25" t="s">
        <v>389</v>
      </c>
      <c r="O56" s="25" t="s">
        <v>390</v>
      </c>
      <c r="P56" s="25" t="s">
        <v>391</v>
      </c>
      <c r="Q56" s="25" t="s">
        <v>392</v>
      </c>
      <c r="R56" s="25" t="s">
        <v>393</v>
      </c>
      <c r="S56" s="25" t="s">
        <v>394</v>
      </c>
      <c r="T56" s="25" t="s">
        <v>397</v>
      </c>
      <c r="U56" s="25" t="s">
        <v>398</v>
      </c>
      <c r="V56" s="25" t="s">
        <v>399</v>
      </c>
      <c r="W56" s="25" t="s">
        <v>400</v>
      </c>
      <c r="X56" s="25" t="s">
        <v>401</v>
      </c>
      <c r="Y56" s="25" t="s">
        <v>402</v>
      </c>
      <c r="Z56" s="25" t="s">
        <v>403</v>
      </c>
      <c r="AA56" s="25" t="s">
        <v>405</v>
      </c>
      <c r="AB56" s="25" t="s">
        <v>407</v>
      </c>
      <c r="AC56" s="25" t="s">
        <v>408</v>
      </c>
      <c r="AD56" s="25" t="s">
        <v>410</v>
      </c>
      <c r="AE56" s="25" t="s">
        <v>411</v>
      </c>
      <c r="AF56" s="25" t="s">
        <v>412</v>
      </c>
      <c r="AG56" s="25" t="s">
        <v>413</v>
      </c>
      <c r="AI56" s="25" t="s">
        <v>472</v>
      </c>
      <c r="AJ56" s="25" t="s">
        <v>388</v>
      </c>
      <c r="AK56" s="25" t="s">
        <v>389</v>
      </c>
      <c r="AL56" s="25" t="s">
        <v>390</v>
      </c>
      <c r="AM56" s="25" t="s">
        <v>391</v>
      </c>
      <c r="AN56" s="25" t="s">
        <v>392</v>
      </c>
      <c r="AO56" s="25" t="s">
        <v>393</v>
      </c>
      <c r="AP56" s="25" t="s">
        <v>394</v>
      </c>
      <c r="AQ56" s="25" t="s">
        <v>397</v>
      </c>
      <c r="AR56" s="25" t="s">
        <v>398</v>
      </c>
      <c r="AS56" s="25" t="s">
        <v>399</v>
      </c>
      <c r="AT56" s="25" t="s">
        <v>400</v>
      </c>
      <c r="AU56" s="25" t="s">
        <v>401</v>
      </c>
      <c r="AV56" s="25" t="s">
        <v>402</v>
      </c>
      <c r="AW56" s="25" t="s">
        <v>403</v>
      </c>
      <c r="AX56" s="25" t="s">
        <v>405</v>
      </c>
      <c r="AY56" s="25" t="s">
        <v>407</v>
      </c>
      <c r="AZ56" s="25" t="s">
        <v>408</v>
      </c>
      <c r="BA56" s="25" t="s">
        <v>410</v>
      </c>
      <c r="BB56" s="25" t="s">
        <v>411</v>
      </c>
      <c r="BC56" s="25" t="s">
        <v>412</v>
      </c>
      <c r="BD56" s="25" t="s">
        <v>413</v>
      </c>
    </row>
    <row r="57" spans="1:56" ht="11.25" customHeight="1" x14ac:dyDescent="0.25">
      <c r="A57" s="9" t="s">
        <v>35</v>
      </c>
      <c r="B57" s="9" t="s">
        <v>690</v>
      </c>
      <c r="C57" s="9" t="s">
        <v>691</v>
      </c>
      <c r="D57" s="9" t="s">
        <v>692</v>
      </c>
      <c r="E57" s="9" t="s">
        <v>693</v>
      </c>
      <c r="F57" s="9" t="s">
        <v>694</v>
      </c>
      <c r="G57" s="9" t="s">
        <v>695</v>
      </c>
      <c r="L57" s="17">
        <f>$I$5*$L$5</f>
        <v>0</v>
      </c>
      <c r="M57" s="17">
        <f>$I$5*$M$5</f>
        <v>0</v>
      </c>
      <c r="N57" s="17">
        <f ca="1">$I$5*$N$5</f>
        <v>0</v>
      </c>
      <c r="O57" s="17">
        <f>$I$5*$O$5</f>
        <v>0</v>
      </c>
      <c r="P57" s="17">
        <f>$I$5*$P$5</f>
        <v>0</v>
      </c>
      <c r="Q57" s="17">
        <f>$I$5*$Q$5</f>
        <v>0</v>
      </c>
      <c r="R57" s="17">
        <f>$I$5*$R$5</f>
        <v>0</v>
      </c>
      <c r="S57" s="17">
        <f>$I$5*$S$5</f>
        <v>0</v>
      </c>
      <c r="T57" s="17">
        <f>$I$5*$T$5</f>
        <v>0</v>
      </c>
      <c r="U57" s="17">
        <f>$I$5*$U$5</f>
        <v>0</v>
      </c>
      <c r="V57" s="17">
        <f>$I$5*$V$5</f>
        <v>0</v>
      </c>
      <c r="W57" s="17">
        <f>$I$5*$W$5</f>
        <v>0</v>
      </c>
      <c r="X57" s="17">
        <f>$I$5*$X$5</f>
        <v>182080.62631235732</v>
      </c>
      <c r="Y57" s="17">
        <f>$I$5*$Y$5</f>
        <v>0</v>
      </c>
      <c r="Z57" s="17">
        <f>$I$5*$Z$5</f>
        <v>0</v>
      </c>
      <c r="AA57" s="17">
        <f>$I$5*$AA$5</f>
        <v>260462.66022034473</v>
      </c>
      <c r="AB57" s="17">
        <f ca="1">$I$5*$AB$5</f>
        <v>0</v>
      </c>
      <c r="AC57" s="17">
        <f ca="1">$I$5*$AC$5</f>
        <v>0</v>
      </c>
      <c r="AD57" s="17">
        <f>$I$5*$AD$5</f>
        <v>0</v>
      </c>
      <c r="AE57" s="17">
        <f>$I$5*$AE$5</f>
        <v>0</v>
      </c>
      <c r="AF57" s="17">
        <f ca="1">$I$5*$AF$5</f>
        <v>0</v>
      </c>
      <c r="AG57" s="17">
        <f ca="1">$I$5*$AG$5</f>
        <v>0</v>
      </c>
      <c r="AI57" s="17">
        <f>$I$5*$AI$5</f>
        <v>0</v>
      </c>
      <c r="AJ57" s="17">
        <f>$I$5*$AJ$5</f>
        <v>0</v>
      </c>
      <c r="AK57" s="17">
        <f>$I$5*$AK$5</f>
        <v>0</v>
      </c>
      <c r="AL57" s="17">
        <f>$I$5*$AL$5</f>
        <v>0</v>
      </c>
      <c r="AM57" s="17">
        <f>$I$5*$AM$5</f>
        <v>0</v>
      </c>
      <c r="AN57" s="17">
        <f>$I$5*$AN$5</f>
        <v>0</v>
      </c>
      <c r="AO57" s="17">
        <f>$I$5*$AO$5</f>
        <v>0</v>
      </c>
      <c r="AP57" s="17">
        <f>$I$5*$AP$5</f>
        <v>0</v>
      </c>
      <c r="AQ57" s="17">
        <f>$I$5*$AQ$5</f>
        <v>0</v>
      </c>
      <c r="AR57" s="17">
        <f>$I$5*$AR$5</f>
        <v>0</v>
      </c>
      <c r="AS57" s="17">
        <f>$I$5*$AS$5</f>
        <v>0</v>
      </c>
      <c r="AT57" s="17">
        <f>$I$5*$AT$5</f>
        <v>0</v>
      </c>
      <c r="AU57" s="17">
        <f>$I$5*$AU$5</f>
        <v>190752.31009505485</v>
      </c>
      <c r="AV57" s="17">
        <f>$I$5*$AV$5</f>
        <v>0</v>
      </c>
      <c r="AW57" s="17">
        <f>$I$5*$AW$5</f>
        <v>0</v>
      </c>
      <c r="AX57" s="17">
        <f>$I$5*$AX$5</f>
        <v>257703.34356868642</v>
      </c>
      <c r="AY57" s="17">
        <f>$I$5*$AY$5</f>
        <v>0</v>
      </c>
      <c r="AZ57" s="17">
        <f>$I$5*$AZ$5</f>
        <v>0</v>
      </c>
      <c r="BA57" s="17">
        <f>$I$5*$BA$5</f>
        <v>0</v>
      </c>
      <c r="BB57" s="17">
        <f>$I$5*$BB$5</f>
        <v>0</v>
      </c>
      <c r="BC57" s="17">
        <f>$I$5*$BC$5</f>
        <v>0</v>
      </c>
      <c r="BD57" s="17">
        <f>$I$5*$BD$5</f>
        <v>0</v>
      </c>
    </row>
    <row r="58" spans="1:56" ht="11.25" customHeight="1" x14ac:dyDescent="0.25">
      <c r="A58" s="9" t="s">
        <v>35</v>
      </c>
      <c r="B58" s="9" t="s">
        <v>690</v>
      </c>
      <c r="C58" s="9" t="s">
        <v>691</v>
      </c>
      <c r="D58" s="9" t="s">
        <v>692</v>
      </c>
      <c r="E58" s="9" t="s">
        <v>693</v>
      </c>
      <c r="F58" s="9" t="s">
        <v>694</v>
      </c>
      <c r="G58" s="9" t="s">
        <v>696</v>
      </c>
      <c r="L58" s="17">
        <f>$I$6*$L$6</f>
        <v>0</v>
      </c>
      <c r="M58" s="17">
        <f>$I$6*$M$6</f>
        <v>0</v>
      </c>
      <c r="N58" s="17">
        <f ca="1">$I$6*$N$6</f>
        <v>0</v>
      </c>
      <c r="O58" s="17">
        <f>$I$6*$O$6</f>
        <v>0</v>
      </c>
      <c r="P58" s="17">
        <f>$I$6*$P$6</f>
        <v>0</v>
      </c>
      <c r="Q58" s="17">
        <f>$I$6*$Q$6</f>
        <v>0</v>
      </c>
      <c r="R58" s="17">
        <f>$I$6*$R$6</f>
        <v>0</v>
      </c>
      <c r="S58" s="17">
        <f>$I$6*$S$6</f>
        <v>0</v>
      </c>
      <c r="T58" s="17">
        <f>$I$6*$T$6</f>
        <v>0</v>
      </c>
      <c r="U58" s="17">
        <f>$I$6*$U$6</f>
        <v>0</v>
      </c>
      <c r="V58" s="17">
        <f>$I$6*$V$6</f>
        <v>0</v>
      </c>
      <c r="W58" s="17">
        <f>$I$6*$W$6</f>
        <v>0</v>
      </c>
      <c r="X58" s="17">
        <f>$I$6*$X$6</f>
        <v>73582.064153731713</v>
      </c>
      <c r="Y58" s="17">
        <f>$I$6*$Y$6</f>
        <v>0</v>
      </c>
      <c r="Z58" s="17">
        <f>$I$6*$Z$6</f>
        <v>0</v>
      </c>
      <c r="AA58" s="17">
        <f>$I$6*$AA$6</f>
        <v>72769.561032358964</v>
      </c>
      <c r="AB58" s="17">
        <f ca="1">$I$6*$AB$6</f>
        <v>0</v>
      </c>
      <c r="AC58" s="17">
        <f ca="1">$I$6*$AC$6</f>
        <v>0</v>
      </c>
      <c r="AD58" s="17">
        <f>$I$6*$AD$6</f>
        <v>0</v>
      </c>
      <c r="AE58" s="17">
        <f>$I$6*$AE$6</f>
        <v>0</v>
      </c>
      <c r="AF58" s="17">
        <f ca="1">$I$6*$AF$6</f>
        <v>0</v>
      </c>
      <c r="AG58" s="17">
        <f ca="1">$I$6*$AG$6</f>
        <v>0</v>
      </c>
      <c r="AI58" s="17">
        <f>$I$6*$AI$6</f>
        <v>0</v>
      </c>
      <c r="AJ58" s="17">
        <f>$I$6*$AJ$6</f>
        <v>0</v>
      </c>
      <c r="AK58" s="17">
        <f>$I$6*$AK$6</f>
        <v>0</v>
      </c>
      <c r="AL58" s="17">
        <f>$I$6*$AL$6</f>
        <v>0</v>
      </c>
      <c r="AM58" s="17">
        <f>$I$6*$AM$6</f>
        <v>0</v>
      </c>
      <c r="AN58" s="17">
        <f>$I$6*$AN$6</f>
        <v>0</v>
      </c>
      <c r="AO58" s="17">
        <f>$I$6*$AO$6</f>
        <v>0</v>
      </c>
      <c r="AP58" s="17">
        <f>$I$6*$AP$6</f>
        <v>0</v>
      </c>
      <c r="AQ58" s="17">
        <f>$I$6*$AQ$6</f>
        <v>0</v>
      </c>
      <c r="AR58" s="17">
        <f>$I$6*$AR$6</f>
        <v>0</v>
      </c>
      <c r="AS58" s="17">
        <f>$I$6*$AS$6</f>
        <v>0</v>
      </c>
      <c r="AT58" s="17">
        <f>$I$6*$AT$6</f>
        <v>0</v>
      </c>
      <c r="AU58" s="17">
        <f>$I$6*$AU$6</f>
        <v>77086.38232897401</v>
      </c>
      <c r="AV58" s="17">
        <f>$I$6*$AV$6</f>
        <v>0</v>
      </c>
      <c r="AW58" s="17">
        <f>$I$6*$AW$6</f>
        <v>0</v>
      </c>
      <c r="AX58" s="17">
        <f>$I$6*$AX$6</f>
        <v>71998.61308963511</v>
      </c>
      <c r="AY58" s="17">
        <f>$I$6*$AY$6</f>
        <v>0</v>
      </c>
      <c r="AZ58" s="17">
        <f>$I$6*$AZ$6</f>
        <v>0</v>
      </c>
      <c r="BA58" s="17">
        <f>$I$6*$BA$6</f>
        <v>0</v>
      </c>
      <c r="BB58" s="17">
        <f>$I$6*$BB$6</f>
        <v>0</v>
      </c>
      <c r="BC58" s="17">
        <f>$I$6*$BC$6</f>
        <v>0</v>
      </c>
      <c r="BD58" s="17">
        <f>$I$6*$BD$6</f>
        <v>0</v>
      </c>
    </row>
    <row r="59" spans="1:56" ht="11.25" customHeight="1" x14ac:dyDescent="0.25">
      <c r="A59" s="9" t="s">
        <v>35</v>
      </c>
      <c r="B59" s="9" t="s">
        <v>690</v>
      </c>
      <c r="C59" s="9" t="s">
        <v>691</v>
      </c>
      <c r="D59" s="9" t="s">
        <v>692</v>
      </c>
      <c r="E59" s="9" t="s">
        <v>693</v>
      </c>
      <c r="F59" s="9" t="s">
        <v>694</v>
      </c>
      <c r="G59" s="9" t="s">
        <v>697</v>
      </c>
      <c r="L59" s="17">
        <f>$I$7*$L$7</f>
        <v>0</v>
      </c>
      <c r="M59" s="17">
        <f>$I$7*$M$7</f>
        <v>2252.9523877729421</v>
      </c>
      <c r="N59" s="17">
        <f ca="1">$I$7*$N$7</f>
        <v>0</v>
      </c>
      <c r="O59" s="17">
        <f>$I$7*$O$7</f>
        <v>0</v>
      </c>
      <c r="P59" s="17">
        <f>$I$7*$P$7</f>
        <v>0</v>
      </c>
      <c r="Q59" s="17">
        <f>$I$7*$Q$7</f>
        <v>218786.80124046173</v>
      </c>
      <c r="R59" s="17">
        <f>$I$7*$R$7</f>
        <v>41091.499487856796</v>
      </c>
      <c r="S59" s="17">
        <f>$I$7*$S$7</f>
        <v>0</v>
      </c>
      <c r="T59" s="17">
        <f>$I$7*$T$7</f>
        <v>0</v>
      </c>
      <c r="U59" s="17">
        <f>$I$7*$U$7</f>
        <v>0</v>
      </c>
      <c r="V59" s="17">
        <f>$I$7*$V$7</f>
        <v>0</v>
      </c>
      <c r="W59" s="17">
        <f>$I$7*$W$7</f>
        <v>0</v>
      </c>
      <c r="X59" s="17">
        <f>$I$7*$X$7</f>
        <v>0</v>
      </c>
      <c r="Y59" s="17">
        <f>$I$7*$Y$7</f>
        <v>0</v>
      </c>
      <c r="Z59" s="17">
        <f>$I$7*$Z$7</f>
        <v>0</v>
      </c>
      <c r="AA59" s="17">
        <f>$I$7*$AA$7</f>
        <v>0</v>
      </c>
      <c r="AB59" s="17">
        <f ca="1">$I$7*$AB$7</f>
        <v>0</v>
      </c>
      <c r="AC59" s="17">
        <f ca="1">$I$7*$AC$7</f>
        <v>0</v>
      </c>
      <c r="AD59" s="17">
        <f>$I$7*$AD$7</f>
        <v>20861.832118714101</v>
      </c>
      <c r="AE59" s="17">
        <f>$I$7*$AE$7</f>
        <v>0</v>
      </c>
      <c r="AF59" s="17">
        <f ca="1">$I$7*$AF$7</f>
        <v>0</v>
      </c>
      <c r="AG59" s="17">
        <f ca="1">$I$7*$AG$7</f>
        <v>0</v>
      </c>
      <c r="AI59" s="17">
        <f>$I$7*$AI$7</f>
        <v>0</v>
      </c>
      <c r="AJ59" s="17">
        <f>$I$7*$AJ$7</f>
        <v>1633.9959051471551</v>
      </c>
      <c r="AK59" s="17">
        <f>$I$7*$AK$7</f>
        <v>0</v>
      </c>
      <c r="AL59" s="17">
        <f>$I$7*$AL$7</f>
        <v>0</v>
      </c>
      <c r="AM59" s="17">
        <f>$I$7*$AM$7</f>
        <v>0</v>
      </c>
      <c r="AN59" s="17">
        <f>$I$7*$AN$7</f>
        <v>141187.11396519432</v>
      </c>
      <c r="AO59" s="17">
        <f>$I$7*$AO$7</f>
        <v>25262.176098068114</v>
      </c>
      <c r="AP59" s="17">
        <f>$I$7*$AP$7</f>
        <v>0</v>
      </c>
      <c r="AQ59" s="17">
        <f>$I$7*$AQ$7</f>
        <v>0</v>
      </c>
      <c r="AR59" s="17">
        <f>$I$7*$AR$7</f>
        <v>0</v>
      </c>
      <c r="AS59" s="17">
        <f>$I$7*$AS$7</f>
        <v>0</v>
      </c>
      <c r="AT59" s="17">
        <f>$I$7*$AT$7</f>
        <v>0</v>
      </c>
      <c r="AU59" s="17">
        <f>$I$7*$AU$7</f>
        <v>0</v>
      </c>
      <c r="AV59" s="17">
        <f>$I$7*$AV$7</f>
        <v>0</v>
      </c>
      <c r="AW59" s="17">
        <f>$I$7*$AW$7</f>
        <v>0</v>
      </c>
      <c r="AX59" s="17">
        <f>$I$7*$AX$7</f>
        <v>0</v>
      </c>
      <c r="AY59" s="17">
        <f>$I$7*$AY$7</f>
        <v>0</v>
      </c>
      <c r="AZ59" s="17">
        <f>$I$7*$AZ$7</f>
        <v>0</v>
      </c>
      <c r="BA59" s="17">
        <f>$I$7*$BA$7</f>
        <v>19593.02476382289</v>
      </c>
      <c r="BB59" s="17">
        <f>$I$7*$BB$7</f>
        <v>0</v>
      </c>
      <c r="BC59" s="17">
        <f>$I$7*$BC$7</f>
        <v>0</v>
      </c>
      <c r="BD59" s="17">
        <f>$I$7*$BD$7</f>
        <v>0</v>
      </c>
    </row>
    <row r="60" spans="1:56" ht="11.25" customHeight="1" x14ac:dyDescent="0.25">
      <c r="A60" s="9" t="s">
        <v>35</v>
      </c>
      <c r="B60" s="9" t="s">
        <v>690</v>
      </c>
      <c r="C60" s="9" t="s">
        <v>691</v>
      </c>
      <c r="D60" s="9" t="s">
        <v>692</v>
      </c>
      <c r="E60" s="9" t="s">
        <v>698</v>
      </c>
      <c r="F60" s="9" t="s">
        <v>699</v>
      </c>
      <c r="G60" s="9" t="s">
        <v>700</v>
      </c>
      <c r="L60" s="17">
        <f>$I$8*$L$8</f>
        <v>0</v>
      </c>
      <c r="M60" s="17">
        <f>$I$8*$M$8</f>
        <v>0</v>
      </c>
      <c r="N60" s="17">
        <f ca="1">$I$8*$N$8</f>
        <v>0</v>
      </c>
      <c r="O60" s="17">
        <f>$I$8*$O$8</f>
        <v>0</v>
      </c>
      <c r="P60" s="17">
        <f>$I$8*$P$8</f>
        <v>0</v>
      </c>
      <c r="Q60" s="17">
        <f>$I$8*$Q$8</f>
        <v>0</v>
      </c>
      <c r="R60" s="17">
        <f>$I$8*$R$8</f>
        <v>0</v>
      </c>
      <c r="S60" s="17">
        <f>$I$8*$S$8</f>
        <v>0</v>
      </c>
      <c r="T60" s="17">
        <f>$I$8*$T$8</f>
        <v>0</v>
      </c>
      <c r="U60" s="17">
        <f>$I$8*$U$8</f>
        <v>0</v>
      </c>
      <c r="V60" s="17">
        <f>$I$8*$V$8</f>
        <v>0</v>
      </c>
      <c r="W60" s="17">
        <f>$I$8*$W$8</f>
        <v>0</v>
      </c>
      <c r="X60" s="17">
        <f>$I$8*$X$8</f>
        <v>0</v>
      </c>
      <c r="Y60" s="17">
        <f>$I$8*$Y$8</f>
        <v>0</v>
      </c>
      <c r="Z60" s="17">
        <f>$I$8*$Z$8</f>
        <v>0</v>
      </c>
      <c r="AA60" s="17">
        <f>$I$8*$AA$8</f>
        <v>0</v>
      </c>
      <c r="AB60" s="17">
        <f ca="1">$I$8*$AB$8</f>
        <v>0</v>
      </c>
      <c r="AC60" s="17">
        <f ca="1">$I$8*$AC$8</f>
        <v>0</v>
      </c>
      <c r="AD60" s="17">
        <f>$I$8*$AD$8</f>
        <v>0</v>
      </c>
      <c r="AE60" s="17">
        <f>$I$8*$AE$8</f>
        <v>0</v>
      </c>
      <c r="AF60" s="17">
        <f ca="1">$I$8*$AF$8</f>
        <v>0</v>
      </c>
      <c r="AG60" s="17">
        <f ca="1">$I$8*$AG$8</f>
        <v>0</v>
      </c>
      <c r="AI60" s="17">
        <f>$I$8*$AI$8</f>
        <v>0</v>
      </c>
      <c r="AJ60" s="17">
        <f>$I$8*$AJ$8</f>
        <v>0</v>
      </c>
      <c r="AK60" s="17">
        <f>$I$8*$AK$8</f>
        <v>0</v>
      </c>
      <c r="AL60" s="17">
        <f>$I$8*$AL$8</f>
        <v>0</v>
      </c>
      <c r="AM60" s="17">
        <f>$I$8*$AM$8</f>
        <v>0</v>
      </c>
      <c r="AN60" s="17">
        <f>$I$8*$AN$8</f>
        <v>0</v>
      </c>
      <c r="AO60" s="17">
        <f>$I$8*$AO$8</f>
        <v>0</v>
      </c>
      <c r="AP60" s="17">
        <f>$I$8*$AP$8</f>
        <v>0</v>
      </c>
      <c r="AQ60" s="17">
        <f>$I$8*$AQ$8</f>
        <v>0</v>
      </c>
      <c r="AR60" s="17">
        <f>$I$8*$AR$8</f>
        <v>0</v>
      </c>
      <c r="AS60" s="17">
        <f>$I$8*$AS$8</f>
        <v>0</v>
      </c>
      <c r="AT60" s="17">
        <f>$I$8*$AT$8</f>
        <v>0</v>
      </c>
      <c r="AU60" s="17">
        <f>$I$8*$AU$8</f>
        <v>0</v>
      </c>
      <c r="AV60" s="17">
        <f>$I$8*$AV$8</f>
        <v>0</v>
      </c>
      <c r="AW60" s="17">
        <f>$I$8*$AW$8</f>
        <v>0</v>
      </c>
      <c r="AX60" s="17">
        <f>$I$8*$AX$8</f>
        <v>0</v>
      </c>
      <c r="AY60" s="17">
        <f>$I$8*$AY$8</f>
        <v>0</v>
      </c>
      <c r="AZ60" s="17">
        <f>$I$8*$AZ$8</f>
        <v>0</v>
      </c>
      <c r="BA60" s="17">
        <f>$I$8*$BA$8</f>
        <v>0</v>
      </c>
      <c r="BB60" s="17">
        <f>$I$8*$BB$8</f>
        <v>0</v>
      </c>
      <c r="BC60" s="17">
        <f>$I$8*$BC$8</f>
        <v>0</v>
      </c>
      <c r="BD60" s="17">
        <f>$I$8*$BD$8</f>
        <v>0</v>
      </c>
    </row>
    <row r="61" spans="1:56" ht="11.25" customHeight="1" x14ac:dyDescent="0.25">
      <c r="A61" s="9" t="s">
        <v>35</v>
      </c>
      <c r="B61" s="9" t="s">
        <v>701</v>
      </c>
      <c r="C61" s="9" t="s">
        <v>702</v>
      </c>
      <c r="D61" s="9" t="s">
        <v>703</v>
      </c>
      <c r="E61" s="9" t="s">
        <v>704</v>
      </c>
      <c r="F61" s="9" t="s">
        <v>705</v>
      </c>
      <c r="G61" s="9" t="s">
        <v>706</v>
      </c>
      <c r="L61" s="17">
        <f>$I$9*$L$9</f>
        <v>0</v>
      </c>
      <c r="M61" s="17">
        <f>$I$9*$M$9</f>
        <v>117.17431689917422</v>
      </c>
      <c r="N61" s="17">
        <f ca="1">$I$9*$N$9</f>
        <v>0</v>
      </c>
      <c r="O61" s="17">
        <f>$I$9*$O$9</f>
        <v>0</v>
      </c>
      <c r="P61" s="17">
        <f>$I$9*$P$9</f>
        <v>0</v>
      </c>
      <c r="Q61" s="17">
        <f>$I$9*$Q$9</f>
        <v>0</v>
      </c>
      <c r="R61" s="17">
        <f>$I$9*$R$9</f>
        <v>0</v>
      </c>
      <c r="S61" s="17">
        <f>$I$9*$S$9</f>
        <v>0</v>
      </c>
      <c r="T61" s="17">
        <f>$I$9*$T$9</f>
        <v>0</v>
      </c>
      <c r="U61" s="17">
        <f>$I$9*$U$9</f>
        <v>0</v>
      </c>
      <c r="V61" s="17">
        <f>$I$9*$V$9</f>
        <v>0</v>
      </c>
      <c r="W61" s="17">
        <f>$I$9*$W$9</f>
        <v>0</v>
      </c>
      <c r="X61" s="17">
        <f>$I$9*$X$9</f>
        <v>0</v>
      </c>
      <c r="Y61" s="17">
        <f>$I$9*$Y$9</f>
        <v>0</v>
      </c>
      <c r="Z61" s="17">
        <f>$I$9*$Z$9</f>
        <v>0</v>
      </c>
      <c r="AA61" s="17">
        <f>$I$9*$AA$9</f>
        <v>37084.652841252959</v>
      </c>
      <c r="AB61" s="17">
        <f ca="1">$I$9*$AB$9</f>
        <v>0</v>
      </c>
      <c r="AC61" s="17">
        <f ca="1">$I$9*$AC$9</f>
        <v>0</v>
      </c>
      <c r="AD61" s="17">
        <f>$I$9*$AD$9</f>
        <v>0</v>
      </c>
      <c r="AE61" s="17">
        <f>$I$9*$AE$9</f>
        <v>0</v>
      </c>
      <c r="AF61" s="17">
        <f ca="1">$I$9*$AF$9</f>
        <v>0</v>
      </c>
      <c r="AG61" s="17">
        <f ca="1">$I$9*$AG$9</f>
        <v>0</v>
      </c>
      <c r="AI61" s="17">
        <f>$I$9*$AI$9</f>
        <v>0</v>
      </c>
      <c r="AJ61" s="17">
        <f>$I$9*$AJ$9</f>
        <v>107.53844314227608</v>
      </c>
      <c r="AK61" s="17">
        <f>$I$9*$AK$9</f>
        <v>0</v>
      </c>
      <c r="AL61" s="17">
        <f>$I$9*$AL$9</f>
        <v>0</v>
      </c>
      <c r="AM61" s="17">
        <f>$I$9*$AM$9</f>
        <v>0</v>
      </c>
      <c r="AN61" s="17">
        <f>$I$9*$AN$9</f>
        <v>0</v>
      </c>
      <c r="AO61" s="17">
        <f>$I$9*$AO$9</f>
        <v>0</v>
      </c>
      <c r="AP61" s="17">
        <f>$I$9*$AP$9</f>
        <v>0</v>
      </c>
      <c r="AQ61" s="17">
        <f>$I$9*$AQ$9</f>
        <v>0</v>
      </c>
      <c r="AR61" s="17">
        <f>$I$9*$AR$9</f>
        <v>0</v>
      </c>
      <c r="AS61" s="17">
        <f>$I$9*$AS$9</f>
        <v>0</v>
      </c>
      <c r="AT61" s="17">
        <f>$I$9*$AT$9</f>
        <v>0</v>
      </c>
      <c r="AU61" s="17">
        <f>$I$9*$AU$9</f>
        <v>0</v>
      </c>
      <c r="AV61" s="17">
        <f>$I$9*$AV$9</f>
        <v>0</v>
      </c>
      <c r="AW61" s="17">
        <f>$I$9*$AW$9</f>
        <v>0</v>
      </c>
      <c r="AX61" s="17">
        <f>$I$9*$AX$9</f>
        <v>36691.907157562695</v>
      </c>
      <c r="AY61" s="17">
        <f>$I$9*$AY$9</f>
        <v>0</v>
      </c>
      <c r="AZ61" s="17">
        <f>$I$9*$AZ$9</f>
        <v>0</v>
      </c>
      <c r="BA61" s="17">
        <f>$I$9*$BA$9</f>
        <v>0</v>
      </c>
      <c r="BB61" s="17">
        <f>$I$9*$BB$9</f>
        <v>0</v>
      </c>
      <c r="BC61" s="17">
        <f>$I$9*$BC$9</f>
        <v>0</v>
      </c>
      <c r="BD61" s="17">
        <f>$I$9*$BD$9</f>
        <v>0</v>
      </c>
    </row>
    <row r="62" spans="1:56" ht="11.25" customHeight="1" x14ac:dyDescent="0.25">
      <c r="A62" s="9" t="s">
        <v>35</v>
      </c>
      <c r="B62" s="9" t="s">
        <v>707</v>
      </c>
      <c r="C62" s="9" t="s">
        <v>708</v>
      </c>
      <c r="D62" s="9" t="s">
        <v>709</v>
      </c>
      <c r="E62" s="9" t="s">
        <v>710</v>
      </c>
      <c r="F62" s="9" t="s">
        <v>711</v>
      </c>
      <c r="G62" s="9" t="s">
        <v>712</v>
      </c>
      <c r="L62" s="17">
        <f>$I$10*$L$10</f>
        <v>0</v>
      </c>
      <c r="M62" s="17">
        <f>$I$10*$M$10</f>
        <v>0</v>
      </c>
      <c r="N62" s="17">
        <f ca="1">$I$10*$N$10</f>
        <v>0</v>
      </c>
      <c r="O62" s="17">
        <f>$I$10*$O$10</f>
        <v>0</v>
      </c>
      <c r="P62" s="17">
        <f>$I$10*$P$10</f>
        <v>0</v>
      </c>
      <c r="Q62" s="17">
        <f>$I$10*$Q$10</f>
        <v>0</v>
      </c>
      <c r="R62" s="17">
        <f>$I$10*$R$10</f>
        <v>0</v>
      </c>
      <c r="S62" s="17">
        <f>$I$10*$S$10</f>
        <v>0</v>
      </c>
      <c r="T62" s="17">
        <f>$I$10*$T$10</f>
        <v>0</v>
      </c>
      <c r="U62" s="17">
        <f>$I$10*$U$10</f>
        <v>0</v>
      </c>
      <c r="V62" s="17">
        <f>$I$10*$V$10</f>
        <v>0</v>
      </c>
      <c r="W62" s="17">
        <f>$I$10*$W$10</f>
        <v>0</v>
      </c>
      <c r="X62" s="17">
        <f>$I$10*$X$10</f>
        <v>1768920.4210919396</v>
      </c>
      <c r="Y62" s="17">
        <f>$I$10*$Y$10</f>
        <v>0</v>
      </c>
      <c r="Z62" s="17">
        <f>$I$10*$Z$10</f>
        <v>0</v>
      </c>
      <c r="AA62" s="17">
        <f>$I$10*$AA$10</f>
        <v>1749387.7621467595</v>
      </c>
      <c r="AB62" s="17">
        <f ca="1">$I$10*$AB$10</f>
        <v>0</v>
      </c>
      <c r="AC62" s="17">
        <f ca="1">$I$10*$AC$10</f>
        <v>0</v>
      </c>
      <c r="AD62" s="17">
        <f>$I$10*$AD$10</f>
        <v>0</v>
      </c>
      <c r="AE62" s="17">
        <f>$I$10*$AE$10</f>
        <v>0</v>
      </c>
      <c r="AF62" s="17">
        <f ca="1">$I$10*$AF$10</f>
        <v>0</v>
      </c>
      <c r="AG62" s="17">
        <f ca="1">$I$10*$AG$10</f>
        <v>0</v>
      </c>
      <c r="AI62" s="17">
        <f>$I$10*$AI$10</f>
        <v>0</v>
      </c>
      <c r="AJ62" s="17">
        <f>$I$10*$AJ$10</f>
        <v>0</v>
      </c>
      <c r="AK62" s="17">
        <f>$I$10*$AK$10</f>
        <v>0</v>
      </c>
      <c r="AL62" s="17">
        <f>$I$10*$AL$10</f>
        <v>0</v>
      </c>
      <c r="AM62" s="17">
        <f>$I$10*$AM$10</f>
        <v>0</v>
      </c>
      <c r="AN62" s="17">
        <f>$I$10*$AN$10</f>
        <v>0</v>
      </c>
      <c r="AO62" s="17">
        <f>$I$10*$AO$10</f>
        <v>0</v>
      </c>
      <c r="AP62" s="17">
        <f>$I$10*$AP$10</f>
        <v>0</v>
      </c>
      <c r="AQ62" s="17">
        <f>$I$10*$AQ$10</f>
        <v>0</v>
      </c>
      <c r="AR62" s="17">
        <f>$I$10*$AR$10</f>
        <v>0</v>
      </c>
      <c r="AS62" s="17">
        <f>$I$10*$AS$10</f>
        <v>0</v>
      </c>
      <c r="AT62" s="17">
        <f>$I$10*$AT$10</f>
        <v>0</v>
      </c>
      <c r="AU62" s="17">
        <f>$I$10*$AU$10</f>
        <v>1853164.5919164866</v>
      </c>
      <c r="AV62" s="17">
        <f>$I$10*$AV$10</f>
        <v>0</v>
      </c>
      <c r="AW62" s="17">
        <f>$I$10*$AW$10</f>
        <v>0</v>
      </c>
      <c r="AX62" s="17">
        <f>$I$10*$AX$10</f>
        <v>1730854.0939877117</v>
      </c>
      <c r="AY62" s="17">
        <f>$I$10*$AY$10</f>
        <v>0</v>
      </c>
      <c r="AZ62" s="17">
        <f>$I$10*$AZ$10</f>
        <v>0</v>
      </c>
      <c r="BA62" s="17">
        <f>$I$10*$BA$10</f>
        <v>0</v>
      </c>
      <c r="BB62" s="17">
        <f>$I$10*$BB$10</f>
        <v>0</v>
      </c>
      <c r="BC62" s="17">
        <f>$I$10*$BC$10</f>
        <v>0</v>
      </c>
      <c r="BD62" s="17">
        <f>$I$10*$BD$10</f>
        <v>0</v>
      </c>
    </row>
    <row r="63" spans="1:56" ht="11.25" customHeight="1" x14ac:dyDescent="0.25">
      <c r="A63" s="9" t="s">
        <v>35</v>
      </c>
      <c r="B63" s="9" t="s">
        <v>707</v>
      </c>
      <c r="C63" s="9" t="s">
        <v>708</v>
      </c>
      <c r="D63" s="9" t="s">
        <v>709</v>
      </c>
      <c r="E63" s="9" t="s">
        <v>710</v>
      </c>
      <c r="F63" s="9" t="s">
        <v>711</v>
      </c>
      <c r="G63" s="9" t="s">
        <v>713</v>
      </c>
      <c r="L63" s="17">
        <f>$I$11*$L$11</f>
        <v>0</v>
      </c>
      <c r="M63" s="17">
        <f>$I$11*$M$11</f>
        <v>806.7786788775154</v>
      </c>
      <c r="N63" s="17">
        <f ca="1">$I$11*$N$11</f>
        <v>0</v>
      </c>
      <c r="O63" s="17">
        <f>$I$11*$O$11</f>
        <v>0</v>
      </c>
      <c r="P63" s="17">
        <f>$I$11*$P$11</f>
        <v>0</v>
      </c>
      <c r="Q63" s="17">
        <f>$I$11*$Q$11</f>
        <v>78347.206722420364</v>
      </c>
      <c r="R63" s="17">
        <f>$I$11*$R$11</f>
        <v>14714.800831934099</v>
      </c>
      <c r="S63" s="17">
        <f>$I$11*$S$11</f>
        <v>0</v>
      </c>
      <c r="T63" s="17">
        <f>$I$11*$T$11</f>
        <v>0</v>
      </c>
      <c r="U63" s="17">
        <f>$I$11*$U$11</f>
        <v>0</v>
      </c>
      <c r="V63" s="17">
        <f>$I$11*$V$11</f>
        <v>0</v>
      </c>
      <c r="W63" s="17">
        <f>$I$11*$W$11</f>
        <v>0</v>
      </c>
      <c r="X63" s="17">
        <f>$I$11*$X$11</f>
        <v>765139.46969156689</v>
      </c>
      <c r="Y63" s="17">
        <f>$I$11*$Y$11</f>
        <v>0</v>
      </c>
      <c r="Z63" s="17">
        <f>$I$11*$Z$11</f>
        <v>0</v>
      </c>
      <c r="AA63" s="17">
        <f>$I$11*$AA$11</f>
        <v>1094082.2523300478</v>
      </c>
      <c r="AB63" s="17">
        <f ca="1">$I$11*$AB$11</f>
        <v>0</v>
      </c>
      <c r="AC63" s="17">
        <f ca="1">$I$11*$AC$11</f>
        <v>0</v>
      </c>
      <c r="AD63" s="17">
        <f>$I$11*$AD$11</f>
        <v>7470.5890133515486</v>
      </c>
      <c r="AE63" s="17">
        <f>$I$11*$AE$11</f>
        <v>0</v>
      </c>
      <c r="AF63" s="17">
        <f ca="1">$I$11*$AF$11</f>
        <v>0</v>
      </c>
      <c r="AG63" s="17">
        <f ca="1">$I$11*$AG$11</f>
        <v>0</v>
      </c>
      <c r="AI63" s="17">
        <f>$I$11*$AI$11</f>
        <v>0</v>
      </c>
      <c r="AJ63" s="17">
        <f>$I$11*$AJ$11</f>
        <v>585.13134356514877</v>
      </c>
      <c r="AK63" s="17">
        <f>$I$11*$AK$11</f>
        <v>0</v>
      </c>
      <c r="AL63" s="17">
        <f>$I$11*$AL$11</f>
        <v>0</v>
      </c>
      <c r="AM63" s="17">
        <f>$I$11*$AM$11</f>
        <v>0</v>
      </c>
      <c r="AN63" s="17">
        <f>$I$11*$AN$11</f>
        <v>50558.88171341527</v>
      </c>
      <c r="AO63" s="17">
        <f>$I$11*$AO$11</f>
        <v>9046.3452173160549</v>
      </c>
      <c r="AP63" s="17">
        <f>$I$11*$AP$11</f>
        <v>0</v>
      </c>
      <c r="AQ63" s="17">
        <f>$I$11*$AQ$11</f>
        <v>0</v>
      </c>
      <c r="AR63" s="17">
        <f>$I$11*$AR$11</f>
        <v>0</v>
      </c>
      <c r="AS63" s="17">
        <f>$I$11*$AS$11</f>
        <v>0</v>
      </c>
      <c r="AT63" s="17">
        <f>$I$11*$AT$11</f>
        <v>0</v>
      </c>
      <c r="AU63" s="17">
        <f>$I$11*$AU$11</f>
        <v>801580.53439000715</v>
      </c>
      <c r="AV63" s="17">
        <f>$I$11*$AV$11</f>
        <v>0</v>
      </c>
      <c r="AW63" s="17">
        <f>$I$11*$AW$11</f>
        <v>0</v>
      </c>
      <c r="AX63" s="17">
        <f>$I$11*$AX$11</f>
        <v>1082492.286990836</v>
      </c>
      <c r="AY63" s="17">
        <f>$I$11*$AY$11</f>
        <v>0</v>
      </c>
      <c r="AZ63" s="17">
        <f>$I$11*$AZ$11</f>
        <v>0</v>
      </c>
      <c r="BA63" s="17">
        <f>$I$11*$BA$11</f>
        <v>7016.2311107679589</v>
      </c>
      <c r="BB63" s="17">
        <f>$I$11*$BB$11</f>
        <v>0</v>
      </c>
      <c r="BC63" s="17">
        <f>$I$11*$BC$11</f>
        <v>0</v>
      </c>
      <c r="BD63" s="17">
        <f>$I$11*$BD$11</f>
        <v>0</v>
      </c>
    </row>
    <row r="64" spans="1:56" ht="11.25" customHeight="1" x14ac:dyDescent="0.25">
      <c r="A64" s="9" t="s">
        <v>35</v>
      </c>
      <c r="B64" s="9" t="s">
        <v>707</v>
      </c>
      <c r="C64" s="9" t="s">
        <v>708</v>
      </c>
      <c r="D64" s="9" t="s">
        <v>709</v>
      </c>
      <c r="E64" s="9" t="s">
        <v>710</v>
      </c>
      <c r="F64" s="9" t="s">
        <v>711</v>
      </c>
      <c r="G64" s="9" t="s">
        <v>714</v>
      </c>
      <c r="L64" s="17">
        <f>$I$12*$L$12</f>
        <v>0</v>
      </c>
      <c r="M64" s="17">
        <f>$I$12*$M$12</f>
        <v>22437.683893806461</v>
      </c>
      <c r="N64" s="17">
        <f ca="1">$I$12*$N$12</f>
        <v>0</v>
      </c>
      <c r="O64" s="17">
        <f>$I$12*$O$12</f>
        <v>0</v>
      </c>
      <c r="P64" s="17">
        <f>$I$12*$P$12</f>
        <v>0</v>
      </c>
      <c r="Q64" s="17">
        <f>$I$12*$Q$12</f>
        <v>2178949.3257881003</v>
      </c>
      <c r="R64" s="17">
        <f>$I$12*$R$12</f>
        <v>409239.92945205641</v>
      </c>
      <c r="S64" s="17">
        <f>$I$12*$S$12</f>
        <v>0</v>
      </c>
      <c r="T64" s="17">
        <f>$I$12*$T$12</f>
        <v>0</v>
      </c>
      <c r="U64" s="17">
        <f>$I$12*$U$12</f>
        <v>0</v>
      </c>
      <c r="V64" s="17">
        <f>$I$12*$V$12</f>
        <v>0</v>
      </c>
      <c r="W64" s="17">
        <f>$I$12*$W$12</f>
        <v>0</v>
      </c>
      <c r="X64" s="17">
        <f>$I$12*$X$12</f>
        <v>0</v>
      </c>
      <c r="Y64" s="17">
        <f>$I$12*$Y$12</f>
        <v>0</v>
      </c>
      <c r="Z64" s="17">
        <f>$I$12*$Z$12</f>
        <v>0</v>
      </c>
      <c r="AA64" s="17">
        <f>$I$12*$AA$12</f>
        <v>0</v>
      </c>
      <c r="AB64" s="17">
        <f ca="1">$I$12*$AB$12</f>
        <v>0</v>
      </c>
      <c r="AC64" s="17">
        <f ca="1">$I$12*$AC$12</f>
        <v>0</v>
      </c>
      <c r="AD64" s="17">
        <f>$I$12*$AD$12</f>
        <v>207767.90360318124</v>
      </c>
      <c r="AE64" s="17">
        <f>$I$12*$AE$12</f>
        <v>0</v>
      </c>
      <c r="AF64" s="17">
        <f ca="1">$I$12*$AF$12</f>
        <v>0</v>
      </c>
      <c r="AG64" s="17">
        <f ca="1">$I$12*$AG$12</f>
        <v>0</v>
      </c>
      <c r="AI64" s="17">
        <f>$I$12*$AI$12</f>
        <v>0</v>
      </c>
      <c r="AJ64" s="17">
        <f>$I$12*$AJ$12</f>
        <v>16273.350383452942</v>
      </c>
      <c r="AK64" s="17">
        <f>$I$12*$AK$12</f>
        <v>0</v>
      </c>
      <c r="AL64" s="17">
        <f>$I$12*$AL$12</f>
        <v>0</v>
      </c>
      <c r="AM64" s="17">
        <f>$I$12*$AM$12</f>
        <v>0</v>
      </c>
      <c r="AN64" s="17">
        <f>$I$12*$AN$12</f>
        <v>1406115.7484829756</v>
      </c>
      <c r="AO64" s="17">
        <f>$I$12*$AO$12</f>
        <v>251591.96653882033</v>
      </c>
      <c r="AP64" s="17">
        <f>$I$12*$AP$12</f>
        <v>0</v>
      </c>
      <c r="AQ64" s="17">
        <f>$I$12*$AQ$12</f>
        <v>0</v>
      </c>
      <c r="AR64" s="17">
        <f>$I$12*$AR$12</f>
        <v>0</v>
      </c>
      <c r="AS64" s="17">
        <f>$I$12*$AS$12</f>
        <v>0</v>
      </c>
      <c r="AT64" s="17">
        <f>$I$12*$AT$12</f>
        <v>0</v>
      </c>
      <c r="AU64" s="17">
        <f>$I$12*$AU$12</f>
        <v>0</v>
      </c>
      <c r="AV64" s="17">
        <f>$I$12*$AV$12</f>
        <v>0</v>
      </c>
      <c r="AW64" s="17">
        <f>$I$12*$AW$12</f>
        <v>0</v>
      </c>
      <c r="AX64" s="17">
        <f>$I$12*$AX$12</f>
        <v>0</v>
      </c>
      <c r="AY64" s="17">
        <f>$I$12*$AY$12</f>
        <v>0</v>
      </c>
      <c r="AZ64" s="17">
        <f>$I$12*$AZ$12</f>
        <v>0</v>
      </c>
      <c r="BA64" s="17">
        <f>$I$12*$BA$12</f>
        <v>195131.55207365446</v>
      </c>
      <c r="BB64" s="17">
        <f>$I$12*$BB$12</f>
        <v>0</v>
      </c>
      <c r="BC64" s="17">
        <f>$I$12*$BC$12</f>
        <v>0</v>
      </c>
      <c r="BD64" s="17">
        <f>$I$12*$BD$12</f>
        <v>0</v>
      </c>
    </row>
    <row r="65" spans="1:56" ht="11.25" customHeight="1" x14ac:dyDescent="0.25">
      <c r="A65" s="9" t="s">
        <v>35</v>
      </c>
      <c r="B65" s="9" t="s">
        <v>707</v>
      </c>
      <c r="C65" s="9" t="s">
        <v>708</v>
      </c>
      <c r="D65" s="9" t="s">
        <v>709</v>
      </c>
      <c r="E65" s="9" t="s">
        <v>715</v>
      </c>
      <c r="F65" s="9" t="s">
        <v>716</v>
      </c>
      <c r="G65" s="9" t="s">
        <v>717</v>
      </c>
      <c r="L65" s="17">
        <f>$I$13*$L$13</f>
        <v>0</v>
      </c>
      <c r="M65" s="17">
        <f>$I$13*$M$13</f>
        <v>0</v>
      </c>
      <c r="N65" s="17">
        <f ca="1">$I$13*$N$13</f>
        <v>0</v>
      </c>
      <c r="O65" s="17">
        <f>$I$13*$O$13</f>
        <v>0</v>
      </c>
      <c r="P65" s="17">
        <f>$I$13*$P$13</f>
        <v>0</v>
      </c>
      <c r="Q65" s="17">
        <f>$I$13*$Q$13</f>
        <v>0</v>
      </c>
      <c r="R65" s="17">
        <f>$I$13*$R$13</f>
        <v>0</v>
      </c>
      <c r="S65" s="17">
        <f>$I$13*$S$13</f>
        <v>0</v>
      </c>
      <c r="T65" s="17">
        <f>$I$13*$T$13</f>
        <v>0</v>
      </c>
      <c r="U65" s="17">
        <f>$I$13*$U$13</f>
        <v>0</v>
      </c>
      <c r="V65" s="17">
        <f>$I$13*$V$13</f>
        <v>0</v>
      </c>
      <c r="W65" s="17">
        <f>$I$13*$W$13</f>
        <v>0</v>
      </c>
      <c r="X65" s="17">
        <f>$I$13*$X$13</f>
        <v>0</v>
      </c>
      <c r="Y65" s="17">
        <f>$I$13*$Y$13</f>
        <v>0</v>
      </c>
      <c r="Z65" s="17">
        <f>$I$13*$Z$13</f>
        <v>0</v>
      </c>
      <c r="AA65" s="17">
        <f>$I$13*$AA$13</f>
        <v>0</v>
      </c>
      <c r="AB65" s="17">
        <f ca="1">$I$13*$AB$13</f>
        <v>0</v>
      </c>
      <c r="AC65" s="17">
        <f ca="1">$I$13*$AC$13</f>
        <v>0</v>
      </c>
      <c r="AD65" s="17">
        <f>$I$13*$AD$13</f>
        <v>0</v>
      </c>
      <c r="AE65" s="17">
        <f>$I$13*$AE$13</f>
        <v>0</v>
      </c>
      <c r="AF65" s="17">
        <f ca="1">$I$13*$AF$13</f>
        <v>0</v>
      </c>
      <c r="AG65" s="17">
        <f ca="1">$I$13*$AG$13</f>
        <v>0</v>
      </c>
      <c r="AI65" s="17">
        <f>$I$13*$AI$13</f>
        <v>0</v>
      </c>
      <c r="AJ65" s="17">
        <f>$I$13*$AJ$13</f>
        <v>0</v>
      </c>
      <c r="AK65" s="17">
        <f>$I$13*$AK$13</f>
        <v>0</v>
      </c>
      <c r="AL65" s="17">
        <f>$I$13*$AL$13</f>
        <v>0</v>
      </c>
      <c r="AM65" s="17">
        <f>$I$13*$AM$13</f>
        <v>0</v>
      </c>
      <c r="AN65" s="17">
        <f>$I$13*$AN$13</f>
        <v>0</v>
      </c>
      <c r="AO65" s="17">
        <f>$I$13*$AO$13</f>
        <v>0</v>
      </c>
      <c r="AP65" s="17">
        <f>$I$13*$AP$13</f>
        <v>0</v>
      </c>
      <c r="AQ65" s="17">
        <f>$I$13*$AQ$13</f>
        <v>0</v>
      </c>
      <c r="AR65" s="17">
        <f>$I$13*$AR$13</f>
        <v>0</v>
      </c>
      <c r="AS65" s="17">
        <f>$I$13*$AS$13</f>
        <v>0</v>
      </c>
      <c r="AT65" s="17">
        <f>$I$13*$AT$13</f>
        <v>0</v>
      </c>
      <c r="AU65" s="17">
        <f>$I$13*$AU$13</f>
        <v>0</v>
      </c>
      <c r="AV65" s="17">
        <f>$I$13*$AV$13</f>
        <v>0</v>
      </c>
      <c r="AW65" s="17">
        <f>$I$13*$AW$13</f>
        <v>0</v>
      </c>
      <c r="AX65" s="17">
        <f>$I$13*$AX$13</f>
        <v>0</v>
      </c>
      <c r="AY65" s="17">
        <f>$I$13*$AY$13</f>
        <v>0</v>
      </c>
      <c r="AZ65" s="17">
        <f>$I$13*$AZ$13</f>
        <v>0</v>
      </c>
      <c r="BA65" s="17">
        <f>$I$13*$BA$13</f>
        <v>0</v>
      </c>
      <c r="BB65" s="17">
        <f>$I$13*$BB$13</f>
        <v>0</v>
      </c>
      <c r="BC65" s="17">
        <f>$I$13*$BC$13</f>
        <v>0</v>
      </c>
      <c r="BD65" s="17">
        <f>$I$13*$BD$13</f>
        <v>0</v>
      </c>
    </row>
    <row r="66" spans="1:56" ht="11.25" customHeight="1" x14ac:dyDescent="0.25">
      <c r="A66" s="9" t="s">
        <v>35</v>
      </c>
      <c r="B66" s="9" t="s">
        <v>707</v>
      </c>
      <c r="C66" s="9" t="s">
        <v>708</v>
      </c>
      <c r="D66" s="9" t="s">
        <v>709</v>
      </c>
      <c r="E66" s="9" t="s">
        <v>715</v>
      </c>
      <c r="F66" s="9" t="s">
        <v>716</v>
      </c>
      <c r="G66" s="9" t="s">
        <v>718</v>
      </c>
      <c r="L66" s="17">
        <f>$I$14*$L$14</f>
        <v>0</v>
      </c>
      <c r="M66" s="17">
        <f>$I$14*$M$14</f>
        <v>0</v>
      </c>
      <c r="N66" s="17">
        <f ca="1">$I$14*$N$14</f>
        <v>0</v>
      </c>
      <c r="O66" s="17">
        <f>$I$14*$O$14</f>
        <v>0</v>
      </c>
      <c r="P66" s="17">
        <f>$I$14*$P$14</f>
        <v>0</v>
      </c>
      <c r="Q66" s="17">
        <f>$I$14*$Q$14</f>
        <v>0</v>
      </c>
      <c r="R66" s="17">
        <f>$I$14*$R$14</f>
        <v>0</v>
      </c>
      <c r="S66" s="17">
        <f>$I$14*$S$14</f>
        <v>0</v>
      </c>
      <c r="T66" s="17">
        <f>$I$14*$T$14</f>
        <v>0</v>
      </c>
      <c r="U66" s="17">
        <f>$I$14*$U$14</f>
        <v>0</v>
      </c>
      <c r="V66" s="17">
        <f>$I$14*$V$14</f>
        <v>0</v>
      </c>
      <c r="W66" s="17">
        <f>$I$14*$W$14</f>
        <v>0</v>
      </c>
      <c r="X66" s="17">
        <f>$I$14*$X$14</f>
        <v>0</v>
      </c>
      <c r="Y66" s="17">
        <f>$I$14*$Y$14</f>
        <v>0</v>
      </c>
      <c r="Z66" s="17">
        <f>$I$14*$Z$14</f>
        <v>0</v>
      </c>
      <c r="AA66" s="17">
        <f>$I$14*$AA$14</f>
        <v>0</v>
      </c>
      <c r="AB66" s="17">
        <f ca="1">$I$14*$AB$14</f>
        <v>0</v>
      </c>
      <c r="AC66" s="17">
        <f ca="1">$I$14*$AC$14</f>
        <v>0</v>
      </c>
      <c r="AD66" s="17">
        <f>$I$14*$AD$14</f>
        <v>0</v>
      </c>
      <c r="AE66" s="17">
        <f>$I$14*$AE$14</f>
        <v>0</v>
      </c>
      <c r="AF66" s="17">
        <f ca="1">$I$14*$AF$14</f>
        <v>0</v>
      </c>
      <c r="AG66" s="17">
        <f ca="1">$I$14*$AG$14</f>
        <v>0</v>
      </c>
      <c r="AI66" s="17">
        <f>$I$14*$AI$14</f>
        <v>0</v>
      </c>
      <c r="AJ66" s="17">
        <f>$I$14*$AJ$14</f>
        <v>0</v>
      </c>
      <c r="AK66" s="17">
        <f>$I$14*$AK$14</f>
        <v>0</v>
      </c>
      <c r="AL66" s="17">
        <f>$I$14*$AL$14</f>
        <v>0</v>
      </c>
      <c r="AM66" s="17">
        <f>$I$14*$AM$14</f>
        <v>0</v>
      </c>
      <c r="AN66" s="17">
        <f>$I$14*$AN$14</f>
        <v>0</v>
      </c>
      <c r="AO66" s="17">
        <f>$I$14*$AO$14</f>
        <v>0</v>
      </c>
      <c r="AP66" s="17">
        <f>$I$14*$AP$14</f>
        <v>0</v>
      </c>
      <c r="AQ66" s="17">
        <f>$I$14*$AQ$14</f>
        <v>0</v>
      </c>
      <c r="AR66" s="17">
        <f>$I$14*$AR$14</f>
        <v>0</v>
      </c>
      <c r="AS66" s="17">
        <f>$I$14*$AS$14</f>
        <v>0</v>
      </c>
      <c r="AT66" s="17">
        <f>$I$14*$AT$14</f>
        <v>0</v>
      </c>
      <c r="AU66" s="17">
        <f>$I$14*$AU$14</f>
        <v>0</v>
      </c>
      <c r="AV66" s="17">
        <f>$I$14*$AV$14</f>
        <v>0</v>
      </c>
      <c r="AW66" s="17">
        <f>$I$14*$AW$14</f>
        <v>0</v>
      </c>
      <c r="AX66" s="17">
        <f>$I$14*$AX$14</f>
        <v>0</v>
      </c>
      <c r="AY66" s="17">
        <f>$I$14*$AY$14</f>
        <v>0</v>
      </c>
      <c r="AZ66" s="17">
        <f>$I$14*$AZ$14</f>
        <v>0</v>
      </c>
      <c r="BA66" s="17">
        <f>$I$14*$BA$14</f>
        <v>0</v>
      </c>
      <c r="BB66" s="17">
        <f>$I$14*$BB$14</f>
        <v>0</v>
      </c>
      <c r="BC66" s="17">
        <f>$I$14*$BC$14</f>
        <v>0</v>
      </c>
      <c r="BD66" s="17">
        <f>$I$14*$BD$14</f>
        <v>0</v>
      </c>
    </row>
    <row r="67" spans="1:56" ht="11.25" customHeight="1" x14ac:dyDescent="0.25">
      <c r="A67" s="9" t="s">
        <v>80</v>
      </c>
      <c r="B67" s="9" t="s">
        <v>719</v>
      </c>
      <c r="C67" s="9" t="s">
        <v>720</v>
      </c>
      <c r="D67" s="9" t="s">
        <v>721</v>
      </c>
      <c r="E67" s="9" t="s">
        <v>722</v>
      </c>
      <c r="F67" s="9" t="s">
        <v>723</v>
      </c>
      <c r="G67" s="9" t="s">
        <v>724</v>
      </c>
      <c r="L67" s="17">
        <f>$I$15*$L$15</f>
        <v>0</v>
      </c>
      <c r="M67" s="17">
        <f>$I$15*$M$15</f>
        <v>1.1054928591923686E-10</v>
      </c>
      <c r="N67" s="17">
        <f ca="1">$I$15*$N$15</f>
        <v>0</v>
      </c>
      <c r="O67" s="17">
        <f>$I$15*$O$15</f>
        <v>0</v>
      </c>
      <c r="P67" s="17">
        <f>$I$15*$P$15</f>
        <v>0</v>
      </c>
      <c r="Q67" s="17">
        <f>$I$15*$Q$15</f>
        <v>0</v>
      </c>
      <c r="R67" s="17">
        <f>$I$15*$R$15</f>
        <v>0</v>
      </c>
      <c r="S67" s="17">
        <f>$I$15*$S$15</f>
        <v>0</v>
      </c>
      <c r="T67" s="17">
        <f>$I$15*$T$15</f>
        <v>0</v>
      </c>
      <c r="U67" s="17">
        <f>$I$15*$U$15</f>
        <v>0</v>
      </c>
      <c r="V67" s="17">
        <f>$I$15*$V$15</f>
        <v>0</v>
      </c>
      <c r="W67" s="17">
        <f>$I$15*$W$15</f>
        <v>0</v>
      </c>
      <c r="X67" s="17">
        <f>$I$15*$X$15</f>
        <v>0</v>
      </c>
      <c r="Y67" s="17">
        <f>$I$15*$Y$15</f>
        <v>0</v>
      </c>
      <c r="Z67" s="17">
        <f>$I$15*$Z$15</f>
        <v>0</v>
      </c>
      <c r="AA67" s="17">
        <f>$I$15*$AA$15</f>
        <v>5.8446959010991745E-8</v>
      </c>
      <c r="AB67" s="17">
        <f ca="1">$I$15*$AB$15</f>
        <v>0</v>
      </c>
      <c r="AC67" s="17">
        <f ca="1">$I$15*$AC$15</f>
        <v>0</v>
      </c>
      <c r="AD67" s="17">
        <f>$I$15*$AD$15</f>
        <v>0</v>
      </c>
      <c r="AE67" s="17">
        <f>$I$15*$AE$15</f>
        <v>0</v>
      </c>
      <c r="AF67" s="17">
        <f ca="1">$I$15*$AF$15</f>
        <v>0</v>
      </c>
      <c r="AG67" s="17">
        <f ca="1">$I$15*$AG$15</f>
        <v>0</v>
      </c>
      <c r="AI67" s="17">
        <f>$I$15*$AI$15</f>
        <v>0</v>
      </c>
      <c r="AJ67" s="17">
        <f>$I$15*$AJ$15</f>
        <v>1.0148637562230801E-10</v>
      </c>
      <c r="AK67" s="17">
        <f>$I$15*$AK$15</f>
        <v>0</v>
      </c>
      <c r="AL67" s="17">
        <f>$I$15*$AL$15</f>
        <v>0</v>
      </c>
      <c r="AM67" s="17">
        <f>$I$15*$AM$15</f>
        <v>0</v>
      </c>
      <c r="AN67" s="17">
        <f>$I$15*$AN$15</f>
        <v>0</v>
      </c>
      <c r="AO67" s="17">
        <f>$I$15*$AO$15</f>
        <v>0</v>
      </c>
      <c r="AP67" s="17">
        <f>$I$15*$AP$15</f>
        <v>0</v>
      </c>
      <c r="AQ67" s="17">
        <f>$I$15*$AQ$15</f>
        <v>0</v>
      </c>
      <c r="AR67" s="17">
        <f>$I$15*$AR$15</f>
        <v>0</v>
      </c>
      <c r="AS67" s="17">
        <f>$I$15*$AS$15</f>
        <v>0</v>
      </c>
      <c r="AT67" s="17">
        <f>$I$15*$AT$15</f>
        <v>0</v>
      </c>
      <c r="AU67" s="17">
        <f>$I$15*$AU$15</f>
        <v>0</v>
      </c>
      <c r="AV67" s="17">
        <f>$I$15*$AV$15</f>
        <v>0</v>
      </c>
      <c r="AW67" s="17">
        <f>$I$15*$AW$15</f>
        <v>0</v>
      </c>
      <c r="AX67" s="17">
        <f>$I$15*$AX$15</f>
        <v>5.7827822539549601E-8</v>
      </c>
      <c r="AY67" s="17">
        <f>$I$15*$AY$15</f>
        <v>0</v>
      </c>
      <c r="AZ67" s="17">
        <f>$I$15*$AZ$15</f>
        <v>0</v>
      </c>
      <c r="BA67" s="17">
        <f>$I$15*$BA$15</f>
        <v>0</v>
      </c>
      <c r="BB67" s="17">
        <f>$I$15*$BB$15</f>
        <v>0</v>
      </c>
      <c r="BC67" s="17">
        <f>$I$15*$BC$15</f>
        <v>0</v>
      </c>
      <c r="BD67" s="17">
        <f>$I$15*$BD$15</f>
        <v>0</v>
      </c>
    </row>
    <row r="68" spans="1:56" ht="11.25" customHeight="1" x14ac:dyDescent="0.25">
      <c r="A68" s="9" t="s">
        <v>80</v>
      </c>
      <c r="B68" s="9" t="s">
        <v>719</v>
      </c>
      <c r="C68" s="9" t="s">
        <v>720</v>
      </c>
      <c r="D68" s="9" t="s">
        <v>721</v>
      </c>
      <c r="E68" s="9" t="s">
        <v>725</v>
      </c>
      <c r="F68" s="9" t="s">
        <v>726</v>
      </c>
      <c r="G68" s="9" t="s">
        <v>727</v>
      </c>
      <c r="L68" s="17">
        <f>$I$16*$L$16</f>
        <v>0</v>
      </c>
      <c r="M68" s="17">
        <f>$I$16*$M$16</f>
        <v>1.1054928591923686E-10</v>
      </c>
      <c r="N68" s="17">
        <f ca="1">$I$16*$N$16</f>
        <v>0</v>
      </c>
      <c r="O68" s="17">
        <f>$I$16*$O$16</f>
        <v>0</v>
      </c>
      <c r="P68" s="17">
        <f>$I$16*$P$16</f>
        <v>0</v>
      </c>
      <c r="Q68" s="17">
        <f>$I$16*$Q$16</f>
        <v>0</v>
      </c>
      <c r="R68" s="17">
        <f>$I$16*$R$16</f>
        <v>0</v>
      </c>
      <c r="S68" s="17">
        <f>$I$16*$S$16</f>
        <v>0</v>
      </c>
      <c r="T68" s="17">
        <f>$I$16*$T$16</f>
        <v>0</v>
      </c>
      <c r="U68" s="17">
        <f>$I$16*$U$16</f>
        <v>0</v>
      </c>
      <c r="V68" s="17">
        <f>$I$16*$V$16</f>
        <v>0</v>
      </c>
      <c r="W68" s="17">
        <f>$I$16*$W$16</f>
        <v>0</v>
      </c>
      <c r="X68" s="17">
        <f>$I$16*$X$16</f>
        <v>0</v>
      </c>
      <c r="Y68" s="17">
        <f>$I$16*$Y$16</f>
        <v>0</v>
      </c>
      <c r="Z68" s="17">
        <f>$I$16*$Z$16</f>
        <v>0</v>
      </c>
      <c r="AA68" s="17">
        <f>$I$16*$AA$16</f>
        <v>1.1891289354418261E-7</v>
      </c>
      <c r="AB68" s="17">
        <f ca="1">$I$16*$AB$16</f>
        <v>0</v>
      </c>
      <c r="AC68" s="17">
        <f ca="1">$I$16*$AC$16</f>
        <v>0</v>
      </c>
      <c r="AD68" s="17">
        <f>$I$16*$AD$16</f>
        <v>0</v>
      </c>
      <c r="AE68" s="17">
        <f>$I$16*$AE$16</f>
        <v>0</v>
      </c>
      <c r="AF68" s="17">
        <f ca="1">$I$16*$AF$16</f>
        <v>0</v>
      </c>
      <c r="AG68" s="17">
        <f ca="1">$I$16*$AG$16</f>
        <v>0</v>
      </c>
      <c r="AI68" s="17">
        <f>$I$16*$AI$16</f>
        <v>0</v>
      </c>
      <c r="AJ68" s="17">
        <f>$I$16*$AJ$16</f>
        <v>1.0148637562230801E-10</v>
      </c>
      <c r="AK68" s="17">
        <f>$I$16*$AK$16</f>
        <v>0</v>
      </c>
      <c r="AL68" s="17">
        <f>$I$16*$AL$16</f>
        <v>0</v>
      </c>
      <c r="AM68" s="17">
        <f>$I$16*$AM$16</f>
        <v>0</v>
      </c>
      <c r="AN68" s="17">
        <f>$I$16*$AN$16</f>
        <v>0</v>
      </c>
      <c r="AO68" s="17">
        <f>$I$16*$AO$16</f>
        <v>0</v>
      </c>
      <c r="AP68" s="17">
        <f>$I$16*$AP$16</f>
        <v>0</v>
      </c>
      <c r="AQ68" s="17">
        <f>$I$16*$AQ$16</f>
        <v>0</v>
      </c>
      <c r="AR68" s="17">
        <f>$I$16*$AR$16</f>
        <v>0</v>
      </c>
      <c r="AS68" s="17">
        <f>$I$16*$AS$16</f>
        <v>0</v>
      </c>
      <c r="AT68" s="17">
        <f>$I$16*$AT$16</f>
        <v>0</v>
      </c>
      <c r="AU68" s="17">
        <f>$I$16*$AU$16</f>
        <v>0</v>
      </c>
      <c r="AV68" s="17">
        <f>$I$16*$AV$16</f>
        <v>0</v>
      </c>
      <c r="AW68" s="17">
        <f>$I$16*$AW$16</f>
        <v>0</v>
      </c>
      <c r="AX68" s="17">
        <f>$I$16*$AX$16</f>
        <v>1.1765326020206701E-7</v>
      </c>
      <c r="AY68" s="17">
        <f>$I$16*$AY$16</f>
        <v>0</v>
      </c>
      <c r="AZ68" s="17">
        <f>$I$16*$AZ$16</f>
        <v>0</v>
      </c>
      <c r="BA68" s="17">
        <f>$I$16*$BA$16</f>
        <v>0</v>
      </c>
      <c r="BB68" s="17">
        <f>$I$16*$BB$16</f>
        <v>0</v>
      </c>
      <c r="BC68" s="17">
        <f>$I$16*$BC$16</f>
        <v>0</v>
      </c>
      <c r="BD68" s="17">
        <f>$I$16*$BD$16</f>
        <v>0</v>
      </c>
    </row>
    <row r="69" spans="1:56" ht="11.25" customHeight="1" x14ac:dyDescent="0.25">
      <c r="A69" s="9" t="s">
        <v>22</v>
      </c>
      <c r="B69" s="9" t="s">
        <v>728</v>
      </c>
      <c r="C69" s="9" t="s">
        <v>729</v>
      </c>
      <c r="D69" s="9" t="s">
        <v>730</v>
      </c>
      <c r="E69" s="9" t="s">
        <v>731</v>
      </c>
      <c r="F69" s="9" t="s">
        <v>732</v>
      </c>
      <c r="G69" s="9" t="s">
        <v>733</v>
      </c>
      <c r="L69" s="17">
        <f>$I$17*$L$17</f>
        <v>0</v>
      </c>
      <c r="M69" s="17">
        <f>$I$17*$M$17</f>
        <v>0</v>
      </c>
      <c r="N69" s="17">
        <f ca="1">$I$17*$N$17</f>
        <v>0</v>
      </c>
      <c r="O69" s="17">
        <f>$I$17*$O$17</f>
        <v>0</v>
      </c>
      <c r="P69" s="17">
        <f>$I$17*$P$17</f>
        <v>0</v>
      </c>
      <c r="Q69" s="17">
        <f>$I$17*$Q$17</f>
        <v>0</v>
      </c>
      <c r="R69" s="17">
        <f>$I$17*$R$17</f>
        <v>0</v>
      </c>
      <c r="S69" s="17">
        <f>$I$17*$S$17</f>
        <v>0</v>
      </c>
      <c r="T69" s="17">
        <f>$I$17*$T$17</f>
        <v>0</v>
      </c>
      <c r="U69" s="17">
        <f>$I$17*$U$17</f>
        <v>0</v>
      </c>
      <c r="V69" s="17">
        <f>$I$17*$V$17</f>
        <v>0</v>
      </c>
      <c r="W69" s="17">
        <f>$I$17*$W$17</f>
        <v>0</v>
      </c>
      <c r="X69" s="17">
        <f>$I$17*$X$17</f>
        <v>0</v>
      </c>
      <c r="Y69" s="17">
        <f>$I$17*$Y$17</f>
        <v>0</v>
      </c>
      <c r="Z69" s="17">
        <f>$I$17*$Z$17</f>
        <v>0</v>
      </c>
      <c r="AA69" s="17">
        <f>$I$17*$AA$17</f>
        <v>0</v>
      </c>
      <c r="AB69" s="17">
        <f ca="1">$I$17*$AB$17</f>
        <v>0</v>
      </c>
      <c r="AC69" s="17">
        <f ca="1">$I$17*$AC$17</f>
        <v>0</v>
      </c>
      <c r="AD69" s="17">
        <f>$I$17*$AD$17</f>
        <v>0</v>
      </c>
      <c r="AE69" s="17">
        <f>$I$17*$AE$17</f>
        <v>0</v>
      </c>
      <c r="AF69" s="17">
        <f ca="1">$I$17*$AF$17</f>
        <v>0</v>
      </c>
      <c r="AG69" s="17">
        <f ca="1">$I$17*$AG$17</f>
        <v>0</v>
      </c>
      <c r="AI69" s="17">
        <f>$I$17*$AI$17</f>
        <v>0</v>
      </c>
      <c r="AJ69" s="17">
        <f>$I$17*$AJ$17</f>
        <v>0</v>
      </c>
      <c r="AK69" s="17">
        <f>$I$17*$AK$17</f>
        <v>0</v>
      </c>
      <c r="AL69" s="17">
        <f>$I$17*$AL$17</f>
        <v>0</v>
      </c>
      <c r="AM69" s="17">
        <f>$I$17*$AM$17</f>
        <v>0</v>
      </c>
      <c r="AN69" s="17">
        <f>$I$17*$AN$17</f>
        <v>0</v>
      </c>
      <c r="AO69" s="17">
        <f>$I$17*$AO$17</f>
        <v>0</v>
      </c>
      <c r="AP69" s="17">
        <f>$I$17*$AP$17</f>
        <v>0</v>
      </c>
      <c r="AQ69" s="17">
        <f>$I$17*$AQ$17</f>
        <v>0</v>
      </c>
      <c r="AR69" s="17">
        <f>$I$17*$AR$17</f>
        <v>0</v>
      </c>
      <c r="AS69" s="17">
        <f>$I$17*$AS$17</f>
        <v>0</v>
      </c>
      <c r="AT69" s="17">
        <f>$I$17*$AT$17</f>
        <v>0</v>
      </c>
      <c r="AU69" s="17">
        <f>$I$17*$AU$17</f>
        <v>0</v>
      </c>
      <c r="AV69" s="17">
        <f>$I$17*$AV$17</f>
        <v>0</v>
      </c>
      <c r="AW69" s="17">
        <f>$I$17*$AW$17</f>
        <v>0</v>
      </c>
      <c r="AX69" s="17">
        <f>$I$17*$AX$17</f>
        <v>0</v>
      </c>
      <c r="AY69" s="17">
        <f>$I$17*$AY$17</f>
        <v>0</v>
      </c>
      <c r="AZ69" s="17">
        <f>$I$17*$AZ$17</f>
        <v>0</v>
      </c>
      <c r="BA69" s="17">
        <f>$I$17*$BA$17</f>
        <v>0</v>
      </c>
      <c r="BB69" s="17">
        <f>$I$17*$BB$17</f>
        <v>0</v>
      </c>
      <c r="BC69" s="17">
        <f>$I$17*$BC$17</f>
        <v>0</v>
      </c>
      <c r="BD69" s="17">
        <f>$I$17*$BD$17</f>
        <v>0</v>
      </c>
    </row>
    <row r="70" spans="1:56" ht="11.25" customHeight="1" x14ac:dyDescent="0.25">
      <c r="A70" s="9" t="s">
        <v>22</v>
      </c>
      <c r="B70" s="9" t="s">
        <v>728</v>
      </c>
      <c r="C70" s="9" t="s">
        <v>729</v>
      </c>
      <c r="D70" s="9" t="s">
        <v>730</v>
      </c>
      <c r="E70" s="9" t="s">
        <v>731</v>
      </c>
      <c r="F70" s="9" t="s">
        <v>732</v>
      </c>
      <c r="G70" s="9" t="s">
        <v>734</v>
      </c>
      <c r="L70" s="17">
        <f>$I$18*$L$18</f>
        <v>0</v>
      </c>
      <c r="M70" s="17">
        <f>$I$18*$M$18</f>
        <v>0</v>
      </c>
      <c r="N70" s="17">
        <f ca="1">$I$18*$N$18</f>
        <v>0</v>
      </c>
      <c r="O70" s="17">
        <f>$I$18*$O$18</f>
        <v>0</v>
      </c>
      <c r="P70" s="17">
        <f>$I$18*$P$18</f>
        <v>0</v>
      </c>
      <c r="Q70" s="17">
        <f>$I$18*$Q$18</f>
        <v>0</v>
      </c>
      <c r="R70" s="17">
        <f>$I$18*$R$18</f>
        <v>0</v>
      </c>
      <c r="S70" s="17">
        <f>$I$18*$S$18</f>
        <v>0</v>
      </c>
      <c r="T70" s="17">
        <f>$I$18*$T$18</f>
        <v>0</v>
      </c>
      <c r="U70" s="17">
        <f>$I$18*$U$18</f>
        <v>0</v>
      </c>
      <c r="V70" s="17">
        <f>$I$18*$V$18</f>
        <v>0</v>
      </c>
      <c r="W70" s="17">
        <f>$I$18*$W$18</f>
        <v>0</v>
      </c>
      <c r="X70" s="17">
        <f>$I$18*$X$18</f>
        <v>0</v>
      </c>
      <c r="Y70" s="17">
        <f>$I$18*$Y$18</f>
        <v>0</v>
      </c>
      <c r="Z70" s="17">
        <f>$I$18*$Z$18</f>
        <v>0</v>
      </c>
      <c r="AA70" s="17">
        <f>$I$18*$AA$18</f>
        <v>0</v>
      </c>
      <c r="AB70" s="17">
        <f ca="1">$I$18*$AB$18</f>
        <v>0</v>
      </c>
      <c r="AC70" s="17">
        <f ca="1">$I$18*$AC$18</f>
        <v>0</v>
      </c>
      <c r="AD70" s="17">
        <f>$I$18*$AD$18</f>
        <v>0</v>
      </c>
      <c r="AE70" s="17">
        <f>$I$18*$AE$18</f>
        <v>0</v>
      </c>
      <c r="AF70" s="17">
        <f ca="1">$I$18*$AF$18</f>
        <v>0</v>
      </c>
      <c r="AG70" s="17">
        <f ca="1">$I$18*$AG$18</f>
        <v>0</v>
      </c>
      <c r="AI70" s="17">
        <f>$I$18*$AI$18</f>
        <v>0</v>
      </c>
      <c r="AJ70" s="17">
        <f>$I$18*$AJ$18</f>
        <v>0</v>
      </c>
      <c r="AK70" s="17">
        <f>$I$18*$AK$18</f>
        <v>0</v>
      </c>
      <c r="AL70" s="17">
        <f>$I$18*$AL$18</f>
        <v>0</v>
      </c>
      <c r="AM70" s="17">
        <f>$I$18*$AM$18</f>
        <v>0</v>
      </c>
      <c r="AN70" s="17">
        <f>$I$18*$AN$18</f>
        <v>0</v>
      </c>
      <c r="AO70" s="17">
        <f>$I$18*$AO$18</f>
        <v>0</v>
      </c>
      <c r="AP70" s="17">
        <f>$I$18*$AP$18</f>
        <v>0</v>
      </c>
      <c r="AQ70" s="17">
        <f>$I$18*$AQ$18</f>
        <v>0</v>
      </c>
      <c r="AR70" s="17">
        <f>$I$18*$AR$18</f>
        <v>0</v>
      </c>
      <c r="AS70" s="17">
        <f>$I$18*$AS$18</f>
        <v>0</v>
      </c>
      <c r="AT70" s="17">
        <f>$I$18*$AT$18</f>
        <v>0</v>
      </c>
      <c r="AU70" s="17">
        <f>$I$18*$AU$18</f>
        <v>0</v>
      </c>
      <c r="AV70" s="17">
        <f>$I$18*$AV$18</f>
        <v>0</v>
      </c>
      <c r="AW70" s="17">
        <f>$I$18*$AW$18</f>
        <v>0</v>
      </c>
      <c r="AX70" s="17">
        <f>$I$18*$AX$18</f>
        <v>0</v>
      </c>
      <c r="AY70" s="17">
        <f>$I$18*$AY$18</f>
        <v>0</v>
      </c>
      <c r="AZ70" s="17">
        <f>$I$18*$AZ$18</f>
        <v>0</v>
      </c>
      <c r="BA70" s="17">
        <f>$I$18*$BA$18</f>
        <v>0</v>
      </c>
      <c r="BB70" s="17">
        <f>$I$18*$BB$18</f>
        <v>0</v>
      </c>
      <c r="BC70" s="17">
        <f>$I$18*$BC$18</f>
        <v>0</v>
      </c>
      <c r="BD70" s="17">
        <f>$I$18*$BD$18</f>
        <v>0</v>
      </c>
    </row>
    <row r="71" spans="1:56" ht="11.25" customHeight="1" x14ac:dyDescent="0.25">
      <c r="A71" s="9" t="s">
        <v>22</v>
      </c>
      <c r="B71" s="9" t="s">
        <v>728</v>
      </c>
      <c r="C71" s="9" t="s">
        <v>729</v>
      </c>
      <c r="D71" s="9" t="s">
        <v>730</v>
      </c>
      <c r="E71" s="9" t="s">
        <v>731</v>
      </c>
      <c r="F71" s="9" t="s">
        <v>732</v>
      </c>
      <c r="G71" s="9" t="s">
        <v>735</v>
      </c>
      <c r="L71" s="17">
        <f>$I$19*$L$19</f>
        <v>0</v>
      </c>
      <c r="M71" s="17">
        <f>$I$19*$M$19</f>
        <v>0</v>
      </c>
      <c r="N71" s="17">
        <f ca="1">$I$19*$N$19</f>
        <v>0</v>
      </c>
      <c r="O71" s="17">
        <f>$I$19*$O$19</f>
        <v>0</v>
      </c>
      <c r="P71" s="17">
        <f>$I$19*$P$19</f>
        <v>0</v>
      </c>
      <c r="Q71" s="17">
        <f>$I$19*$Q$19</f>
        <v>0</v>
      </c>
      <c r="R71" s="17">
        <f>$I$19*$R$19</f>
        <v>0</v>
      </c>
      <c r="S71" s="17">
        <f>$I$19*$S$19</f>
        <v>0</v>
      </c>
      <c r="T71" s="17">
        <f>$I$19*$T$19</f>
        <v>0</v>
      </c>
      <c r="U71" s="17">
        <f>$I$19*$U$19</f>
        <v>0</v>
      </c>
      <c r="V71" s="17">
        <f>$I$19*$V$19</f>
        <v>0</v>
      </c>
      <c r="W71" s="17">
        <f>$I$19*$W$19</f>
        <v>0</v>
      </c>
      <c r="X71" s="17">
        <f>$I$19*$X$19</f>
        <v>0</v>
      </c>
      <c r="Y71" s="17">
        <f>$I$19*$Y$19</f>
        <v>0</v>
      </c>
      <c r="Z71" s="17">
        <f>$I$19*$Z$19</f>
        <v>0</v>
      </c>
      <c r="AA71" s="17">
        <f>$I$19*$AA$19</f>
        <v>0</v>
      </c>
      <c r="AB71" s="17">
        <f ca="1">$I$19*$AB$19</f>
        <v>0</v>
      </c>
      <c r="AC71" s="17">
        <f ca="1">$I$19*$AC$19</f>
        <v>0</v>
      </c>
      <c r="AD71" s="17">
        <f>$I$19*$AD$19</f>
        <v>0</v>
      </c>
      <c r="AE71" s="17">
        <f>$I$19*$AE$19</f>
        <v>0</v>
      </c>
      <c r="AF71" s="17">
        <f ca="1">$I$19*$AF$19</f>
        <v>0</v>
      </c>
      <c r="AG71" s="17">
        <f ca="1">$I$19*$AG$19</f>
        <v>0</v>
      </c>
      <c r="AI71" s="17">
        <f>$I$19*$AI$19</f>
        <v>0</v>
      </c>
      <c r="AJ71" s="17">
        <f>$I$19*$AJ$19</f>
        <v>0</v>
      </c>
      <c r="AK71" s="17">
        <f>$I$19*$AK$19</f>
        <v>0</v>
      </c>
      <c r="AL71" s="17">
        <f>$I$19*$AL$19</f>
        <v>0</v>
      </c>
      <c r="AM71" s="17">
        <f>$I$19*$AM$19</f>
        <v>0</v>
      </c>
      <c r="AN71" s="17">
        <f>$I$19*$AN$19</f>
        <v>0</v>
      </c>
      <c r="AO71" s="17">
        <f>$I$19*$AO$19</f>
        <v>0</v>
      </c>
      <c r="AP71" s="17">
        <f>$I$19*$AP$19</f>
        <v>0</v>
      </c>
      <c r="AQ71" s="17">
        <f>$I$19*$AQ$19</f>
        <v>0</v>
      </c>
      <c r="AR71" s="17">
        <f>$I$19*$AR$19</f>
        <v>0</v>
      </c>
      <c r="AS71" s="17">
        <f>$I$19*$AS$19</f>
        <v>0</v>
      </c>
      <c r="AT71" s="17">
        <f>$I$19*$AT$19</f>
        <v>0</v>
      </c>
      <c r="AU71" s="17">
        <f>$I$19*$AU$19</f>
        <v>0</v>
      </c>
      <c r="AV71" s="17">
        <f>$I$19*$AV$19</f>
        <v>0</v>
      </c>
      <c r="AW71" s="17">
        <f>$I$19*$AW$19</f>
        <v>0</v>
      </c>
      <c r="AX71" s="17">
        <f>$I$19*$AX$19</f>
        <v>0</v>
      </c>
      <c r="AY71" s="17">
        <f>$I$19*$AY$19</f>
        <v>0</v>
      </c>
      <c r="AZ71" s="17">
        <f>$I$19*$AZ$19</f>
        <v>0</v>
      </c>
      <c r="BA71" s="17">
        <f>$I$19*$BA$19</f>
        <v>0</v>
      </c>
      <c r="BB71" s="17">
        <f>$I$19*$BB$19</f>
        <v>0</v>
      </c>
      <c r="BC71" s="17">
        <f>$I$19*$BC$19</f>
        <v>0</v>
      </c>
      <c r="BD71" s="17">
        <f>$I$19*$BD$19</f>
        <v>0</v>
      </c>
    </row>
    <row r="72" spans="1:56" ht="11.25" customHeight="1" x14ac:dyDescent="0.25">
      <c r="A72" s="9" t="s">
        <v>22</v>
      </c>
      <c r="B72" s="9" t="s">
        <v>736</v>
      </c>
      <c r="C72" s="9" t="s">
        <v>737</v>
      </c>
      <c r="D72" s="9" t="s">
        <v>738</v>
      </c>
      <c r="E72" s="9" t="s">
        <v>739</v>
      </c>
      <c r="F72" s="9" t="s">
        <v>740</v>
      </c>
      <c r="G72" s="9" t="s">
        <v>741</v>
      </c>
      <c r="L72" s="17">
        <f>$I$20*$L$20</f>
        <v>0</v>
      </c>
      <c r="M72" s="17">
        <f>$I$20*$M$20</f>
        <v>17510.06258722597</v>
      </c>
      <c r="N72" s="17">
        <f ca="1">$I$20*$N$20</f>
        <v>0</v>
      </c>
      <c r="O72" s="17">
        <f>$I$20*$O$20</f>
        <v>0</v>
      </c>
      <c r="P72" s="17">
        <f>$I$20*$P$20</f>
        <v>0</v>
      </c>
      <c r="Q72" s="17">
        <f>$I$20*$Q$20</f>
        <v>1074721.7783245305</v>
      </c>
      <c r="R72" s="17">
        <f>$I$20*$R$20</f>
        <v>169553.28424159443</v>
      </c>
      <c r="S72" s="17">
        <f>$I$20*$S$20</f>
        <v>0</v>
      </c>
      <c r="T72" s="17">
        <f>$I$20*$T$20</f>
        <v>0</v>
      </c>
      <c r="U72" s="17">
        <f>$I$20*$U$20</f>
        <v>0</v>
      </c>
      <c r="V72" s="17">
        <f>$I$20*$V$20</f>
        <v>0</v>
      </c>
      <c r="W72" s="17">
        <f>$I$20*$W$20</f>
        <v>0</v>
      </c>
      <c r="X72" s="17">
        <f>$I$20*$X$20</f>
        <v>1194916.596857761</v>
      </c>
      <c r="Y72" s="17">
        <f>$I$20*$Y$20</f>
        <v>0</v>
      </c>
      <c r="Z72" s="17">
        <f>$I$20*$Z$20</f>
        <v>0</v>
      </c>
      <c r="AA72" s="17">
        <f>$I$20*$AA$20</f>
        <v>2181564.4862379259</v>
      </c>
      <c r="AB72" s="17">
        <f ca="1">$I$20*$AB$20</f>
        <v>0</v>
      </c>
      <c r="AC72" s="17">
        <f ca="1">$I$20*$AC$20</f>
        <v>0</v>
      </c>
      <c r="AD72" s="17">
        <f>$I$20*$AD$20</f>
        <v>222952.32517717557</v>
      </c>
      <c r="AE72" s="17">
        <f>$I$20*$AE$20</f>
        <v>0</v>
      </c>
      <c r="AF72" s="17">
        <f ca="1">$I$20*$AF$20</f>
        <v>0</v>
      </c>
      <c r="AG72" s="17">
        <f ca="1">$I$20*$AG$20</f>
        <v>0</v>
      </c>
      <c r="AI72" s="17">
        <f>$I$20*$AI$20</f>
        <v>0</v>
      </c>
      <c r="AJ72" s="17">
        <f>$I$20*$AJ$20</f>
        <v>15565.088766458141</v>
      </c>
      <c r="AK72" s="17">
        <f>$I$20*$AK$20</f>
        <v>0</v>
      </c>
      <c r="AL72" s="17">
        <f>$I$20*$AL$20</f>
        <v>0</v>
      </c>
      <c r="AM72" s="17">
        <f>$I$20*$AM$20</f>
        <v>0</v>
      </c>
      <c r="AN72" s="17">
        <f>$I$20*$AN$20</f>
        <v>669622.48012953112</v>
      </c>
      <c r="AO72" s="17">
        <f>$I$20*$AO$20</f>
        <v>104237.73719386259</v>
      </c>
      <c r="AP72" s="17">
        <f>$I$20*$AP$20</f>
        <v>0</v>
      </c>
      <c r="AQ72" s="17">
        <f>$I$20*$AQ$20</f>
        <v>0</v>
      </c>
      <c r="AR72" s="17">
        <f>$I$20*$AR$20</f>
        <v>0</v>
      </c>
      <c r="AS72" s="17">
        <f>$I$20*$AS$20</f>
        <v>0</v>
      </c>
      <c r="AT72" s="17">
        <f>$I$20*$AT$20</f>
        <v>0</v>
      </c>
      <c r="AU72" s="17">
        <f>$I$20*$AU$20</f>
        <v>1251826.5848164498</v>
      </c>
      <c r="AV72" s="17">
        <f>$I$20*$AV$20</f>
        <v>0</v>
      </c>
      <c r="AW72" s="17">
        <f>$I$20*$AW$20</f>
        <v>0</v>
      </c>
      <c r="AX72" s="17">
        <f>$I$20*$AX$20</f>
        <v>2158454.3955887593</v>
      </c>
      <c r="AY72" s="17">
        <f>$I$20*$AY$20</f>
        <v>0</v>
      </c>
      <c r="AZ72" s="17">
        <f>$I$20*$AZ$20</f>
        <v>0</v>
      </c>
      <c r="BA72" s="17">
        <f>$I$20*$BA$20</f>
        <v>209393.69992185986</v>
      </c>
      <c r="BB72" s="17">
        <f>$I$20*$BB$20</f>
        <v>0</v>
      </c>
      <c r="BC72" s="17">
        <f>$I$20*$BC$20</f>
        <v>0</v>
      </c>
      <c r="BD72" s="17">
        <f>$I$20*$BD$20</f>
        <v>0</v>
      </c>
    </row>
    <row r="73" spans="1:56" ht="11.25" customHeight="1" x14ac:dyDescent="0.25">
      <c r="A73" s="9" t="s">
        <v>22</v>
      </c>
      <c r="B73" s="9" t="s">
        <v>736</v>
      </c>
      <c r="C73" s="9" t="s">
        <v>737</v>
      </c>
      <c r="D73" s="9" t="s">
        <v>742</v>
      </c>
      <c r="E73" s="9" t="s">
        <v>743</v>
      </c>
      <c r="F73" s="9" t="s">
        <v>744</v>
      </c>
      <c r="G73" s="9" t="s">
        <v>745</v>
      </c>
      <c r="L73" s="17">
        <f>$I$21*$L$21</f>
        <v>0</v>
      </c>
      <c r="M73" s="17">
        <f>$I$21*$M$21</f>
        <v>15.939183960026993</v>
      </c>
      <c r="N73" s="17">
        <f ca="1">$I$21*$N$21</f>
        <v>0</v>
      </c>
      <c r="O73" s="17">
        <f>$I$21*$O$21</f>
        <v>0</v>
      </c>
      <c r="P73" s="17">
        <f>$I$21*$P$21</f>
        <v>0</v>
      </c>
      <c r="Q73" s="17">
        <f>$I$21*$Q$21</f>
        <v>0</v>
      </c>
      <c r="R73" s="17">
        <f>$I$21*$R$21</f>
        <v>0</v>
      </c>
      <c r="S73" s="17">
        <f>$I$21*$S$21</f>
        <v>0</v>
      </c>
      <c r="T73" s="17">
        <f>$I$21*$T$21</f>
        <v>0</v>
      </c>
      <c r="U73" s="17">
        <f>$I$21*$U$21</f>
        <v>0</v>
      </c>
      <c r="V73" s="17">
        <f>$I$21*$V$21</f>
        <v>0</v>
      </c>
      <c r="W73" s="17">
        <f>$I$21*$W$21</f>
        <v>0</v>
      </c>
      <c r="X73" s="17">
        <f>$I$21*$X$21</f>
        <v>1087.717154597711</v>
      </c>
      <c r="Y73" s="17">
        <f>$I$21*$Y$21</f>
        <v>0</v>
      </c>
      <c r="Z73" s="17">
        <f>$I$21*$Z$21</f>
        <v>0</v>
      </c>
      <c r="AA73" s="17">
        <f>$I$21*$AA$21</f>
        <v>1985.8499930306011</v>
      </c>
      <c r="AB73" s="17">
        <f ca="1">$I$21*$AB$21</f>
        <v>0</v>
      </c>
      <c r="AC73" s="17">
        <f ca="1">$I$21*$AC$21</f>
        <v>0</v>
      </c>
      <c r="AD73" s="17">
        <f>$I$21*$AD$21</f>
        <v>202.95062382628242</v>
      </c>
      <c r="AE73" s="17">
        <f>$I$21*$AE$21</f>
        <v>0</v>
      </c>
      <c r="AF73" s="17">
        <f ca="1">$I$21*$AF$21</f>
        <v>0</v>
      </c>
      <c r="AG73" s="17">
        <f ca="1">$I$21*$AG$21</f>
        <v>0</v>
      </c>
      <c r="AI73" s="17">
        <f>$I$21*$AI$21</f>
        <v>0</v>
      </c>
      <c r="AJ73" s="17">
        <f>$I$21*$AJ$21</f>
        <v>14.168699395952848</v>
      </c>
      <c r="AK73" s="17">
        <f>$I$21*$AK$21</f>
        <v>0</v>
      </c>
      <c r="AL73" s="17">
        <f>$I$21*$AL$21</f>
        <v>0</v>
      </c>
      <c r="AM73" s="17">
        <f>$I$21*$AM$21</f>
        <v>0</v>
      </c>
      <c r="AN73" s="17">
        <f>$I$21*$AN$21</f>
        <v>0</v>
      </c>
      <c r="AO73" s="17">
        <f>$I$21*$AO$21</f>
        <v>0</v>
      </c>
      <c r="AP73" s="17">
        <f>$I$21*$AP$21</f>
        <v>0</v>
      </c>
      <c r="AQ73" s="17">
        <f>$I$21*$AQ$21</f>
        <v>0</v>
      </c>
      <c r="AR73" s="17">
        <f>$I$21*$AR$21</f>
        <v>0</v>
      </c>
      <c r="AS73" s="17">
        <f>$I$21*$AS$21</f>
        <v>0</v>
      </c>
      <c r="AT73" s="17">
        <f>$I$21*$AT$21</f>
        <v>0</v>
      </c>
      <c r="AU73" s="17">
        <f>$I$21*$AU$21</f>
        <v>1139.5215820643616</v>
      </c>
      <c r="AV73" s="17">
        <f>$I$21*$AV$21</f>
        <v>0</v>
      </c>
      <c r="AW73" s="17">
        <f>$I$21*$AW$21</f>
        <v>0</v>
      </c>
      <c r="AX73" s="17">
        <f>$I$21*$AX$21</f>
        <v>1964.813175808792</v>
      </c>
      <c r="AY73" s="17">
        <f>$I$21*$AY$21</f>
        <v>0</v>
      </c>
      <c r="AZ73" s="17">
        <f>$I$21*$AZ$21</f>
        <v>0</v>
      </c>
      <c r="BA73" s="17">
        <f>$I$21*$BA$21</f>
        <v>190.60838226586603</v>
      </c>
      <c r="BB73" s="17">
        <f>$I$21*$BB$21</f>
        <v>0</v>
      </c>
      <c r="BC73" s="17">
        <f>$I$21*$BC$21</f>
        <v>0</v>
      </c>
      <c r="BD73" s="17">
        <f>$I$21*$BD$21</f>
        <v>0</v>
      </c>
    </row>
    <row r="74" spans="1:56" ht="11.25" customHeight="1" x14ac:dyDescent="0.25">
      <c r="A74" s="9" t="s">
        <v>22</v>
      </c>
      <c r="B74" s="9" t="s">
        <v>736</v>
      </c>
      <c r="C74" s="9" t="s">
        <v>737</v>
      </c>
      <c r="D74" s="9" t="s">
        <v>746</v>
      </c>
      <c r="E74" s="9" t="s">
        <v>747</v>
      </c>
      <c r="F74" s="9" t="s">
        <v>748</v>
      </c>
      <c r="G74" s="9" t="s">
        <v>749</v>
      </c>
      <c r="L74" s="17">
        <f>$I$22*$L$22</f>
        <v>0</v>
      </c>
      <c r="M74" s="17">
        <f>$I$22*$M$22</f>
        <v>54.741161114690293</v>
      </c>
      <c r="N74" s="17">
        <f ca="1">$I$22*$N$22</f>
        <v>0</v>
      </c>
      <c r="O74" s="17">
        <f>$I$22*$O$22</f>
        <v>0</v>
      </c>
      <c r="P74" s="17">
        <f>$I$22*$P$22</f>
        <v>0</v>
      </c>
      <c r="Q74" s="17">
        <f>$I$22*$Q$22</f>
        <v>0</v>
      </c>
      <c r="R74" s="17">
        <f>$I$22*$R$22</f>
        <v>0</v>
      </c>
      <c r="S74" s="17">
        <f>$I$22*$S$22</f>
        <v>0</v>
      </c>
      <c r="T74" s="17">
        <f>$I$22*$T$22</f>
        <v>0</v>
      </c>
      <c r="U74" s="17">
        <f>$I$22*$U$22</f>
        <v>0</v>
      </c>
      <c r="V74" s="17">
        <f>$I$22*$V$22</f>
        <v>0</v>
      </c>
      <c r="W74" s="17">
        <f>$I$22*$W$22</f>
        <v>0</v>
      </c>
      <c r="X74" s="17">
        <f>$I$22*$X$22</f>
        <v>3735.6303908889035</v>
      </c>
      <c r="Y74" s="17">
        <f>$I$22*$Y$22</f>
        <v>0</v>
      </c>
      <c r="Z74" s="17">
        <f>$I$22*$Z$22</f>
        <v>0</v>
      </c>
      <c r="AA74" s="17">
        <f>$I$22*$AA$22</f>
        <v>6820.1568342969686</v>
      </c>
      <c r="AB74" s="17">
        <f ca="1">$I$22*$AB$22</f>
        <v>0</v>
      </c>
      <c r="AC74" s="17">
        <f ca="1">$I$22*$AC$22</f>
        <v>0</v>
      </c>
      <c r="AD74" s="17">
        <f>$I$22*$AD$22</f>
        <v>697.00888232816487</v>
      </c>
      <c r="AE74" s="17">
        <f>$I$22*$AE$22</f>
        <v>0</v>
      </c>
      <c r="AF74" s="17">
        <f ca="1">$I$22*$AF$22</f>
        <v>0</v>
      </c>
      <c r="AG74" s="17">
        <f ca="1">$I$22*$AG$22</f>
        <v>0</v>
      </c>
      <c r="AI74" s="17">
        <f>$I$22*$AI$22</f>
        <v>0</v>
      </c>
      <c r="AJ74" s="17">
        <f>$I$22*$AJ$22</f>
        <v>48.660650279498803</v>
      </c>
      <c r="AK74" s="17">
        <f>$I$22*$AK$22</f>
        <v>0</v>
      </c>
      <c r="AL74" s="17">
        <f>$I$22*$AL$22</f>
        <v>0</v>
      </c>
      <c r="AM74" s="17">
        <f>$I$22*$AM$22</f>
        <v>0</v>
      </c>
      <c r="AN74" s="17">
        <f>$I$22*$AN$22</f>
        <v>0</v>
      </c>
      <c r="AO74" s="17">
        <f>$I$22*$AO$22</f>
        <v>0</v>
      </c>
      <c r="AP74" s="17">
        <f>$I$22*$AP$22</f>
        <v>0</v>
      </c>
      <c r="AQ74" s="17">
        <f>$I$22*$AQ$22</f>
        <v>0</v>
      </c>
      <c r="AR74" s="17">
        <f>$I$22*$AR$22</f>
        <v>0</v>
      </c>
      <c r="AS74" s="17">
        <f>$I$22*$AS$22</f>
        <v>0</v>
      </c>
      <c r="AT74" s="17">
        <f>$I$22*$AT$22</f>
        <v>0</v>
      </c>
      <c r="AU74" s="17">
        <f>$I$22*$AU$22</f>
        <v>3913.5463066295115</v>
      </c>
      <c r="AV74" s="17">
        <f>$I$22*$AV$22</f>
        <v>0</v>
      </c>
      <c r="AW74" s="17">
        <f>$I$22*$AW$22</f>
        <v>0</v>
      </c>
      <c r="AX74" s="17">
        <f>$I$22*$AX$22</f>
        <v>6747.9084805690045</v>
      </c>
      <c r="AY74" s="17">
        <f>$I$22*$AY$22</f>
        <v>0</v>
      </c>
      <c r="AZ74" s="17">
        <f>$I$22*$AZ$22</f>
        <v>0</v>
      </c>
      <c r="BA74" s="17">
        <f>$I$22*$BA$22</f>
        <v>654.62097618004918</v>
      </c>
      <c r="BB74" s="17">
        <f>$I$22*$BB$22</f>
        <v>0</v>
      </c>
      <c r="BC74" s="17">
        <f>$I$22*$BC$22</f>
        <v>0</v>
      </c>
      <c r="BD74" s="17">
        <f>$I$22*$BD$22</f>
        <v>0</v>
      </c>
    </row>
    <row r="75" spans="1:56" ht="11.25" customHeight="1" x14ac:dyDescent="0.25">
      <c r="A75" s="9" t="s">
        <v>22</v>
      </c>
      <c r="B75" s="9" t="s">
        <v>736</v>
      </c>
      <c r="C75" s="9" t="s">
        <v>737</v>
      </c>
      <c r="D75" s="9" t="s">
        <v>750</v>
      </c>
      <c r="E75" s="9" t="s">
        <v>751</v>
      </c>
      <c r="F75" s="9" t="s">
        <v>752</v>
      </c>
      <c r="G75" s="9" t="s">
        <v>753</v>
      </c>
      <c r="L75" s="17">
        <f>$I$23*$L$23</f>
        <v>0</v>
      </c>
      <c r="M75" s="17">
        <f>$I$23*$M$23</f>
        <v>79.334482304084915</v>
      </c>
      <c r="N75" s="17">
        <f ca="1">$I$23*$N$23</f>
        <v>0</v>
      </c>
      <c r="O75" s="17">
        <f>$I$23*$O$23</f>
        <v>0</v>
      </c>
      <c r="P75" s="17">
        <f>$I$23*$P$23</f>
        <v>0</v>
      </c>
      <c r="Q75" s="17">
        <f>$I$23*$Q$23</f>
        <v>0</v>
      </c>
      <c r="R75" s="17">
        <f>$I$23*$R$23</f>
        <v>0</v>
      </c>
      <c r="S75" s="17">
        <f>$I$23*$S$23</f>
        <v>0</v>
      </c>
      <c r="T75" s="17">
        <f>$I$23*$T$23</f>
        <v>0</v>
      </c>
      <c r="U75" s="17">
        <f>$I$23*$U$23</f>
        <v>0</v>
      </c>
      <c r="V75" s="17">
        <f>$I$23*$V$23</f>
        <v>0</v>
      </c>
      <c r="W75" s="17">
        <f>$I$23*$W$23</f>
        <v>0</v>
      </c>
      <c r="X75" s="17">
        <f>$I$23*$X$23</f>
        <v>5413.9206605364725</v>
      </c>
      <c r="Y75" s="17">
        <f>$I$23*$Y$23</f>
        <v>0</v>
      </c>
      <c r="Z75" s="17">
        <f>$I$23*$Z$23</f>
        <v>0</v>
      </c>
      <c r="AA75" s="17">
        <f>$I$23*$AA$23</f>
        <v>9884.2187608697714</v>
      </c>
      <c r="AB75" s="17">
        <f ca="1">$I$23*$AB$23</f>
        <v>0</v>
      </c>
      <c r="AC75" s="17">
        <f ca="1">$I$23*$AC$23</f>
        <v>0</v>
      </c>
      <c r="AD75" s="17">
        <f>$I$23*$AD$23</f>
        <v>1010.1510036478636</v>
      </c>
      <c r="AE75" s="17">
        <f>$I$23*$AE$23</f>
        <v>0</v>
      </c>
      <c r="AF75" s="17">
        <f ca="1">$I$23*$AF$23</f>
        <v>0</v>
      </c>
      <c r="AG75" s="17">
        <f ca="1">$I$23*$AG$23</f>
        <v>0</v>
      </c>
      <c r="AI75" s="17">
        <f>$I$23*$AI$23</f>
        <v>0</v>
      </c>
      <c r="AJ75" s="17">
        <f>$I$23*$AJ$23</f>
        <v>70.522207053956151</v>
      </c>
      <c r="AK75" s="17">
        <f>$I$23*$AK$23</f>
        <v>0</v>
      </c>
      <c r="AL75" s="17">
        <f>$I$23*$AL$23</f>
        <v>0</v>
      </c>
      <c r="AM75" s="17">
        <f>$I$23*$AM$23</f>
        <v>0</v>
      </c>
      <c r="AN75" s="17">
        <f>$I$23*$AN$23</f>
        <v>0</v>
      </c>
      <c r="AO75" s="17">
        <f>$I$23*$AO$23</f>
        <v>0</v>
      </c>
      <c r="AP75" s="17">
        <f>$I$23*$AP$23</f>
        <v>0</v>
      </c>
      <c r="AQ75" s="17">
        <f>$I$23*$AQ$23</f>
        <v>0</v>
      </c>
      <c r="AR75" s="17">
        <f>$I$23*$AR$23</f>
        <v>0</v>
      </c>
      <c r="AS75" s="17">
        <f>$I$23*$AS$23</f>
        <v>0</v>
      </c>
      <c r="AT75" s="17">
        <f>$I$23*$AT$23</f>
        <v>0</v>
      </c>
      <c r="AU75" s="17">
        <f>$I$23*$AU$23</f>
        <v>5671.7680788505577</v>
      </c>
      <c r="AV75" s="17">
        <f>$I$23*$AV$23</f>
        <v>0</v>
      </c>
      <c r="AW75" s="17">
        <f>$I$23*$AW$23</f>
        <v>0</v>
      </c>
      <c r="AX75" s="17">
        <f>$I$23*$AX$23</f>
        <v>9779.511706367919</v>
      </c>
      <c r="AY75" s="17">
        <f>$I$23*$AY$23</f>
        <v>0</v>
      </c>
      <c r="AZ75" s="17">
        <f>$I$23*$AZ$23</f>
        <v>0</v>
      </c>
      <c r="BA75" s="17">
        <f>$I$23*$BA$23</f>
        <v>948.71966894947593</v>
      </c>
      <c r="BB75" s="17">
        <f>$I$23*$BB$23</f>
        <v>0</v>
      </c>
      <c r="BC75" s="17">
        <f>$I$23*$BC$23</f>
        <v>0</v>
      </c>
      <c r="BD75" s="17">
        <f>$I$23*$BD$23</f>
        <v>0</v>
      </c>
    </row>
    <row r="76" spans="1:56" ht="11.25" customHeight="1" x14ac:dyDescent="0.25">
      <c r="A76" s="9" t="s">
        <v>22</v>
      </c>
      <c r="B76" s="9" t="s">
        <v>736</v>
      </c>
      <c r="C76" s="9" t="s">
        <v>737</v>
      </c>
      <c r="D76" s="9" t="s">
        <v>754</v>
      </c>
      <c r="E76" s="9" t="s">
        <v>755</v>
      </c>
      <c r="F76" s="9" t="s">
        <v>756</v>
      </c>
      <c r="G76" s="9" t="s">
        <v>757</v>
      </c>
      <c r="L76" s="17">
        <f>$I$24*$L$24</f>
        <v>0</v>
      </c>
      <c r="M76" s="17">
        <f>$I$24*$M$24</f>
        <v>33.577453547715997</v>
      </c>
      <c r="N76" s="17">
        <f ca="1">$I$24*$N$24</f>
        <v>0</v>
      </c>
      <c r="O76" s="17">
        <f>$I$24*$O$24</f>
        <v>0</v>
      </c>
      <c r="P76" s="17">
        <f>$I$24*$P$24</f>
        <v>0</v>
      </c>
      <c r="Q76" s="17">
        <f>$I$24*$Q$24</f>
        <v>0</v>
      </c>
      <c r="R76" s="17">
        <f>$I$24*$R$24</f>
        <v>0</v>
      </c>
      <c r="S76" s="17">
        <f>$I$24*$S$24</f>
        <v>0</v>
      </c>
      <c r="T76" s="17">
        <f>$I$24*$T$24</f>
        <v>0</v>
      </c>
      <c r="U76" s="17">
        <f>$I$24*$U$24</f>
        <v>0</v>
      </c>
      <c r="V76" s="17">
        <f>$I$24*$V$24</f>
        <v>0</v>
      </c>
      <c r="W76" s="17">
        <f>$I$24*$W$24</f>
        <v>0</v>
      </c>
      <c r="X76" s="17">
        <f>$I$24*$X$24</f>
        <v>2291.3828162816817</v>
      </c>
      <c r="Y76" s="17">
        <f>$I$24*$Y$24</f>
        <v>0</v>
      </c>
      <c r="Z76" s="17">
        <f>$I$24*$Z$24</f>
        <v>0</v>
      </c>
      <c r="AA76" s="17">
        <f>$I$24*$AA$24</f>
        <v>4183.3876854009413</v>
      </c>
      <c r="AB76" s="17">
        <f ca="1">$I$24*$AB$24</f>
        <v>0</v>
      </c>
      <c r="AC76" s="17">
        <f ca="1">$I$24*$AC$24</f>
        <v>0</v>
      </c>
      <c r="AD76" s="17">
        <f>$I$24*$AD$24</f>
        <v>427.53538456528617</v>
      </c>
      <c r="AE76" s="17">
        <f>$I$24*$AE$24</f>
        <v>0</v>
      </c>
      <c r="AF76" s="17">
        <f ca="1">$I$24*$AF$24</f>
        <v>0</v>
      </c>
      <c r="AG76" s="17">
        <f ca="1">$I$24*$AG$24</f>
        <v>0</v>
      </c>
      <c r="AI76" s="17">
        <f>$I$24*$AI$24</f>
        <v>0</v>
      </c>
      <c r="AJ76" s="17">
        <f>$I$24*$AJ$24</f>
        <v>29.847754250924289</v>
      </c>
      <c r="AK76" s="17">
        <f>$I$24*$AK$24</f>
        <v>0</v>
      </c>
      <c r="AL76" s="17">
        <f>$I$24*$AL$24</f>
        <v>0</v>
      </c>
      <c r="AM76" s="17">
        <f>$I$24*$AM$24</f>
        <v>0</v>
      </c>
      <c r="AN76" s="17">
        <f>$I$24*$AN$24</f>
        <v>0</v>
      </c>
      <c r="AO76" s="17">
        <f>$I$24*$AO$24</f>
        <v>0</v>
      </c>
      <c r="AP76" s="17">
        <f>$I$24*$AP$24</f>
        <v>0</v>
      </c>
      <c r="AQ76" s="17">
        <f>$I$24*$AQ$24</f>
        <v>0</v>
      </c>
      <c r="AR76" s="17">
        <f>$I$24*$AR$24</f>
        <v>0</v>
      </c>
      <c r="AS76" s="17">
        <f>$I$24*$AS$24</f>
        <v>0</v>
      </c>
      <c r="AT76" s="17">
        <f>$I$24*$AT$24</f>
        <v>0</v>
      </c>
      <c r="AU76" s="17">
        <f>$I$24*$AU$24</f>
        <v>2400.5139211857836</v>
      </c>
      <c r="AV76" s="17">
        <f>$I$24*$AV$24</f>
        <v>0</v>
      </c>
      <c r="AW76" s="17">
        <f>$I$24*$AW$24</f>
        <v>0</v>
      </c>
      <c r="AX76" s="17">
        <f>$I$24*$AX$24</f>
        <v>4139.0715676606205</v>
      </c>
      <c r="AY76" s="17">
        <f>$I$24*$AY$24</f>
        <v>0</v>
      </c>
      <c r="AZ76" s="17">
        <f>$I$24*$AZ$24</f>
        <v>0</v>
      </c>
      <c r="BA76" s="17">
        <f>$I$24*$BA$24</f>
        <v>401.53524279461203</v>
      </c>
      <c r="BB76" s="17">
        <f>$I$24*$BB$24</f>
        <v>0</v>
      </c>
      <c r="BC76" s="17">
        <f>$I$24*$BC$24</f>
        <v>0</v>
      </c>
      <c r="BD76" s="17">
        <f>$I$24*$BD$24</f>
        <v>0</v>
      </c>
    </row>
    <row r="77" spans="1:56" ht="11.25" customHeight="1" x14ac:dyDescent="0.25">
      <c r="A77" s="9" t="s">
        <v>22</v>
      </c>
      <c r="B77" s="9" t="s">
        <v>758</v>
      </c>
      <c r="C77" s="9" t="s">
        <v>759</v>
      </c>
      <c r="D77" s="9" t="s">
        <v>760</v>
      </c>
      <c r="E77" s="9" t="s">
        <v>761</v>
      </c>
      <c r="F77" s="9" t="s">
        <v>762</v>
      </c>
      <c r="G77" s="9" t="s">
        <v>763</v>
      </c>
      <c r="L77" s="17">
        <f>$I$25*$L$25</f>
        <v>0</v>
      </c>
      <c r="M77" s="17">
        <f>$I$25*$M$25</f>
        <v>0</v>
      </c>
      <c r="N77" s="17">
        <f ca="1">$I$25*$N$25</f>
        <v>0</v>
      </c>
      <c r="O77" s="17">
        <f>$I$25*$O$25</f>
        <v>0</v>
      </c>
      <c r="P77" s="17">
        <f>$I$25*$P$25</f>
        <v>0</v>
      </c>
      <c r="Q77" s="17">
        <f>$I$25*$Q$25</f>
        <v>0</v>
      </c>
      <c r="R77" s="17">
        <f>$I$25*$R$25</f>
        <v>0</v>
      </c>
      <c r="S77" s="17">
        <f>$I$25*$S$25</f>
        <v>0</v>
      </c>
      <c r="T77" s="17">
        <f>$I$25*$T$25</f>
        <v>0</v>
      </c>
      <c r="U77" s="17">
        <f>$I$25*$U$25</f>
        <v>0</v>
      </c>
      <c r="V77" s="17">
        <f>$I$25*$V$25</f>
        <v>0</v>
      </c>
      <c r="W77" s="17">
        <f>$I$25*$W$25</f>
        <v>0</v>
      </c>
      <c r="X77" s="17">
        <f>$I$25*$X$25</f>
        <v>0</v>
      </c>
      <c r="Y77" s="17">
        <f>$I$25*$Y$25</f>
        <v>0</v>
      </c>
      <c r="Z77" s="17">
        <f>$I$25*$Z$25</f>
        <v>0</v>
      </c>
      <c r="AA77" s="17">
        <f>$I$25*$AA$25</f>
        <v>0</v>
      </c>
      <c r="AB77" s="17">
        <f ca="1">$I$25*$AB$25</f>
        <v>0</v>
      </c>
      <c r="AC77" s="17">
        <f ca="1">$I$25*$AC$25</f>
        <v>0</v>
      </c>
      <c r="AD77" s="17">
        <f>$I$25*$AD$25</f>
        <v>0</v>
      </c>
      <c r="AE77" s="17">
        <f>$I$25*$AE$25</f>
        <v>0</v>
      </c>
      <c r="AF77" s="17">
        <f ca="1">$I$25*$AF$25</f>
        <v>0</v>
      </c>
      <c r="AG77" s="17">
        <f ca="1">$I$25*$AG$25</f>
        <v>0</v>
      </c>
      <c r="AI77" s="17">
        <f>$I$25*$AI$25</f>
        <v>0</v>
      </c>
      <c r="AJ77" s="17">
        <f>$I$25*$AJ$25</f>
        <v>0</v>
      </c>
      <c r="AK77" s="17">
        <f>$I$25*$AK$25</f>
        <v>0</v>
      </c>
      <c r="AL77" s="17">
        <f>$I$25*$AL$25</f>
        <v>0</v>
      </c>
      <c r="AM77" s="17">
        <f>$I$25*$AM$25</f>
        <v>0</v>
      </c>
      <c r="AN77" s="17">
        <f>$I$25*$AN$25</f>
        <v>0</v>
      </c>
      <c r="AO77" s="17">
        <f>$I$25*$AO$25</f>
        <v>0</v>
      </c>
      <c r="AP77" s="17">
        <f>$I$25*$AP$25</f>
        <v>0</v>
      </c>
      <c r="AQ77" s="17">
        <f>$I$25*$AQ$25</f>
        <v>0</v>
      </c>
      <c r="AR77" s="17">
        <f>$I$25*$AR$25</f>
        <v>0</v>
      </c>
      <c r="AS77" s="17">
        <f>$I$25*$AS$25</f>
        <v>0</v>
      </c>
      <c r="AT77" s="17">
        <f>$I$25*$AT$25</f>
        <v>0</v>
      </c>
      <c r="AU77" s="17">
        <f>$I$25*$AU$25</f>
        <v>0</v>
      </c>
      <c r="AV77" s="17">
        <f>$I$25*$AV$25</f>
        <v>0</v>
      </c>
      <c r="AW77" s="17">
        <f>$I$25*$AW$25</f>
        <v>0</v>
      </c>
      <c r="AX77" s="17">
        <f>$I$25*$AX$25</f>
        <v>0</v>
      </c>
      <c r="AY77" s="17">
        <f>$I$25*$AY$25</f>
        <v>0</v>
      </c>
      <c r="AZ77" s="17">
        <f>$I$25*$AZ$25</f>
        <v>0</v>
      </c>
      <c r="BA77" s="17">
        <f>$I$25*$BA$25</f>
        <v>0</v>
      </c>
      <c r="BB77" s="17">
        <f>$I$25*$BB$25</f>
        <v>0</v>
      </c>
      <c r="BC77" s="17">
        <f>$I$25*$BC$25</f>
        <v>0</v>
      </c>
      <c r="BD77" s="17">
        <f>$I$25*$BD$25</f>
        <v>0</v>
      </c>
    </row>
    <row r="78" spans="1:56" ht="11.25" customHeight="1" x14ac:dyDescent="0.25">
      <c r="A78" s="9" t="s">
        <v>22</v>
      </c>
      <c r="B78" s="9" t="s">
        <v>758</v>
      </c>
      <c r="C78" s="9" t="s">
        <v>759</v>
      </c>
      <c r="D78" s="9" t="s">
        <v>764</v>
      </c>
      <c r="E78" s="9" t="s">
        <v>765</v>
      </c>
      <c r="F78" s="9" t="s">
        <v>766</v>
      </c>
      <c r="G78" s="9" t="s">
        <v>767</v>
      </c>
      <c r="L78" s="17">
        <f>$I$26*$L$26</f>
        <v>0</v>
      </c>
      <c r="M78" s="17">
        <f>$I$26*$M$26</f>
        <v>0</v>
      </c>
      <c r="N78" s="17">
        <f ca="1">$I$26*$N$26</f>
        <v>0</v>
      </c>
      <c r="O78" s="17">
        <f>$I$26*$O$26</f>
        <v>0</v>
      </c>
      <c r="P78" s="17">
        <f>$I$26*$P$26</f>
        <v>0</v>
      </c>
      <c r="Q78" s="17">
        <f>$I$26*$Q$26</f>
        <v>0</v>
      </c>
      <c r="R78" s="17">
        <f>$I$26*$R$26</f>
        <v>0</v>
      </c>
      <c r="S78" s="17">
        <f>$I$26*$S$26</f>
        <v>0</v>
      </c>
      <c r="T78" s="17">
        <f>$I$26*$T$26</f>
        <v>0</v>
      </c>
      <c r="U78" s="17">
        <f>$I$26*$U$26</f>
        <v>0</v>
      </c>
      <c r="V78" s="17">
        <f>$I$26*$V$26</f>
        <v>0</v>
      </c>
      <c r="W78" s="17">
        <f>$I$26*$W$26</f>
        <v>0</v>
      </c>
      <c r="X78" s="17">
        <f>$I$26*$X$26</f>
        <v>0</v>
      </c>
      <c r="Y78" s="17">
        <f>$I$26*$Y$26</f>
        <v>0</v>
      </c>
      <c r="Z78" s="17">
        <f>$I$26*$Z$26</f>
        <v>0</v>
      </c>
      <c r="AA78" s="17">
        <f>$I$26*$AA$26</f>
        <v>0</v>
      </c>
      <c r="AB78" s="17">
        <f ca="1">$I$26*$AB$26</f>
        <v>0</v>
      </c>
      <c r="AC78" s="17">
        <f ca="1">$I$26*$AC$26</f>
        <v>0</v>
      </c>
      <c r="AD78" s="17">
        <f>$I$26*$AD$26</f>
        <v>0</v>
      </c>
      <c r="AE78" s="17">
        <f>$I$26*$AE$26</f>
        <v>0</v>
      </c>
      <c r="AF78" s="17">
        <f ca="1">$I$26*$AF$26</f>
        <v>0</v>
      </c>
      <c r="AG78" s="17">
        <f ca="1">$I$26*$AG$26</f>
        <v>0</v>
      </c>
      <c r="AI78" s="17">
        <f>$I$26*$AI$26</f>
        <v>0</v>
      </c>
      <c r="AJ78" s="17">
        <f>$I$26*$AJ$26</f>
        <v>0</v>
      </c>
      <c r="AK78" s="17">
        <f>$I$26*$AK$26</f>
        <v>0</v>
      </c>
      <c r="AL78" s="17">
        <f>$I$26*$AL$26</f>
        <v>0</v>
      </c>
      <c r="AM78" s="17">
        <f>$I$26*$AM$26</f>
        <v>0</v>
      </c>
      <c r="AN78" s="17">
        <f>$I$26*$AN$26</f>
        <v>0</v>
      </c>
      <c r="AO78" s="17">
        <f>$I$26*$AO$26</f>
        <v>0</v>
      </c>
      <c r="AP78" s="17">
        <f>$I$26*$AP$26</f>
        <v>0</v>
      </c>
      <c r="AQ78" s="17">
        <f>$I$26*$AQ$26</f>
        <v>0</v>
      </c>
      <c r="AR78" s="17">
        <f>$I$26*$AR$26</f>
        <v>0</v>
      </c>
      <c r="AS78" s="17">
        <f>$I$26*$AS$26</f>
        <v>0</v>
      </c>
      <c r="AT78" s="17">
        <f>$I$26*$AT$26</f>
        <v>0</v>
      </c>
      <c r="AU78" s="17">
        <f>$I$26*$AU$26</f>
        <v>0</v>
      </c>
      <c r="AV78" s="17">
        <f>$I$26*$AV$26</f>
        <v>0</v>
      </c>
      <c r="AW78" s="17">
        <f>$I$26*$AW$26</f>
        <v>0</v>
      </c>
      <c r="AX78" s="17">
        <f>$I$26*$AX$26</f>
        <v>0</v>
      </c>
      <c r="AY78" s="17">
        <f>$I$26*$AY$26</f>
        <v>0</v>
      </c>
      <c r="AZ78" s="17">
        <f>$I$26*$AZ$26</f>
        <v>0</v>
      </c>
      <c r="BA78" s="17">
        <f>$I$26*$BA$26</f>
        <v>0</v>
      </c>
      <c r="BB78" s="17">
        <f>$I$26*$BB$26</f>
        <v>0</v>
      </c>
      <c r="BC78" s="17">
        <f>$I$26*$BC$26</f>
        <v>0</v>
      </c>
      <c r="BD78" s="17">
        <f>$I$26*$BD$26</f>
        <v>0</v>
      </c>
    </row>
    <row r="79" spans="1:56" ht="11.25" customHeight="1" x14ac:dyDescent="0.25">
      <c r="A79" s="9" t="s">
        <v>22</v>
      </c>
      <c r="B79" s="9" t="s">
        <v>758</v>
      </c>
      <c r="C79" s="9" t="s">
        <v>759</v>
      </c>
      <c r="D79" s="9" t="s">
        <v>768</v>
      </c>
      <c r="E79" s="9" t="s">
        <v>769</v>
      </c>
      <c r="F79" s="9" t="s">
        <v>770</v>
      </c>
      <c r="G79" s="9" t="s">
        <v>771</v>
      </c>
      <c r="L79" s="17">
        <f>$I$27*$L$27</f>
        <v>0</v>
      </c>
      <c r="M79" s="17">
        <f>$I$27*$M$27</f>
        <v>0</v>
      </c>
      <c r="N79" s="17">
        <f ca="1">$I$27*$N$27</f>
        <v>0</v>
      </c>
      <c r="O79" s="17">
        <f>$I$27*$O$27</f>
        <v>0</v>
      </c>
      <c r="P79" s="17">
        <f>$I$27*$P$27</f>
        <v>0</v>
      </c>
      <c r="Q79" s="17">
        <f>$I$27*$Q$27</f>
        <v>0</v>
      </c>
      <c r="R79" s="17">
        <f>$I$27*$R$27</f>
        <v>0</v>
      </c>
      <c r="S79" s="17">
        <f>$I$27*$S$27</f>
        <v>0</v>
      </c>
      <c r="T79" s="17">
        <f>$I$27*$T$27</f>
        <v>0</v>
      </c>
      <c r="U79" s="17">
        <f>$I$27*$U$27</f>
        <v>0</v>
      </c>
      <c r="V79" s="17">
        <f>$I$27*$V$27</f>
        <v>0</v>
      </c>
      <c r="W79" s="17">
        <f>$I$27*$W$27</f>
        <v>0</v>
      </c>
      <c r="X79" s="17">
        <f>$I$27*$X$27</f>
        <v>0</v>
      </c>
      <c r="Y79" s="17">
        <f>$I$27*$Y$27</f>
        <v>0</v>
      </c>
      <c r="Z79" s="17">
        <f>$I$27*$Z$27</f>
        <v>0</v>
      </c>
      <c r="AA79" s="17">
        <f>$I$27*$AA$27</f>
        <v>0</v>
      </c>
      <c r="AB79" s="17">
        <f ca="1">$I$27*$AB$27</f>
        <v>0</v>
      </c>
      <c r="AC79" s="17">
        <f ca="1">$I$27*$AC$27</f>
        <v>0</v>
      </c>
      <c r="AD79" s="17">
        <f>$I$27*$AD$27</f>
        <v>0</v>
      </c>
      <c r="AE79" s="17">
        <f>$I$27*$AE$27</f>
        <v>0</v>
      </c>
      <c r="AF79" s="17">
        <f ca="1">$I$27*$AF$27</f>
        <v>0</v>
      </c>
      <c r="AG79" s="17">
        <f ca="1">$I$27*$AG$27</f>
        <v>0</v>
      </c>
      <c r="AI79" s="17">
        <f>$I$27*$AI$27</f>
        <v>0</v>
      </c>
      <c r="AJ79" s="17">
        <f>$I$27*$AJ$27</f>
        <v>0</v>
      </c>
      <c r="AK79" s="17">
        <f>$I$27*$AK$27</f>
        <v>0</v>
      </c>
      <c r="AL79" s="17">
        <f>$I$27*$AL$27</f>
        <v>0</v>
      </c>
      <c r="AM79" s="17">
        <f>$I$27*$AM$27</f>
        <v>0</v>
      </c>
      <c r="AN79" s="17">
        <f>$I$27*$AN$27</f>
        <v>0</v>
      </c>
      <c r="AO79" s="17">
        <f>$I$27*$AO$27</f>
        <v>0</v>
      </c>
      <c r="AP79" s="17">
        <f>$I$27*$AP$27</f>
        <v>0</v>
      </c>
      <c r="AQ79" s="17">
        <f>$I$27*$AQ$27</f>
        <v>0</v>
      </c>
      <c r="AR79" s="17">
        <f>$I$27*$AR$27</f>
        <v>0</v>
      </c>
      <c r="AS79" s="17">
        <f>$I$27*$AS$27</f>
        <v>0</v>
      </c>
      <c r="AT79" s="17">
        <f>$I$27*$AT$27</f>
        <v>0</v>
      </c>
      <c r="AU79" s="17">
        <f>$I$27*$AU$27</f>
        <v>0</v>
      </c>
      <c r="AV79" s="17">
        <f>$I$27*$AV$27</f>
        <v>0</v>
      </c>
      <c r="AW79" s="17">
        <f>$I$27*$AW$27</f>
        <v>0</v>
      </c>
      <c r="AX79" s="17">
        <f>$I$27*$AX$27</f>
        <v>0</v>
      </c>
      <c r="AY79" s="17">
        <f>$I$27*$AY$27</f>
        <v>0</v>
      </c>
      <c r="AZ79" s="17">
        <f>$I$27*$AZ$27</f>
        <v>0</v>
      </c>
      <c r="BA79" s="17">
        <f>$I$27*$BA$27</f>
        <v>0</v>
      </c>
      <c r="BB79" s="17">
        <f>$I$27*$BB$27</f>
        <v>0</v>
      </c>
      <c r="BC79" s="17">
        <f>$I$27*$BC$27</f>
        <v>0</v>
      </c>
      <c r="BD79" s="17">
        <f>$I$27*$BD$27</f>
        <v>0</v>
      </c>
    </row>
    <row r="80" spans="1:56" ht="11.25" customHeight="1" x14ac:dyDescent="0.25">
      <c r="A80" s="9" t="s">
        <v>22</v>
      </c>
      <c r="B80" s="9" t="s">
        <v>758</v>
      </c>
      <c r="C80" s="9" t="s">
        <v>759</v>
      </c>
      <c r="D80" s="9" t="s">
        <v>772</v>
      </c>
      <c r="E80" s="9" t="s">
        <v>773</v>
      </c>
      <c r="F80" s="9" t="s">
        <v>774</v>
      </c>
      <c r="G80" s="9" t="s">
        <v>775</v>
      </c>
      <c r="L80" s="17">
        <f>$I$28*$L$28</f>
        <v>0</v>
      </c>
      <c r="M80" s="17">
        <f>$I$28*$M$28</f>
        <v>0</v>
      </c>
      <c r="N80" s="17">
        <f ca="1">$I$28*$N$28</f>
        <v>0</v>
      </c>
      <c r="O80" s="17">
        <f>$I$28*$O$28</f>
        <v>0</v>
      </c>
      <c r="P80" s="17">
        <f>$I$28*$P$28</f>
        <v>0</v>
      </c>
      <c r="Q80" s="17">
        <f>$I$28*$Q$28</f>
        <v>0</v>
      </c>
      <c r="R80" s="17">
        <f>$I$28*$R$28</f>
        <v>0</v>
      </c>
      <c r="S80" s="17">
        <f>$I$28*$S$28</f>
        <v>0</v>
      </c>
      <c r="T80" s="17">
        <f>$I$28*$T$28</f>
        <v>0</v>
      </c>
      <c r="U80" s="17">
        <f>$I$28*$U$28</f>
        <v>0</v>
      </c>
      <c r="V80" s="17">
        <f>$I$28*$V$28</f>
        <v>0</v>
      </c>
      <c r="W80" s="17">
        <f>$I$28*$W$28</f>
        <v>0</v>
      </c>
      <c r="X80" s="17">
        <f>$I$28*$X$28</f>
        <v>0</v>
      </c>
      <c r="Y80" s="17">
        <f>$I$28*$Y$28</f>
        <v>0</v>
      </c>
      <c r="Z80" s="17">
        <f>$I$28*$Z$28</f>
        <v>0</v>
      </c>
      <c r="AA80" s="17">
        <f>$I$28*$AA$28</f>
        <v>0</v>
      </c>
      <c r="AB80" s="17">
        <f ca="1">$I$28*$AB$28</f>
        <v>0</v>
      </c>
      <c r="AC80" s="17">
        <f ca="1">$I$28*$AC$28</f>
        <v>0</v>
      </c>
      <c r="AD80" s="17">
        <f>$I$28*$AD$28</f>
        <v>0</v>
      </c>
      <c r="AE80" s="17">
        <f>$I$28*$AE$28</f>
        <v>0</v>
      </c>
      <c r="AF80" s="17">
        <f ca="1">$I$28*$AF$28</f>
        <v>0</v>
      </c>
      <c r="AG80" s="17">
        <f ca="1">$I$28*$AG$28</f>
        <v>0</v>
      </c>
      <c r="AI80" s="17">
        <f>$I$28*$AI$28</f>
        <v>0</v>
      </c>
      <c r="AJ80" s="17">
        <f>$I$28*$AJ$28</f>
        <v>0</v>
      </c>
      <c r="AK80" s="17">
        <f>$I$28*$AK$28</f>
        <v>0</v>
      </c>
      <c r="AL80" s="17">
        <f>$I$28*$AL$28</f>
        <v>0</v>
      </c>
      <c r="AM80" s="17">
        <f>$I$28*$AM$28</f>
        <v>0</v>
      </c>
      <c r="AN80" s="17">
        <f>$I$28*$AN$28</f>
        <v>0</v>
      </c>
      <c r="AO80" s="17">
        <f>$I$28*$AO$28</f>
        <v>0</v>
      </c>
      <c r="AP80" s="17">
        <f>$I$28*$AP$28</f>
        <v>0</v>
      </c>
      <c r="AQ80" s="17">
        <f>$I$28*$AQ$28</f>
        <v>0</v>
      </c>
      <c r="AR80" s="17">
        <f>$I$28*$AR$28</f>
        <v>0</v>
      </c>
      <c r="AS80" s="17">
        <f>$I$28*$AS$28</f>
        <v>0</v>
      </c>
      <c r="AT80" s="17">
        <f>$I$28*$AT$28</f>
        <v>0</v>
      </c>
      <c r="AU80" s="17">
        <f>$I$28*$AU$28</f>
        <v>0</v>
      </c>
      <c r="AV80" s="17">
        <f>$I$28*$AV$28</f>
        <v>0</v>
      </c>
      <c r="AW80" s="17">
        <f>$I$28*$AW$28</f>
        <v>0</v>
      </c>
      <c r="AX80" s="17">
        <f>$I$28*$AX$28</f>
        <v>0</v>
      </c>
      <c r="AY80" s="17">
        <f>$I$28*$AY$28</f>
        <v>0</v>
      </c>
      <c r="AZ80" s="17">
        <f>$I$28*$AZ$28</f>
        <v>0</v>
      </c>
      <c r="BA80" s="17">
        <f>$I$28*$BA$28</f>
        <v>0</v>
      </c>
      <c r="BB80" s="17">
        <f>$I$28*$BB$28</f>
        <v>0</v>
      </c>
      <c r="BC80" s="17">
        <f>$I$28*$BC$28</f>
        <v>0</v>
      </c>
      <c r="BD80" s="17">
        <f>$I$28*$BD$28</f>
        <v>0</v>
      </c>
    </row>
    <row r="81" spans="1:56" ht="11.25" customHeight="1" x14ac:dyDescent="0.25">
      <c r="A81" s="9" t="s">
        <v>22</v>
      </c>
      <c r="B81" s="9" t="s">
        <v>758</v>
      </c>
      <c r="C81" s="9" t="s">
        <v>759</v>
      </c>
      <c r="D81" s="9" t="s">
        <v>776</v>
      </c>
      <c r="E81" s="9" t="s">
        <v>777</v>
      </c>
      <c r="F81" s="9" t="s">
        <v>778</v>
      </c>
      <c r="G81" s="9" t="s">
        <v>779</v>
      </c>
      <c r="L81" s="17">
        <f>$I$29*$L$29</f>
        <v>0</v>
      </c>
      <c r="M81" s="17">
        <f>$I$29*$M$29</f>
        <v>0</v>
      </c>
      <c r="N81" s="17">
        <f ca="1">$I$29*$N$29</f>
        <v>0</v>
      </c>
      <c r="O81" s="17">
        <f>$I$29*$O$29</f>
        <v>0</v>
      </c>
      <c r="P81" s="17">
        <f>$I$29*$P$29</f>
        <v>0</v>
      </c>
      <c r="Q81" s="17">
        <f>$I$29*$Q$29</f>
        <v>0</v>
      </c>
      <c r="R81" s="17">
        <f>$I$29*$R$29</f>
        <v>0</v>
      </c>
      <c r="S81" s="17">
        <f>$I$29*$S$29</f>
        <v>0</v>
      </c>
      <c r="T81" s="17">
        <f>$I$29*$T$29</f>
        <v>0</v>
      </c>
      <c r="U81" s="17">
        <f>$I$29*$U$29</f>
        <v>0</v>
      </c>
      <c r="V81" s="17">
        <f>$I$29*$V$29</f>
        <v>0</v>
      </c>
      <c r="W81" s="17">
        <f>$I$29*$W$29</f>
        <v>0</v>
      </c>
      <c r="X81" s="17">
        <f>$I$29*$X$29</f>
        <v>0</v>
      </c>
      <c r="Y81" s="17">
        <f>$I$29*$Y$29</f>
        <v>0</v>
      </c>
      <c r="Z81" s="17">
        <f>$I$29*$Z$29</f>
        <v>0</v>
      </c>
      <c r="AA81" s="17">
        <f>$I$29*$AA$29</f>
        <v>0</v>
      </c>
      <c r="AB81" s="17">
        <f ca="1">$I$29*$AB$29</f>
        <v>0</v>
      </c>
      <c r="AC81" s="17">
        <f ca="1">$I$29*$AC$29</f>
        <v>0</v>
      </c>
      <c r="AD81" s="17">
        <f>$I$29*$AD$29</f>
        <v>0</v>
      </c>
      <c r="AE81" s="17">
        <f>$I$29*$AE$29</f>
        <v>0</v>
      </c>
      <c r="AF81" s="17">
        <f ca="1">$I$29*$AF$29</f>
        <v>0</v>
      </c>
      <c r="AG81" s="17">
        <f ca="1">$I$29*$AG$29</f>
        <v>0</v>
      </c>
      <c r="AI81" s="17">
        <f>$I$29*$AI$29</f>
        <v>0</v>
      </c>
      <c r="AJ81" s="17">
        <f>$I$29*$AJ$29</f>
        <v>0</v>
      </c>
      <c r="AK81" s="17">
        <f>$I$29*$AK$29</f>
        <v>0</v>
      </c>
      <c r="AL81" s="17">
        <f>$I$29*$AL$29</f>
        <v>0</v>
      </c>
      <c r="AM81" s="17">
        <f>$I$29*$AM$29</f>
        <v>0</v>
      </c>
      <c r="AN81" s="17">
        <f>$I$29*$AN$29</f>
        <v>0</v>
      </c>
      <c r="AO81" s="17">
        <f>$I$29*$AO$29</f>
        <v>0</v>
      </c>
      <c r="AP81" s="17">
        <f>$I$29*$AP$29</f>
        <v>0</v>
      </c>
      <c r="AQ81" s="17">
        <f>$I$29*$AQ$29</f>
        <v>0</v>
      </c>
      <c r="AR81" s="17">
        <f>$I$29*$AR$29</f>
        <v>0</v>
      </c>
      <c r="AS81" s="17">
        <f>$I$29*$AS$29</f>
        <v>0</v>
      </c>
      <c r="AT81" s="17">
        <f>$I$29*$AT$29</f>
        <v>0</v>
      </c>
      <c r="AU81" s="17">
        <f>$I$29*$AU$29</f>
        <v>0</v>
      </c>
      <c r="AV81" s="17">
        <f>$I$29*$AV$29</f>
        <v>0</v>
      </c>
      <c r="AW81" s="17">
        <f>$I$29*$AW$29</f>
        <v>0</v>
      </c>
      <c r="AX81" s="17">
        <f>$I$29*$AX$29</f>
        <v>0</v>
      </c>
      <c r="AY81" s="17">
        <f>$I$29*$AY$29</f>
        <v>0</v>
      </c>
      <c r="AZ81" s="17">
        <f>$I$29*$AZ$29</f>
        <v>0</v>
      </c>
      <c r="BA81" s="17">
        <f>$I$29*$BA$29</f>
        <v>0</v>
      </c>
      <c r="BB81" s="17">
        <f>$I$29*$BB$29</f>
        <v>0</v>
      </c>
      <c r="BC81" s="17">
        <f>$I$29*$BC$29</f>
        <v>0</v>
      </c>
      <c r="BD81" s="17">
        <f>$I$29*$BD$29</f>
        <v>0</v>
      </c>
    </row>
    <row r="82" spans="1:56" ht="11.25" customHeight="1" x14ac:dyDescent="0.25">
      <c r="A82" s="9" t="s">
        <v>40</v>
      </c>
      <c r="B82" s="9" t="s">
        <v>780</v>
      </c>
      <c r="C82" s="9" t="s">
        <v>781</v>
      </c>
      <c r="D82" s="9" t="s">
        <v>782</v>
      </c>
      <c r="E82" s="9" t="s">
        <v>783</v>
      </c>
      <c r="F82" s="9" t="s">
        <v>784</v>
      </c>
      <c r="G82" s="9" t="s">
        <v>785</v>
      </c>
      <c r="L82" s="17">
        <f>$I$30*$L$30</f>
        <v>0</v>
      </c>
      <c r="M82" s="17">
        <f>$I$30*$M$30</f>
        <v>0</v>
      </c>
      <c r="N82" s="17">
        <f ca="1">$I$30*$N$30</f>
        <v>0</v>
      </c>
      <c r="O82" s="17">
        <f>$I$30*$O$30</f>
        <v>0</v>
      </c>
      <c r="P82" s="17">
        <f>$I$30*$P$30</f>
        <v>0</v>
      </c>
      <c r="Q82" s="17">
        <f>$I$30*$Q$30</f>
        <v>0</v>
      </c>
      <c r="R82" s="17">
        <f>$I$30*$R$30</f>
        <v>0</v>
      </c>
      <c r="S82" s="17">
        <f>$I$30*$S$30</f>
        <v>0</v>
      </c>
      <c r="T82" s="17">
        <f>$I$30*$T$30</f>
        <v>0</v>
      </c>
      <c r="U82" s="17">
        <f>$I$30*$U$30</f>
        <v>0</v>
      </c>
      <c r="V82" s="17">
        <f>$I$30*$V$30</f>
        <v>0</v>
      </c>
      <c r="W82" s="17">
        <f>$I$30*$W$30</f>
        <v>0</v>
      </c>
      <c r="X82" s="17">
        <f>$I$30*$X$30</f>
        <v>0</v>
      </c>
      <c r="Y82" s="17">
        <f>$I$30*$Y$30</f>
        <v>0</v>
      </c>
      <c r="Z82" s="17">
        <f>$I$30*$Z$30</f>
        <v>0</v>
      </c>
      <c r="AA82" s="17">
        <f>$I$30*$AA$30</f>
        <v>0</v>
      </c>
      <c r="AB82" s="17">
        <f ca="1">$I$30*$AB$30</f>
        <v>0</v>
      </c>
      <c r="AC82" s="17">
        <f ca="1">$I$30*$AC$30</f>
        <v>0</v>
      </c>
      <c r="AD82" s="17">
        <f>$I$30*$AD$30</f>
        <v>0</v>
      </c>
      <c r="AE82" s="17">
        <f>$I$30*$AE$30</f>
        <v>0</v>
      </c>
      <c r="AF82" s="17">
        <f ca="1">$I$30*$AF$30</f>
        <v>0</v>
      </c>
      <c r="AG82" s="17">
        <f ca="1">$I$30*$AG$30</f>
        <v>0</v>
      </c>
      <c r="AI82" s="17">
        <f>$I$30*$AI$30</f>
        <v>0</v>
      </c>
      <c r="AJ82" s="17">
        <f>$I$30*$AJ$30</f>
        <v>0</v>
      </c>
      <c r="AK82" s="17">
        <f>$I$30*$AK$30</f>
        <v>0</v>
      </c>
      <c r="AL82" s="17">
        <f>$I$30*$AL$30</f>
        <v>0</v>
      </c>
      <c r="AM82" s="17">
        <f>$I$30*$AM$30</f>
        <v>0</v>
      </c>
      <c r="AN82" s="17">
        <f>$I$30*$AN$30</f>
        <v>0</v>
      </c>
      <c r="AO82" s="17">
        <f>$I$30*$AO$30</f>
        <v>0</v>
      </c>
      <c r="AP82" s="17">
        <f>$I$30*$AP$30</f>
        <v>0</v>
      </c>
      <c r="AQ82" s="17">
        <f>$I$30*$AQ$30</f>
        <v>0</v>
      </c>
      <c r="AR82" s="17">
        <f>$I$30*$AR$30</f>
        <v>0</v>
      </c>
      <c r="AS82" s="17">
        <f>$I$30*$AS$30</f>
        <v>0</v>
      </c>
      <c r="AT82" s="17">
        <f>$I$30*$AT$30</f>
        <v>0</v>
      </c>
      <c r="AU82" s="17">
        <f>$I$30*$AU$30</f>
        <v>0</v>
      </c>
      <c r="AV82" s="17">
        <f>$I$30*$AV$30</f>
        <v>0</v>
      </c>
      <c r="AW82" s="17">
        <f>$I$30*$AW$30</f>
        <v>0</v>
      </c>
      <c r="AX82" s="17">
        <f>$I$30*$AX$30</f>
        <v>0</v>
      </c>
      <c r="AY82" s="17">
        <f>$I$30*$AY$30</f>
        <v>0</v>
      </c>
      <c r="AZ82" s="17">
        <f>$I$30*$AZ$30</f>
        <v>0</v>
      </c>
      <c r="BA82" s="17">
        <f>$I$30*$BA$30</f>
        <v>0</v>
      </c>
      <c r="BB82" s="17">
        <f>$I$30*$BB$30</f>
        <v>0</v>
      </c>
      <c r="BC82" s="17">
        <f>$I$30*$BC$30</f>
        <v>0</v>
      </c>
      <c r="BD82" s="17">
        <f>$I$30*$BD$30</f>
        <v>0</v>
      </c>
    </row>
    <row r="83" spans="1:56" ht="11.25" customHeight="1" x14ac:dyDescent="0.25">
      <c r="A83" s="9" t="s">
        <v>40</v>
      </c>
      <c r="B83" s="9" t="s">
        <v>780</v>
      </c>
      <c r="C83" s="9" t="s">
        <v>781</v>
      </c>
      <c r="D83" s="9" t="s">
        <v>782</v>
      </c>
      <c r="E83" s="9" t="s">
        <v>783</v>
      </c>
      <c r="F83" s="9" t="s">
        <v>784</v>
      </c>
      <c r="G83" s="9" t="s">
        <v>786</v>
      </c>
      <c r="L83" s="17">
        <f>$I$31*$L$31</f>
        <v>0</v>
      </c>
      <c r="M83" s="17">
        <f>$I$31*$M$31</f>
        <v>0</v>
      </c>
      <c r="N83" s="17">
        <f ca="1">$I$31*$N$31</f>
        <v>0</v>
      </c>
      <c r="O83" s="17">
        <f>$I$31*$O$31</f>
        <v>0</v>
      </c>
      <c r="P83" s="17">
        <f>$I$31*$P$31</f>
        <v>0</v>
      </c>
      <c r="Q83" s="17">
        <f>$I$31*$Q$31</f>
        <v>0</v>
      </c>
      <c r="R83" s="17">
        <f>$I$31*$R$31</f>
        <v>0</v>
      </c>
      <c r="S83" s="17">
        <f>$I$31*$S$31</f>
        <v>0</v>
      </c>
      <c r="T83" s="17">
        <f>$I$31*$T$31</f>
        <v>0</v>
      </c>
      <c r="U83" s="17">
        <f>$I$31*$U$31</f>
        <v>0</v>
      </c>
      <c r="V83" s="17">
        <f>$I$31*$V$31</f>
        <v>0</v>
      </c>
      <c r="W83" s="17">
        <f>$I$31*$W$31</f>
        <v>0</v>
      </c>
      <c r="X83" s="17">
        <f>$I$31*$X$31</f>
        <v>0</v>
      </c>
      <c r="Y83" s="17">
        <f>$I$31*$Y$31</f>
        <v>0</v>
      </c>
      <c r="Z83" s="17">
        <f>$I$31*$Z$31</f>
        <v>0</v>
      </c>
      <c r="AA83" s="17">
        <f>$I$31*$AA$31</f>
        <v>0</v>
      </c>
      <c r="AB83" s="17">
        <f ca="1">$I$31*$AB$31</f>
        <v>0</v>
      </c>
      <c r="AC83" s="17">
        <f ca="1">$I$31*$AC$31</f>
        <v>0</v>
      </c>
      <c r="AD83" s="17">
        <f>$I$31*$AD$31</f>
        <v>0</v>
      </c>
      <c r="AE83" s="17">
        <f>$I$31*$AE$31</f>
        <v>0</v>
      </c>
      <c r="AF83" s="17">
        <f ca="1">$I$31*$AF$31</f>
        <v>0</v>
      </c>
      <c r="AG83" s="17">
        <f ca="1">$I$31*$AG$31</f>
        <v>0</v>
      </c>
      <c r="AI83" s="17">
        <f>$I$31*$AI$31</f>
        <v>0</v>
      </c>
      <c r="AJ83" s="17">
        <f>$I$31*$AJ$31</f>
        <v>0</v>
      </c>
      <c r="AK83" s="17">
        <f>$I$31*$AK$31</f>
        <v>0</v>
      </c>
      <c r="AL83" s="17">
        <f>$I$31*$AL$31</f>
        <v>0</v>
      </c>
      <c r="AM83" s="17">
        <f>$I$31*$AM$31</f>
        <v>0</v>
      </c>
      <c r="AN83" s="17">
        <f>$I$31*$AN$31</f>
        <v>0</v>
      </c>
      <c r="AO83" s="17">
        <f>$I$31*$AO$31</f>
        <v>0</v>
      </c>
      <c r="AP83" s="17">
        <f>$I$31*$AP$31</f>
        <v>0</v>
      </c>
      <c r="AQ83" s="17">
        <f>$I$31*$AQ$31</f>
        <v>0</v>
      </c>
      <c r="AR83" s="17">
        <f>$I$31*$AR$31</f>
        <v>0</v>
      </c>
      <c r="AS83" s="17">
        <f>$I$31*$AS$31</f>
        <v>0</v>
      </c>
      <c r="AT83" s="17">
        <f>$I$31*$AT$31</f>
        <v>0</v>
      </c>
      <c r="AU83" s="17">
        <f>$I$31*$AU$31</f>
        <v>0</v>
      </c>
      <c r="AV83" s="17">
        <f>$I$31*$AV$31</f>
        <v>0</v>
      </c>
      <c r="AW83" s="17">
        <f>$I$31*$AW$31</f>
        <v>0</v>
      </c>
      <c r="AX83" s="17">
        <f>$I$31*$AX$31</f>
        <v>0</v>
      </c>
      <c r="AY83" s="17">
        <f>$I$31*$AY$31</f>
        <v>0</v>
      </c>
      <c r="AZ83" s="17">
        <f>$I$31*$AZ$31</f>
        <v>0</v>
      </c>
      <c r="BA83" s="17">
        <f>$I$31*$BA$31</f>
        <v>0</v>
      </c>
      <c r="BB83" s="17">
        <f>$I$31*$BB$31</f>
        <v>0</v>
      </c>
      <c r="BC83" s="17">
        <f>$I$31*$BC$31</f>
        <v>0</v>
      </c>
      <c r="BD83" s="17">
        <f>$I$31*$BD$31</f>
        <v>0</v>
      </c>
    </row>
    <row r="84" spans="1:56" ht="11.25" customHeight="1" x14ac:dyDescent="0.25">
      <c r="A84" s="9" t="s">
        <v>40</v>
      </c>
      <c r="B84" s="9" t="s">
        <v>780</v>
      </c>
      <c r="C84" s="9" t="s">
        <v>781</v>
      </c>
      <c r="D84" s="9" t="s">
        <v>782</v>
      </c>
      <c r="E84" s="9" t="s">
        <v>783</v>
      </c>
      <c r="F84" s="9" t="s">
        <v>784</v>
      </c>
      <c r="G84" s="9" t="s">
        <v>787</v>
      </c>
      <c r="L84" s="17">
        <f>$I$32*$L$32</f>
        <v>0</v>
      </c>
      <c r="M84" s="17">
        <f>$I$32*$M$32</f>
        <v>0</v>
      </c>
      <c r="N84" s="17">
        <f ca="1">$I$32*$N$32</f>
        <v>0</v>
      </c>
      <c r="O84" s="17">
        <f>$I$32*$O$32</f>
        <v>0</v>
      </c>
      <c r="P84" s="17">
        <f>$I$32*$P$32</f>
        <v>0</v>
      </c>
      <c r="Q84" s="17">
        <f>$I$32*$Q$32</f>
        <v>0</v>
      </c>
      <c r="R84" s="17">
        <f>$I$32*$R$32</f>
        <v>0</v>
      </c>
      <c r="S84" s="17">
        <f>$I$32*$S$32</f>
        <v>0</v>
      </c>
      <c r="T84" s="17">
        <f>$I$32*$T$32</f>
        <v>0</v>
      </c>
      <c r="U84" s="17">
        <f>$I$32*$U$32</f>
        <v>0</v>
      </c>
      <c r="V84" s="17">
        <f>$I$32*$V$32</f>
        <v>0</v>
      </c>
      <c r="W84" s="17">
        <f>$I$32*$W$32</f>
        <v>0</v>
      </c>
      <c r="X84" s="17">
        <f>$I$32*$X$32</f>
        <v>0</v>
      </c>
      <c r="Y84" s="17">
        <f>$I$32*$Y$32</f>
        <v>0</v>
      </c>
      <c r="Z84" s="17">
        <f>$I$32*$Z$32</f>
        <v>0</v>
      </c>
      <c r="AA84" s="17">
        <f>$I$32*$AA$32</f>
        <v>0</v>
      </c>
      <c r="AB84" s="17">
        <f ca="1">$I$32*$AB$32</f>
        <v>0</v>
      </c>
      <c r="AC84" s="17">
        <f ca="1">$I$32*$AC$32</f>
        <v>0</v>
      </c>
      <c r="AD84" s="17">
        <f>$I$32*$AD$32</f>
        <v>0</v>
      </c>
      <c r="AE84" s="17">
        <f>$I$32*$AE$32</f>
        <v>0</v>
      </c>
      <c r="AF84" s="17">
        <f ca="1">$I$32*$AF$32</f>
        <v>0</v>
      </c>
      <c r="AG84" s="17">
        <f ca="1">$I$32*$AG$32</f>
        <v>0</v>
      </c>
      <c r="AI84" s="17">
        <f>$I$32*$AI$32</f>
        <v>0</v>
      </c>
      <c r="AJ84" s="17">
        <f>$I$32*$AJ$32</f>
        <v>0</v>
      </c>
      <c r="AK84" s="17">
        <f>$I$32*$AK$32</f>
        <v>0</v>
      </c>
      <c r="AL84" s="17">
        <f>$I$32*$AL$32</f>
        <v>0</v>
      </c>
      <c r="AM84" s="17">
        <f>$I$32*$AM$32</f>
        <v>0</v>
      </c>
      <c r="AN84" s="17">
        <f>$I$32*$AN$32</f>
        <v>0</v>
      </c>
      <c r="AO84" s="17">
        <f>$I$32*$AO$32</f>
        <v>0</v>
      </c>
      <c r="AP84" s="17">
        <f>$I$32*$AP$32</f>
        <v>0</v>
      </c>
      <c r="AQ84" s="17">
        <f>$I$32*$AQ$32</f>
        <v>0</v>
      </c>
      <c r="AR84" s="17">
        <f>$I$32*$AR$32</f>
        <v>0</v>
      </c>
      <c r="AS84" s="17">
        <f>$I$32*$AS$32</f>
        <v>0</v>
      </c>
      <c r="AT84" s="17">
        <f>$I$32*$AT$32</f>
        <v>0</v>
      </c>
      <c r="AU84" s="17">
        <f>$I$32*$AU$32</f>
        <v>0</v>
      </c>
      <c r="AV84" s="17">
        <f>$I$32*$AV$32</f>
        <v>0</v>
      </c>
      <c r="AW84" s="17">
        <f>$I$32*$AW$32</f>
        <v>0</v>
      </c>
      <c r="AX84" s="17">
        <f>$I$32*$AX$32</f>
        <v>0</v>
      </c>
      <c r="AY84" s="17">
        <f>$I$32*$AY$32</f>
        <v>0</v>
      </c>
      <c r="AZ84" s="17">
        <f>$I$32*$AZ$32</f>
        <v>0</v>
      </c>
      <c r="BA84" s="17">
        <f>$I$32*$BA$32</f>
        <v>0</v>
      </c>
      <c r="BB84" s="17">
        <f>$I$32*$BB$32</f>
        <v>0</v>
      </c>
      <c r="BC84" s="17">
        <f>$I$32*$BC$32</f>
        <v>0</v>
      </c>
      <c r="BD84" s="17">
        <f>$I$32*$BD$32</f>
        <v>0</v>
      </c>
    </row>
    <row r="85" spans="1:56" ht="11.25" customHeight="1" x14ac:dyDescent="0.25">
      <c r="A85" s="9" t="s">
        <v>40</v>
      </c>
      <c r="B85" s="9" t="s">
        <v>788</v>
      </c>
      <c r="C85" s="9" t="s">
        <v>789</v>
      </c>
      <c r="D85" s="9" t="s">
        <v>790</v>
      </c>
      <c r="E85" s="9" t="s">
        <v>791</v>
      </c>
      <c r="F85" s="9" t="s">
        <v>792</v>
      </c>
      <c r="G85" s="9" t="s">
        <v>793</v>
      </c>
      <c r="L85" s="17">
        <f>$I$33*$L$33</f>
        <v>0</v>
      </c>
      <c r="M85" s="17">
        <f>$I$33*$M$33</f>
        <v>56377.972768654217</v>
      </c>
      <c r="N85" s="17">
        <f ca="1">$I$33*$N$33</f>
        <v>0</v>
      </c>
      <c r="O85" s="17">
        <f>$I$33*$O$33</f>
        <v>0</v>
      </c>
      <c r="P85" s="17">
        <f>$I$33*$P$33</f>
        <v>0</v>
      </c>
      <c r="Q85" s="17">
        <f>$I$33*$Q$33</f>
        <v>3460332.3003803766</v>
      </c>
      <c r="R85" s="17">
        <f>$I$33*$R$33</f>
        <v>545918.69070657005</v>
      </c>
      <c r="S85" s="17">
        <f>$I$33*$S$33</f>
        <v>0</v>
      </c>
      <c r="T85" s="17">
        <f>$I$33*$T$33</f>
        <v>0</v>
      </c>
      <c r="U85" s="17">
        <f>$I$33*$U$33</f>
        <v>0</v>
      </c>
      <c r="V85" s="17">
        <f>$I$33*$V$33</f>
        <v>0</v>
      </c>
      <c r="W85" s="17">
        <f>$I$33*$W$33</f>
        <v>0</v>
      </c>
      <c r="X85" s="17">
        <f>$I$33*$X$33</f>
        <v>3847329.2155794874</v>
      </c>
      <c r="Y85" s="17">
        <f>$I$33*$Y$33</f>
        <v>0</v>
      </c>
      <c r="Z85" s="17">
        <f>$I$33*$Z$33</f>
        <v>0</v>
      </c>
      <c r="AA85" s="17">
        <f>$I$33*$AA$33</f>
        <v>7024085.8697964223</v>
      </c>
      <c r="AB85" s="17">
        <f ca="1">$I$33*$AB$33</f>
        <v>0</v>
      </c>
      <c r="AC85" s="17">
        <f ca="1">$I$33*$AC$33</f>
        <v>0</v>
      </c>
      <c r="AD85" s="17">
        <f>$I$33*$AD$33</f>
        <v>717850.09647634171</v>
      </c>
      <c r="AE85" s="17">
        <f>$I$33*$AE$33</f>
        <v>0</v>
      </c>
      <c r="AF85" s="17">
        <f ca="1">$I$33*$AF$33</f>
        <v>0</v>
      </c>
      <c r="AG85" s="17">
        <f ca="1">$I$33*$AG$33</f>
        <v>0</v>
      </c>
      <c r="AI85" s="17">
        <f>$I$33*$AI$33</f>
        <v>0</v>
      </c>
      <c r="AJ85" s="17">
        <f>$I$33*$AJ$33</f>
        <v>46916.777788710126</v>
      </c>
      <c r="AK85" s="17">
        <f>$I$33*$AK$33</f>
        <v>0</v>
      </c>
      <c r="AL85" s="17">
        <f>$I$33*$AL$33</f>
        <v>0</v>
      </c>
      <c r="AM85" s="17">
        <f>$I$33*$AM$33</f>
        <v>0</v>
      </c>
      <c r="AN85" s="17">
        <f>$I$33*$AN$33</f>
        <v>2018397.0405786021</v>
      </c>
      <c r="AO85" s="17">
        <f>$I$33*$AO$33</f>
        <v>314196.6503693306</v>
      </c>
      <c r="AP85" s="17">
        <f>$I$33*$AP$33</f>
        <v>0</v>
      </c>
      <c r="AQ85" s="17">
        <f>$I$33*$AQ$33</f>
        <v>0</v>
      </c>
      <c r="AR85" s="17">
        <f>$I$33*$AR$33</f>
        <v>0</v>
      </c>
      <c r="AS85" s="17">
        <f>$I$33*$AS$33</f>
        <v>0</v>
      </c>
      <c r="AT85" s="17">
        <f>$I$33*$AT$33</f>
        <v>0</v>
      </c>
      <c r="AU85" s="17">
        <f>$I$33*$AU$33</f>
        <v>3773294.8774694405</v>
      </c>
      <c r="AV85" s="17">
        <f>$I$33*$AV$33</f>
        <v>0</v>
      </c>
      <c r="AW85" s="17">
        <f>$I$33*$AW$33</f>
        <v>0</v>
      </c>
      <c r="AX85" s="17">
        <f>$I$33*$AX$33</f>
        <v>6506080.8045714106</v>
      </c>
      <c r="AY85" s="17">
        <f>$I$33*$AY$33</f>
        <v>0</v>
      </c>
      <c r="AZ85" s="17">
        <f>$I$33*$AZ$33</f>
        <v>0</v>
      </c>
      <c r="BA85" s="17">
        <f>$I$33*$BA$33</f>
        <v>631161.04488656227</v>
      </c>
      <c r="BB85" s="17">
        <f>$I$33*$BB$33</f>
        <v>0</v>
      </c>
      <c r="BC85" s="17">
        <f>$I$33*$BC$33</f>
        <v>0</v>
      </c>
      <c r="BD85" s="17">
        <f>$I$33*$BD$33</f>
        <v>0</v>
      </c>
    </row>
    <row r="86" spans="1:56" ht="11.25" customHeight="1" x14ac:dyDescent="0.25">
      <c r="A86" s="9" t="s">
        <v>40</v>
      </c>
      <c r="B86" s="9" t="s">
        <v>780</v>
      </c>
      <c r="C86" s="9" t="s">
        <v>781</v>
      </c>
      <c r="D86" s="9" t="s">
        <v>794</v>
      </c>
      <c r="E86" s="9" t="s">
        <v>795</v>
      </c>
      <c r="F86" s="9" t="s">
        <v>796</v>
      </c>
      <c r="G86" s="9" t="s">
        <v>797</v>
      </c>
      <c r="L86" s="17">
        <f>$I$34*$L$34</f>
        <v>0</v>
      </c>
      <c r="M86" s="17">
        <f>$I$34*$M$34</f>
        <v>0</v>
      </c>
      <c r="N86" s="17">
        <f ca="1">$I$34*$N$34</f>
        <v>0</v>
      </c>
      <c r="O86" s="17">
        <f>$I$34*$O$34</f>
        <v>0</v>
      </c>
      <c r="P86" s="17">
        <f>$I$34*$P$34</f>
        <v>0</v>
      </c>
      <c r="Q86" s="17">
        <f>$I$34*$Q$34</f>
        <v>0</v>
      </c>
      <c r="R86" s="17">
        <f>$I$34*$R$34</f>
        <v>0</v>
      </c>
      <c r="S86" s="17">
        <f>$I$34*$S$34</f>
        <v>0</v>
      </c>
      <c r="T86" s="17">
        <f>$I$34*$T$34</f>
        <v>0</v>
      </c>
      <c r="U86" s="17">
        <f>$I$34*$U$34</f>
        <v>0</v>
      </c>
      <c r="V86" s="17">
        <f>$I$34*$V$34</f>
        <v>0</v>
      </c>
      <c r="W86" s="17">
        <f>$I$34*$W$34</f>
        <v>0</v>
      </c>
      <c r="X86" s="17">
        <f>$I$34*$X$34</f>
        <v>0</v>
      </c>
      <c r="Y86" s="17">
        <f>$I$34*$Y$34</f>
        <v>0</v>
      </c>
      <c r="Z86" s="17">
        <f>$I$34*$Z$34</f>
        <v>0</v>
      </c>
      <c r="AA86" s="17">
        <f>$I$34*$AA$34</f>
        <v>0</v>
      </c>
      <c r="AB86" s="17">
        <f ca="1">$I$34*$AB$34</f>
        <v>0</v>
      </c>
      <c r="AC86" s="17">
        <f ca="1">$I$34*$AC$34</f>
        <v>0</v>
      </c>
      <c r="AD86" s="17">
        <f>$I$34*$AD$34</f>
        <v>0</v>
      </c>
      <c r="AE86" s="17">
        <f>$I$34*$AE$34</f>
        <v>0</v>
      </c>
      <c r="AF86" s="17">
        <f ca="1">$I$34*$AF$34</f>
        <v>0</v>
      </c>
      <c r="AG86" s="17">
        <f ca="1">$I$34*$AG$34</f>
        <v>0</v>
      </c>
      <c r="AI86" s="17">
        <f>$I$34*$AI$34</f>
        <v>0</v>
      </c>
      <c r="AJ86" s="17">
        <f>$I$34*$AJ$34</f>
        <v>0</v>
      </c>
      <c r="AK86" s="17">
        <f>$I$34*$AK$34</f>
        <v>0</v>
      </c>
      <c r="AL86" s="17">
        <f>$I$34*$AL$34</f>
        <v>0</v>
      </c>
      <c r="AM86" s="17">
        <f>$I$34*$AM$34</f>
        <v>0</v>
      </c>
      <c r="AN86" s="17">
        <f>$I$34*$AN$34</f>
        <v>0</v>
      </c>
      <c r="AO86" s="17">
        <f>$I$34*$AO$34</f>
        <v>0</v>
      </c>
      <c r="AP86" s="17">
        <f>$I$34*$AP$34</f>
        <v>0</v>
      </c>
      <c r="AQ86" s="17">
        <f>$I$34*$AQ$34</f>
        <v>0</v>
      </c>
      <c r="AR86" s="17">
        <f>$I$34*$AR$34</f>
        <v>0</v>
      </c>
      <c r="AS86" s="17">
        <f>$I$34*$AS$34</f>
        <v>0</v>
      </c>
      <c r="AT86" s="17">
        <f>$I$34*$AT$34</f>
        <v>0</v>
      </c>
      <c r="AU86" s="17">
        <f>$I$34*$AU$34</f>
        <v>0</v>
      </c>
      <c r="AV86" s="17">
        <f>$I$34*$AV$34</f>
        <v>0</v>
      </c>
      <c r="AW86" s="17">
        <f>$I$34*$AW$34</f>
        <v>0</v>
      </c>
      <c r="AX86" s="17">
        <f>$I$34*$AX$34</f>
        <v>0</v>
      </c>
      <c r="AY86" s="17">
        <f>$I$34*$AY$34</f>
        <v>0</v>
      </c>
      <c r="AZ86" s="17">
        <f>$I$34*$AZ$34</f>
        <v>0</v>
      </c>
      <c r="BA86" s="17">
        <f>$I$34*$BA$34</f>
        <v>0</v>
      </c>
      <c r="BB86" s="17">
        <f>$I$34*$BB$34</f>
        <v>0</v>
      </c>
      <c r="BC86" s="17">
        <f>$I$34*$BC$34</f>
        <v>0</v>
      </c>
      <c r="BD86" s="17">
        <f>$I$34*$BD$34</f>
        <v>0</v>
      </c>
    </row>
    <row r="87" spans="1:56" ht="11.25" customHeight="1" x14ac:dyDescent="0.25">
      <c r="A87" s="9" t="s">
        <v>40</v>
      </c>
      <c r="B87" s="9" t="s">
        <v>780</v>
      </c>
      <c r="C87" s="9" t="s">
        <v>781</v>
      </c>
      <c r="D87" s="9" t="s">
        <v>794</v>
      </c>
      <c r="E87" s="9" t="s">
        <v>795</v>
      </c>
      <c r="F87" s="9" t="s">
        <v>796</v>
      </c>
      <c r="G87" s="9" t="s">
        <v>798</v>
      </c>
      <c r="L87" s="17">
        <f>$I$35*$L$35</f>
        <v>0</v>
      </c>
      <c r="M87" s="17">
        <f>$I$35*$M$35</f>
        <v>0</v>
      </c>
      <c r="N87" s="17">
        <f ca="1">$I$35*$N$35</f>
        <v>0</v>
      </c>
      <c r="O87" s="17">
        <f>$I$35*$O$35</f>
        <v>0</v>
      </c>
      <c r="P87" s="17">
        <f>$I$35*$P$35</f>
        <v>0</v>
      </c>
      <c r="Q87" s="17">
        <f>$I$35*$Q$35</f>
        <v>0</v>
      </c>
      <c r="R87" s="17">
        <f>$I$35*$R$35</f>
        <v>0</v>
      </c>
      <c r="S87" s="17">
        <f>$I$35*$S$35</f>
        <v>0</v>
      </c>
      <c r="T87" s="17">
        <f>$I$35*$T$35</f>
        <v>0</v>
      </c>
      <c r="U87" s="17">
        <f>$I$35*$U$35</f>
        <v>0</v>
      </c>
      <c r="V87" s="17">
        <f>$I$35*$V$35</f>
        <v>0</v>
      </c>
      <c r="W87" s="17">
        <f>$I$35*$W$35</f>
        <v>0</v>
      </c>
      <c r="X87" s="17">
        <f>$I$35*$X$35</f>
        <v>0</v>
      </c>
      <c r="Y87" s="17">
        <f>$I$35*$Y$35</f>
        <v>0</v>
      </c>
      <c r="Z87" s="17">
        <f>$I$35*$Z$35</f>
        <v>0</v>
      </c>
      <c r="AA87" s="17">
        <f>$I$35*$AA$35</f>
        <v>0</v>
      </c>
      <c r="AB87" s="17">
        <f ca="1">$I$35*$AB$35</f>
        <v>0</v>
      </c>
      <c r="AC87" s="17">
        <f ca="1">$I$35*$AC$35</f>
        <v>0</v>
      </c>
      <c r="AD87" s="17">
        <f>$I$35*$AD$35</f>
        <v>0</v>
      </c>
      <c r="AE87" s="17">
        <f>$I$35*$AE$35</f>
        <v>0</v>
      </c>
      <c r="AF87" s="17">
        <f ca="1">$I$35*$AF$35</f>
        <v>0</v>
      </c>
      <c r="AG87" s="17">
        <f ca="1">$I$35*$AG$35</f>
        <v>0</v>
      </c>
      <c r="AI87" s="17">
        <f>$I$35*$AI$35</f>
        <v>0</v>
      </c>
      <c r="AJ87" s="17">
        <f>$I$35*$AJ$35</f>
        <v>0</v>
      </c>
      <c r="AK87" s="17">
        <f>$I$35*$AK$35</f>
        <v>0</v>
      </c>
      <c r="AL87" s="17">
        <f>$I$35*$AL$35</f>
        <v>0</v>
      </c>
      <c r="AM87" s="17">
        <f>$I$35*$AM$35</f>
        <v>0</v>
      </c>
      <c r="AN87" s="17">
        <f>$I$35*$AN$35</f>
        <v>0</v>
      </c>
      <c r="AO87" s="17">
        <f>$I$35*$AO$35</f>
        <v>0</v>
      </c>
      <c r="AP87" s="17">
        <f>$I$35*$AP$35</f>
        <v>0</v>
      </c>
      <c r="AQ87" s="17">
        <f>$I$35*$AQ$35</f>
        <v>0</v>
      </c>
      <c r="AR87" s="17">
        <f>$I$35*$AR$35</f>
        <v>0</v>
      </c>
      <c r="AS87" s="17">
        <f>$I$35*$AS$35</f>
        <v>0</v>
      </c>
      <c r="AT87" s="17">
        <f>$I$35*$AT$35</f>
        <v>0</v>
      </c>
      <c r="AU87" s="17">
        <f>$I$35*$AU$35</f>
        <v>0</v>
      </c>
      <c r="AV87" s="17">
        <f>$I$35*$AV$35</f>
        <v>0</v>
      </c>
      <c r="AW87" s="17">
        <f>$I$35*$AW$35</f>
        <v>0</v>
      </c>
      <c r="AX87" s="17">
        <f>$I$35*$AX$35</f>
        <v>0</v>
      </c>
      <c r="AY87" s="17">
        <f>$I$35*$AY$35</f>
        <v>0</v>
      </c>
      <c r="AZ87" s="17">
        <f>$I$35*$AZ$35</f>
        <v>0</v>
      </c>
      <c r="BA87" s="17">
        <f>$I$35*$BA$35</f>
        <v>0</v>
      </c>
      <c r="BB87" s="17">
        <f>$I$35*$BB$35</f>
        <v>0</v>
      </c>
      <c r="BC87" s="17">
        <f>$I$35*$BC$35</f>
        <v>0</v>
      </c>
      <c r="BD87" s="17">
        <f>$I$35*$BD$35</f>
        <v>0</v>
      </c>
    </row>
    <row r="88" spans="1:56" ht="11.25" customHeight="1" x14ac:dyDescent="0.25">
      <c r="A88" s="9" t="s">
        <v>40</v>
      </c>
      <c r="B88" s="9" t="s">
        <v>780</v>
      </c>
      <c r="C88" s="9" t="s">
        <v>781</v>
      </c>
      <c r="D88" s="9" t="s">
        <v>794</v>
      </c>
      <c r="E88" s="9" t="s">
        <v>795</v>
      </c>
      <c r="F88" s="9" t="s">
        <v>796</v>
      </c>
      <c r="G88" s="9" t="s">
        <v>799</v>
      </c>
      <c r="L88" s="17">
        <f>$I$36*$L$36</f>
        <v>0</v>
      </c>
      <c r="M88" s="17">
        <f>$I$36*$M$36</f>
        <v>0</v>
      </c>
      <c r="N88" s="17">
        <f ca="1">$I$36*$N$36</f>
        <v>0</v>
      </c>
      <c r="O88" s="17">
        <f>$I$36*$O$36</f>
        <v>0</v>
      </c>
      <c r="P88" s="17">
        <f>$I$36*$P$36</f>
        <v>0</v>
      </c>
      <c r="Q88" s="17">
        <f>$I$36*$Q$36</f>
        <v>0</v>
      </c>
      <c r="R88" s="17">
        <f>$I$36*$R$36</f>
        <v>0</v>
      </c>
      <c r="S88" s="17">
        <f>$I$36*$S$36</f>
        <v>0</v>
      </c>
      <c r="T88" s="17">
        <f>$I$36*$T$36</f>
        <v>0</v>
      </c>
      <c r="U88" s="17">
        <f>$I$36*$U$36</f>
        <v>0</v>
      </c>
      <c r="V88" s="17">
        <f>$I$36*$V$36</f>
        <v>0</v>
      </c>
      <c r="W88" s="17">
        <f>$I$36*$W$36</f>
        <v>0</v>
      </c>
      <c r="X88" s="17">
        <f>$I$36*$X$36</f>
        <v>0</v>
      </c>
      <c r="Y88" s="17">
        <f>$I$36*$Y$36</f>
        <v>0</v>
      </c>
      <c r="Z88" s="17">
        <f>$I$36*$Z$36</f>
        <v>0</v>
      </c>
      <c r="AA88" s="17">
        <f>$I$36*$AA$36</f>
        <v>0</v>
      </c>
      <c r="AB88" s="17">
        <f ca="1">$I$36*$AB$36</f>
        <v>0</v>
      </c>
      <c r="AC88" s="17">
        <f ca="1">$I$36*$AC$36</f>
        <v>0</v>
      </c>
      <c r="AD88" s="17">
        <f>$I$36*$AD$36</f>
        <v>0</v>
      </c>
      <c r="AE88" s="17">
        <f>$I$36*$AE$36</f>
        <v>0</v>
      </c>
      <c r="AF88" s="17">
        <f ca="1">$I$36*$AF$36</f>
        <v>0</v>
      </c>
      <c r="AG88" s="17">
        <f ca="1">$I$36*$AG$36</f>
        <v>0</v>
      </c>
      <c r="AI88" s="17">
        <f>$I$36*$AI$36</f>
        <v>0</v>
      </c>
      <c r="AJ88" s="17">
        <f>$I$36*$AJ$36</f>
        <v>0</v>
      </c>
      <c r="AK88" s="17">
        <f>$I$36*$AK$36</f>
        <v>0</v>
      </c>
      <c r="AL88" s="17">
        <f>$I$36*$AL$36</f>
        <v>0</v>
      </c>
      <c r="AM88" s="17">
        <f>$I$36*$AM$36</f>
        <v>0</v>
      </c>
      <c r="AN88" s="17">
        <f>$I$36*$AN$36</f>
        <v>0</v>
      </c>
      <c r="AO88" s="17">
        <f>$I$36*$AO$36</f>
        <v>0</v>
      </c>
      <c r="AP88" s="17">
        <f>$I$36*$AP$36</f>
        <v>0</v>
      </c>
      <c r="AQ88" s="17">
        <f>$I$36*$AQ$36</f>
        <v>0</v>
      </c>
      <c r="AR88" s="17">
        <f>$I$36*$AR$36</f>
        <v>0</v>
      </c>
      <c r="AS88" s="17">
        <f>$I$36*$AS$36</f>
        <v>0</v>
      </c>
      <c r="AT88" s="17">
        <f>$I$36*$AT$36</f>
        <v>0</v>
      </c>
      <c r="AU88" s="17">
        <f>$I$36*$AU$36</f>
        <v>0</v>
      </c>
      <c r="AV88" s="17">
        <f>$I$36*$AV$36</f>
        <v>0</v>
      </c>
      <c r="AW88" s="17">
        <f>$I$36*$AW$36</f>
        <v>0</v>
      </c>
      <c r="AX88" s="17">
        <f>$I$36*$AX$36</f>
        <v>0</v>
      </c>
      <c r="AY88" s="17">
        <f>$I$36*$AY$36</f>
        <v>0</v>
      </c>
      <c r="AZ88" s="17">
        <f>$I$36*$AZ$36</f>
        <v>0</v>
      </c>
      <c r="BA88" s="17">
        <f>$I$36*$BA$36</f>
        <v>0</v>
      </c>
      <c r="BB88" s="17">
        <f>$I$36*$BB$36</f>
        <v>0</v>
      </c>
      <c r="BC88" s="17">
        <f>$I$36*$BC$36</f>
        <v>0</v>
      </c>
      <c r="BD88" s="17">
        <f>$I$36*$BD$36</f>
        <v>0</v>
      </c>
    </row>
    <row r="89" spans="1:56" ht="11.25" customHeight="1" x14ac:dyDescent="0.25">
      <c r="A89" s="9" t="s">
        <v>40</v>
      </c>
      <c r="B89" s="9" t="s">
        <v>788</v>
      </c>
      <c r="C89" s="9" t="s">
        <v>789</v>
      </c>
      <c r="D89" s="9" t="s">
        <v>800</v>
      </c>
      <c r="E89" s="9" t="s">
        <v>801</v>
      </c>
      <c r="F89" s="9" t="s">
        <v>802</v>
      </c>
      <c r="G89" s="9" t="s">
        <v>803</v>
      </c>
      <c r="L89" s="17">
        <f>$I$37*$L$37</f>
        <v>0</v>
      </c>
      <c r="M89" s="17">
        <f>$I$37*$M$37</f>
        <v>0</v>
      </c>
      <c r="N89" s="17">
        <f ca="1">$I$37*$N$37</f>
        <v>0</v>
      </c>
      <c r="O89" s="17">
        <f>$I$37*$O$37</f>
        <v>0</v>
      </c>
      <c r="P89" s="17">
        <f>$I$37*$P$37</f>
        <v>0</v>
      </c>
      <c r="Q89" s="17">
        <f>$I$37*$Q$37</f>
        <v>0</v>
      </c>
      <c r="R89" s="17">
        <f>$I$37*$R$37</f>
        <v>0</v>
      </c>
      <c r="S89" s="17">
        <f>$I$37*$S$37</f>
        <v>0</v>
      </c>
      <c r="T89" s="17">
        <f>$I$37*$T$37</f>
        <v>0</v>
      </c>
      <c r="U89" s="17">
        <f>$I$37*$U$37</f>
        <v>0</v>
      </c>
      <c r="V89" s="17">
        <f>$I$37*$V$37</f>
        <v>0</v>
      </c>
      <c r="W89" s="17">
        <f>$I$37*$W$37</f>
        <v>0</v>
      </c>
      <c r="X89" s="17">
        <f>$I$37*$X$37</f>
        <v>0</v>
      </c>
      <c r="Y89" s="17">
        <f>$I$37*$Y$37</f>
        <v>0</v>
      </c>
      <c r="Z89" s="17">
        <f>$I$37*$Z$37</f>
        <v>0</v>
      </c>
      <c r="AA89" s="17">
        <f>$I$37*$AA$37</f>
        <v>0</v>
      </c>
      <c r="AB89" s="17">
        <f ca="1">$I$37*$AB$37</f>
        <v>0</v>
      </c>
      <c r="AC89" s="17">
        <f ca="1">$I$37*$AC$37</f>
        <v>0</v>
      </c>
      <c r="AD89" s="17">
        <f>$I$37*$AD$37</f>
        <v>0</v>
      </c>
      <c r="AE89" s="17">
        <f>$I$37*$AE$37</f>
        <v>0</v>
      </c>
      <c r="AF89" s="17">
        <f ca="1">$I$37*$AF$37</f>
        <v>0</v>
      </c>
      <c r="AG89" s="17">
        <f ca="1">$I$37*$AG$37</f>
        <v>0</v>
      </c>
      <c r="AI89" s="17">
        <f>$I$37*$AI$37</f>
        <v>0</v>
      </c>
      <c r="AJ89" s="17">
        <f>$I$37*$AJ$37</f>
        <v>0</v>
      </c>
      <c r="AK89" s="17">
        <f>$I$37*$AK$37</f>
        <v>0</v>
      </c>
      <c r="AL89" s="17">
        <f>$I$37*$AL$37</f>
        <v>0</v>
      </c>
      <c r="AM89" s="17">
        <f>$I$37*$AM$37</f>
        <v>0</v>
      </c>
      <c r="AN89" s="17">
        <f>$I$37*$AN$37</f>
        <v>0</v>
      </c>
      <c r="AO89" s="17">
        <f>$I$37*$AO$37</f>
        <v>0</v>
      </c>
      <c r="AP89" s="17">
        <f>$I$37*$AP$37</f>
        <v>0</v>
      </c>
      <c r="AQ89" s="17">
        <f>$I$37*$AQ$37</f>
        <v>0</v>
      </c>
      <c r="AR89" s="17">
        <f>$I$37*$AR$37</f>
        <v>0</v>
      </c>
      <c r="AS89" s="17">
        <f>$I$37*$AS$37</f>
        <v>0</v>
      </c>
      <c r="AT89" s="17">
        <f>$I$37*$AT$37</f>
        <v>0</v>
      </c>
      <c r="AU89" s="17">
        <f>$I$37*$AU$37</f>
        <v>0</v>
      </c>
      <c r="AV89" s="17">
        <f>$I$37*$AV$37</f>
        <v>0</v>
      </c>
      <c r="AW89" s="17">
        <f>$I$37*$AW$37</f>
        <v>0</v>
      </c>
      <c r="AX89" s="17">
        <f>$I$37*$AX$37</f>
        <v>0</v>
      </c>
      <c r="AY89" s="17">
        <f>$I$37*$AY$37</f>
        <v>0</v>
      </c>
      <c r="AZ89" s="17">
        <f>$I$37*$AZ$37</f>
        <v>0</v>
      </c>
      <c r="BA89" s="17">
        <f>$I$37*$BA$37</f>
        <v>0</v>
      </c>
      <c r="BB89" s="17">
        <f>$I$37*$BB$37</f>
        <v>0</v>
      </c>
      <c r="BC89" s="17">
        <f>$I$37*$BC$37</f>
        <v>0</v>
      </c>
      <c r="BD89" s="17">
        <f>$I$37*$BD$37</f>
        <v>0</v>
      </c>
    </row>
    <row r="90" spans="1:56" ht="11.25" customHeight="1" x14ac:dyDescent="0.25">
      <c r="A90" s="9" t="s">
        <v>40</v>
      </c>
      <c r="B90" s="9" t="s">
        <v>780</v>
      </c>
      <c r="C90" s="9" t="s">
        <v>781</v>
      </c>
      <c r="D90" s="9" t="s">
        <v>804</v>
      </c>
      <c r="E90" s="9" t="s">
        <v>805</v>
      </c>
      <c r="F90" s="9" t="s">
        <v>806</v>
      </c>
      <c r="G90" s="9" t="s">
        <v>807</v>
      </c>
      <c r="L90" s="17">
        <f>$I$38*$L$38</f>
        <v>0</v>
      </c>
      <c r="M90" s="17">
        <f>$I$38*$M$38</f>
        <v>0</v>
      </c>
      <c r="N90" s="17">
        <f ca="1">$I$38*$N$38</f>
        <v>0</v>
      </c>
      <c r="O90" s="17">
        <f>$I$38*$O$38</f>
        <v>0</v>
      </c>
      <c r="P90" s="17">
        <f>$I$38*$P$38</f>
        <v>0</v>
      </c>
      <c r="Q90" s="17">
        <f>$I$38*$Q$38</f>
        <v>0</v>
      </c>
      <c r="R90" s="17">
        <f>$I$38*$R$38</f>
        <v>0</v>
      </c>
      <c r="S90" s="17">
        <f>$I$38*$S$38</f>
        <v>0</v>
      </c>
      <c r="T90" s="17">
        <f>$I$38*$T$38</f>
        <v>0</v>
      </c>
      <c r="U90" s="17">
        <f>$I$38*$U$38</f>
        <v>0</v>
      </c>
      <c r="V90" s="17">
        <f>$I$38*$V$38</f>
        <v>0</v>
      </c>
      <c r="W90" s="17">
        <f>$I$38*$W$38</f>
        <v>0</v>
      </c>
      <c r="X90" s="17">
        <f>$I$38*$X$38</f>
        <v>0</v>
      </c>
      <c r="Y90" s="17">
        <f>$I$38*$Y$38</f>
        <v>0</v>
      </c>
      <c r="Z90" s="17">
        <f>$I$38*$Z$38</f>
        <v>0</v>
      </c>
      <c r="AA90" s="17">
        <f>$I$38*$AA$38</f>
        <v>0</v>
      </c>
      <c r="AB90" s="17">
        <f ca="1">$I$38*$AB$38</f>
        <v>0</v>
      </c>
      <c r="AC90" s="17">
        <f ca="1">$I$38*$AC$38</f>
        <v>0</v>
      </c>
      <c r="AD90" s="17">
        <f>$I$38*$AD$38</f>
        <v>0</v>
      </c>
      <c r="AE90" s="17">
        <f>$I$38*$AE$38</f>
        <v>0</v>
      </c>
      <c r="AF90" s="17">
        <f ca="1">$I$38*$AF$38</f>
        <v>0</v>
      </c>
      <c r="AG90" s="17">
        <f ca="1">$I$38*$AG$38</f>
        <v>0</v>
      </c>
      <c r="AI90" s="17">
        <f>$I$38*$AI$38</f>
        <v>0</v>
      </c>
      <c r="AJ90" s="17">
        <f>$I$38*$AJ$38</f>
        <v>0</v>
      </c>
      <c r="AK90" s="17">
        <f>$I$38*$AK$38</f>
        <v>0</v>
      </c>
      <c r="AL90" s="17">
        <f>$I$38*$AL$38</f>
        <v>0</v>
      </c>
      <c r="AM90" s="17">
        <f>$I$38*$AM$38</f>
        <v>0</v>
      </c>
      <c r="AN90" s="17">
        <f>$I$38*$AN$38</f>
        <v>0</v>
      </c>
      <c r="AO90" s="17">
        <f>$I$38*$AO$38</f>
        <v>0</v>
      </c>
      <c r="AP90" s="17">
        <f>$I$38*$AP$38</f>
        <v>0</v>
      </c>
      <c r="AQ90" s="17">
        <f>$I$38*$AQ$38</f>
        <v>0</v>
      </c>
      <c r="AR90" s="17">
        <f>$I$38*$AR$38</f>
        <v>0</v>
      </c>
      <c r="AS90" s="17">
        <f>$I$38*$AS$38</f>
        <v>0</v>
      </c>
      <c r="AT90" s="17">
        <f>$I$38*$AT$38</f>
        <v>0</v>
      </c>
      <c r="AU90" s="17">
        <f>$I$38*$AU$38</f>
        <v>0</v>
      </c>
      <c r="AV90" s="17">
        <f>$I$38*$AV$38</f>
        <v>0</v>
      </c>
      <c r="AW90" s="17">
        <f>$I$38*$AW$38</f>
        <v>0</v>
      </c>
      <c r="AX90" s="17">
        <f>$I$38*$AX$38</f>
        <v>0</v>
      </c>
      <c r="AY90" s="17">
        <f>$I$38*$AY$38</f>
        <v>0</v>
      </c>
      <c r="AZ90" s="17">
        <f>$I$38*$AZ$38</f>
        <v>0</v>
      </c>
      <c r="BA90" s="17">
        <f>$I$38*$BA$38</f>
        <v>0</v>
      </c>
      <c r="BB90" s="17">
        <f>$I$38*$BB$38</f>
        <v>0</v>
      </c>
      <c r="BC90" s="17">
        <f>$I$38*$BC$38</f>
        <v>0</v>
      </c>
      <c r="BD90" s="17">
        <f>$I$38*$BD$38</f>
        <v>0</v>
      </c>
    </row>
    <row r="91" spans="1:56" ht="11.25" customHeight="1" x14ac:dyDescent="0.25">
      <c r="A91" s="9" t="s">
        <v>40</v>
      </c>
      <c r="B91" s="9" t="s">
        <v>780</v>
      </c>
      <c r="C91" s="9" t="s">
        <v>781</v>
      </c>
      <c r="D91" s="9" t="s">
        <v>804</v>
      </c>
      <c r="E91" s="9" t="s">
        <v>805</v>
      </c>
      <c r="F91" s="9" t="s">
        <v>806</v>
      </c>
      <c r="G91" s="9" t="s">
        <v>808</v>
      </c>
      <c r="L91" s="17">
        <f>$I$39*$L$39</f>
        <v>0</v>
      </c>
      <c r="M91" s="17">
        <f>$I$39*$M$39</f>
        <v>0</v>
      </c>
      <c r="N91" s="17">
        <f ca="1">$I$39*$N$39</f>
        <v>0</v>
      </c>
      <c r="O91" s="17">
        <f>$I$39*$O$39</f>
        <v>0</v>
      </c>
      <c r="P91" s="17">
        <f>$I$39*$P$39</f>
        <v>0</v>
      </c>
      <c r="Q91" s="17">
        <f>$I$39*$Q$39</f>
        <v>0</v>
      </c>
      <c r="R91" s="17">
        <f>$I$39*$R$39</f>
        <v>0</v>
      </c>
      <c r="S91" s="17">
        <f>$I$39*$S$39</f>
        <v>0</v>
      </c>
      <c r="T91" s="17">
        <f>$I$39*$T$39</f>
        <v>0</v>
      </c>
      <c r="U91" s="17">
        <f>$I$39*$U$39</f>
        <v>0</v>
      </c>
      <c r="V91" s="17">
        <f>$I$39*$V$39</f>
        <v>0</v>
      </c>
      <c r="W91" s="17">
        <f>$I$39*$W$39</f>
        <v>0</v>
      </c>
      <c r="X91" s="17">
        <f>$I$39*$X$39</f>
        <v>0</v>
      </c>
      <c r="Y91" s="17">
        <f>$I$39*$Y$39</f>
        <v>0</v>
      </c>
      <c r="Z91" s="17">
        <f>$I$39*$Z$39</f>
        <v>0</v>
      </c>
      <c r="AA91" s="17">
        <f>$I$39*$AA$39</f>
        <v>0</v>
      </c>
      <c r="AB91" s="17">
        <f ca="1">$I$39*$AB$39</f>
        <v>0</v>
      </c>
      <c r="AC91" s="17">
        <f ca="1">$I$39*$AC$39</f>
        <v>0</v>
      </c>
      <c r="AD91" s="17">
        <f>$I$39*$AD$39</f>
        <v>0</v>
      </c>
      <c r="AE91" s="17">
        <f>$I$39*$AE$39</f>
        <v>0</v>
      </c>
      <c r="AF91" s="17">
        <f ca="1">$I$39*$AF$39</f>
        <v>0</v>
      </c>
      <c r="AG91" s="17">
        <f ca="1">$I$39*$AG$39</f>
        <v>0</v>
      </c>
      <c r="AI91" s="17">
        <f>$I$39*$AI$39</f>
        <v>0</v>
      </c>
      <c r="AJ91" s="17">
        <f>$I$39*$AJ$39</f>
        <v>0</v>
      </c>
      <c r="AK91" s="17">
        <f>$I$39*$AK$39</f>
        <v>0</v>
      </c>
      <c r="AL91" s="17">
        <f>$I$39*$AL$39</f>
        <v>0</v>
      </c>
      <c r="AM91" s="17">
        <f>$I$39*$AM$39</f>
        <v>0</v>
      </c>
      <c r="AN91" s="17">
        <f>$I$39*$AN$39</f>
        <v>0</v>
      </c>
      <c r="AO91" s="17">
        <f>$I$39*$AO$39</f>
        <v>0</v>
      </c>
      <c r="AP91" s="17">
        <f>$I$39*$AP$39</f>
        <v>0</v>
      </c>
      <c r="AQ91" s="17">
        <f>$I$39*$AQ$39</f>
        <v>0</v>
      </c>
      <c r="AR91" s="17">
        <f>$I$39*$AR$39</f>
        <v>0</v>
      </c>
      <c r="AS91" s="17">
        <f>$I$39*$AS$39</f>
        <v>0</v>
      </c>
      <c r="AT91" s="17">
        <f>$I$39*$AT$39</f>
        <v>0</v>
      </c>
      <c r="AU91" s="17">
        <f>$I$39*$AU$39</f>
        <v>0</v>
      </c>
      <c r="AV91" s="17">
        <f>$I$39*$AV$39</f>
        <v>0</v>
      </c>
      <c r="AW91" s="17">
        <f>$I$39*$AW$39</f>
        <v>0</v>
      </c>
      <c r="AX91" s="17">
        <f>$I$39*$AX$39</f>
        <v>0</v>
      </c>
      <c r="AY91" s="17">
        <f>$I$39*$AY$39</f>
        <v>0</v>
      </c>
      <c r="AZ91" s="17">
        <f>$I$39*$AZ$39</f>
        <v>0</v>
      </c>
      <c r="BA91" s="17">
        <f>$I$39*$BA$39</f>
        <v>0</v>
      </c>
      <c r="BB91" s="17">
        <f>$I$39*$BB$39</f>
        <v>0</v>
      </c>
      <c r="BC91" s="17">
        <f>$I$39*$BC$39</f>
        <v>0</v>
      </c>
      <c r="BD91" s="17">
        <f>$I$39*$BD$39</f>
        <v>0</v>
      </c>
    </row>
    <row r="92" spans="1:56" ht="11.25" customHeight="1" x14ac:dyDescent="0.25">
      <c r="A92" s="9" t="s">
        <v>40</v>
      </c>
      <c r="B92" s="9" t="s">
        <v>780</v>
      </c>
      <c r="C92" s="9" t="s">
        <v>781</v>
      </c>
      <c r="D92" s="9" t="s">
        <v>804</v>
      </c>
      <c r="E92" s="9" t="s">
        <v>805</v>
      </c>
      <c r="F92" s="9" t="s">
        <v>806</v>
      </c>
      <c r="G92" s="9" t="s">
        <v>809</v>
      </c>
      <c r="L92" s="17">
        <f>$I$40*$L$40</f>
        <v>0</v>
      </c>
      <c r="M92" s="17">
        <f>$I$40*$M$40</f>
        <v>0</v>
      </c>
      <c r="N92" s="17">
        <f ca="1">$I$40*$N$40</f>
        <v>0</v>
      </c>
      <c r="O92" s="17">
        <f>$I$40*$O$40</f>
        <v>0</v>
      </c>
      <c r="P92" s="17">
        <f>$I$40*$P$40</f>
        <v>0</v>
      </c>
      <c r="Q92" s="17">
        <f>$I$40*$Q$40</f>
        <v>0</v>
      </c>
      <c r="R92" s="17">
        <f>$I$40*$R$40</f>
        <v>0</v>
      </c>
      <c r="S92" s="17">
        <f>$I$40*$S$40</f>
        <v>0</v>
      </c>
      <c r="T92" s="17">
        <f>$I$40*$T$40</f>
        <v>0</v>
      </c>
      <c r="U92" s="17">
        <f>$I$40*$U$40</f>
        <v>0</v>
      </c>
      <c r="V92" s="17">
        <f>$I$40*$V$40</f>
        <v>0</v>
      </c>
      <c r="W92" s="17">
        <f>$I$40*$W$40</f>
        <v>0</v>
      </c>
      <c r="X92" s="17">
        <f>$I$40*$X$40</f>
        <v>0</v>
      </c>
      <c r="Y92" s="17">
        <f>$I$40*$Y$40</f>
        <v>0</v>
      </c>
      <c r="Z92" s="17">
        <f>$I$40*$Z$40</f>
        <v>0</v>
      </c>
      <c r="AA92" s="17">
        <f>$I$40*$AA$40</f>
        <v>0</v>
      </c>
      <c r="AB92" s="17">
        <f ca="1">$I$40*$AB$40</f>
        <v>0</v>
      </c>
      <c r="AC92" s="17">
        <f ca="1">$I$40*$AC$40</f>
        <v>0</v>
      </c>
      <c r="AD92" s="17">
        <f>$I$40*$AD$40</f>
        <v>0</v>
      </c>
      <c r="AE92" s="17">
        <f>$I$40*$AE$40</f>
        <v>0</v>
      </c>
      <c r="AF92" s="17">
        <f ca="1">$I$40*$AF$40</f>
        <v>0</v>
      </c>
      <c r="AG92" s="17">
        <f ca="1">$I$40*$AG$40</f>
        <v>0</v>
      </c>
      <c r="AI92" s="17">
        <f>$I$40*$AI$40</f>
        <v>0</v>
      </c>
      <c r="AJ92" s="17">
        <f>$I$40*$AJ$40</f>
        <v>0</v>
      </c>
      <c r="AK92" s="17">
        <f>$I$40*$AK$40</f>
        <v>0</v>
      </c>
      <c r="AL92" s="17">
        <f>$I$40*$AL$40</f>
        <v>0</v>
      </c>
      <c r="AM92" s="17">
        <f>$I$40*$AM$40</f>
        <v>0</v>
      </c>
      <c r="AN92" s="17">
        <f>$I$40*$AN$40</f>
        <v>0</v>
      </c>
      <c r="AO92" s="17">
        <f>$I$40*$AO$40</f>
        <v>0</v>
      </c>
      <c r="AP92" s="17">
        <f>$I$40*$AP$40</f>
        <v>0</v>
      </c>
      <c r="AQ92" s="17">
        <f>$I$40*$AQ$40</f>
        <v>0</v>
      </c>
      <c r="AR92" s="17">
        <f>$I$40*$AR$40</f>
        <v>0</v>
      </c>
      <c r="AS92" s="17">
        <f>$I$40*$AS$40</f>
        <v>0</v>
      </c>
      <c r="AT92" s="17">
        <f>$I$40*$AT$40</f>
        <v>0</v>
      </c>
      <c r="AU92" s="17">
        <f>$I$40*$AU$40</f>
        <v>0</v>
      </c>
      <c r="AV92" s="17">
        <f>$I$40*$AV$40</f>
        <v>0</v>
      </c>
      <c r="AW92" s="17">
        <f>$I$40*$AW$40</f>
        <v>0</v>
      </c>
      <c r="AX92" s="17">
        <f>$I$40*$AX$40</f>
        <v>0</v>
      </c>
      <c r="AY92" s="17">
        <f>$I$40*$AY$40</f>
        <v>0</v>
      </c>
      <c r="AZ92" s="17">
        <f>$I$40*$AZ$40</f>
        <v>0</v>
      </c>
      <c r="BA92" s="17">
        <f>$I$40*$BA$40</f>
        <v>0</v>
      </c>
      <c r="BB92" s="17">
        <f>$I$40*$BB$40</f>
        <v>0</v>
      </c>
      <c r="BC92" s="17">
        <f>$I$40*$BC$40</f>
        <v>0</v>
      </c>
      <c r="BD92" s="17">
        <f>$I$40*$BD$40</f>
        <v>0</v>
      </c>
    </row>
    <row r="93" spans="1:56" ht="11.25" customHeight="1" x14ac:dyDescent="0.25">
      <c r="A93" s="9" t="s">
        <v>40</v>
      </c>
      <c r="B93" s="9" t="s">
        <v>788</v>
      </c>
      <c r="C93" s="9" t="s">
        <v>789</v>
      </c>
      <c r="D93" s="9" t="s">
        <v>810</v>
      </c>
      <c r="E93" s="9" t="s">
        <v>811</v>
      </c>
      <c r="F93" s="9" t="s">
        <v>812</v>
      </c>
      <c r="G93" s="9" t="s">
        <v>813</v>
      </c>
      <c r="L93" s="17">
        <f>$I$41*$L$41</f>
        <v>0</v>
      </c>
      <c r="M93" s="17">
        <f>$I$41*$M$41</f>
        <v>0</v>
      </c>
      <c r="N93" s="17">
        <f ca="1">$I$41*$N$41</f>
        <v>0</v>
      </c>
      <c r="O93" s="17">
        <f>$I$41*$O$41</f>
        <v>0</v>
      </c>
      <c r="P93" s="17">
        <f>$I$41*$P$41</f>
        <v>0</v>
      </c>
      <c r="Q93" s="17">
        <f>$I$41*$Q$41</f>
        <v>0</v>
      </c>
      <c r="R93" s="17">
        <f>$I$41*$R$41</f>
        <v>0</v>
      </c>
      <c r="S93" s="17">
        <f>$I$41*$S$41</f>
        <v>0</v>
      </c>
      <c r="T93" s="17">
        <f>$I$41*$T$41</f>
        <v>0</v>
      </c>
      <c r="U93" s="17">
        <f>$I$41*$U$41</f>
        <v>0</v>
      </c>
      <c r="V93" s="17">
        <f>$I$41*$V$41</f>
        <v>0</v>
      </c>
      <c r="W93" s="17">
        <f>$I$41*$W$41</f>
        <v>0</v>
      </c>
      <c r="X93" s="17">
        <f>$I$41*$X$41</f>
        <v>0</v>
      </c>
      <c r="Y93" s="17">
        <f>$I$41*$Y$41</f>
        <v>0</v>
      </c>
      <c r="Z93" s="17">
        <f>$I$41*$Z$41</f>
        <v>0</v>
      </c>
      <c r="AA93" s="17">
        <f>$I$41*$AA$41</f>
        <v>0</v>
      </c>
      <c r="AB93" s="17">
        <f ca="1">$I$41*$AB$41</f>
        <v>0</v>
      </c>
      <c r="AC93" s="17">
        <f ca="1">$I$41*$AC$41</f>
        <v>0</v>
      </c>
      <c r="AD93" s="17">
        <f>$I$41*$AD$41</f>
        <v>0</v>
      </c>
      <c r="AE93" s="17">
        <f>$I$41*$AE$41</f>
        <v>0</v>
      </c>
      <c r="AF93" s="17">
        <f ca="1">$I$41*$AF$41</f>
        <v>0</v>
      </c>
      <c r="AG93" s="17">
        <f ca="1">$I$41*$AG$41</f>
        <v>0</v>
      </c>
      <c r="AI93" s="17">
        <f>$I$41*$AI$41</f>
        <v>0</v>
      </c>
      <c r="AJ93" s="17">
        <f>$I$41*$AJ$41</f>
        <v>0</v>
      </c>
      <c r="AK93" s="17">
        <f>$I$41*$AK$41</f>
        <v>0</v>
      </c>
      <c r="AL93" s="17">
        <f>$I$41*$AL$41</f>
        <v>0</v>
      </c>
      <c r="AM93" s="17">
        <f>$I$41*$AM$41</f>
        <v>0</v>
      </c>
      <c r="AN93" s="17">
        <f>$I$41*$AN$41</f>
        <v>0</v>
      </c>
      <c r="AO93" s="17">
        <f>$I$41*$AO$41</f>
        <v>0</v>
      </c>
      <c r="AP93" s="17">
        <f>$I$41*$AP$41</f>
        <v>0</v>
      </c>
      <c r="AQ93" s="17">
        <f>$I$41*$AQ$41</f>
        <v>0</v>
      </c>
      <c r="AR93" s="17">
        <f>$I$41*$AR$41</f>
        <v>0</v>
      </c>
      <c r="AS93" s="17">
        <f>$I$41*$AS$41</f>
        <v>0</v>
      </c>
      <c r="AT93" s="17">
        <f>$I$41*$AT$41</f>
        <v>0</v>
      </c>
      <c r="AU93" s="17">
        <f>$I$41*$AU$41</f>
        <v>0</v>
      </c>
      <c r="AV93" s="17">
        <f>$I$41*$AV$41</f>
        <v>0</v>
      </c>
      <c r="AW93" s="17">
        <f>$I$41*$AW$41</f>
        <v>0</v>
      </c>
      <c r="AX93" s="17">
        <f>$I$41*$AX$41</f>
        <v>0</v>
      </c>
      <c r="AY93" s="17">
        <f>$I$41*$AY$41</f>
        <v>0</v>
      </c>
      <c r="AZ93" s="17">
        <f>$I$41*$AZ$41</f>
        <v>0</v>
      </c>
      <c r="BA93" s="17">
        <f>$I$41*$BA$41</f>
        <v>0</v>
      </c>
      <c r="BB93" s="17">
        <f>$I$41*$BB$41</f>
        <v>0</v>
      </c>
      <c r="BC93" s="17">
        <f>$I$41*$BC$41</f>
        <v>0</v>
      </c>
      <c r="BD93" s="17">
        <f>$I$41*$BD$41</f>
        <v>0</v>
      </c>
    </row>
    <row r="94" spans="1:56" ht="11.25" customHeight="1" x14ac:dyDescent="0.25">
      <c r="A94" s="9" t="s">
        <v>40</v>
      </c>
      <c r="B94" s="9" t="s">
        <v>814</v>
      </c>
      <c r="C94" s="9" t="s">
        <v>815</v>
      </c>
      <c r="D94" s="9" t="s">
        <v>816</v>
      </c>
      <c r="E94" s="9" t="s">
        <v>817</v>
      </c>
      <c r="F94" s="9" t="s">
        <v>818</v>
      </c>
      <c r="G94" s="9" t="s">
        <v>819</v>
      </c>
      <c r="L94" s="17">
        <f>$I$42*$L$42</f>
        <v>0</v>
      </c>
      <c r="M94" s="17">
        <f>$I$42*$M$42</f>
        <v>0</v>
      </c>
      <c r="N94" s="17">
        <f ca="1">$I$42*$N$42</f>
        <v>0</v>
      </c>
      <c r="O94" s="17">
        <f>$I$42*$O$42</f>
        <v>0</v>
      </c>
      <c r="P94" s="17">
        <f>$I$42*$P$42</f>
        <v>0</v>
      </c>
      <c r="Q94" s="17">
        <f>$I$42*$Q$42</f>
        <v>0</v>
      </c>
      <c r="R94" s="17">
        <f>$I$42*$R$42</f>
        <v>0</v>
      </c>
      <c r="S94" s="17">
        <f>$I$42*$S$42</f>
        <v>0</v>
      </c>
      <c r="T94" s="17">
        <f>$I$42*$T$42</f>
        <v>0</v>
      </c>
      <c r="U94" s="17">
        <f>$I$42*$U$42</f>
        <v>0</v>
      </c>
      <c r="V94" s="17">
        <f>$I$42*$V$42</f>
        <v>0</v>
      </c>
      <c r="W94" s="17">
        <f>$I$42*$W$42</f>
        <v>0</v>
      </c>
      <c r="X94" s="17">
        <f>$I$42*$X$42</f>
        <v>0</v>
      </c>
      <c r="Y94" s="17">
        <f>$I$42*$Y$42</f>
        <v>0</v>
      </c>
      <c r="Z94" s="17">
        <f>$I$42*$Z$42</f>
        <v>0</v>
      </c>
      <c r="AA94" s="17">
        <f>$I$42*$AA$42</f>
        <v>0</v>
      </c>
      <c r="AB94" s="17">
        <f ca="1">$I$42*$AB$42</f>
        <v>0</v>
      </c>
      <c r="AC94" s="17">
        <f ca="1">$I$42*$AC$42</f>
        <v>0</v>
      </c>
      <c r="AD94" s="17">
        <f>$I$42*$AD$42</f>
        <v>0</v>
      </c>
      <c r="AE94" s="17">
        <f>$I$42*$AE$42</f>
        <v>0</v>
      </c>
      <c r="AF94" s="17">
        <f ca="1">$I$42*$AF$42</f>
        <v>0</v>
      </c>
      <c r="AG94" s="17">
        <f ca="1">$I$42*$AG$42</f>
        <v>0</v>
      </c>
      <c r="AI94" s="17">
        <f>$I$42*$AI$42</f>
        <v>0</v>
      </c>
      <c r="AJ94" s="17">
        <f>$I$42*$AJ$42</f>
        <v>0</v>
      </c>
      <c r="AK94" s="17">
        <f>$I$42*$AK$42</f>
        <v>0</v>
      </c>
      <c r="AL94" s="17">
        <f>$I$42*$AL$42</f>
        <v>0</v>
      </c>
      <c r="AM94" s="17">
        <f>$I$42*$AM$42</f>
        <v>0</v>
      </c>
      <c r="AN94" s="17">
        <f>$I$42*$AN$42</f>
        <v>0</v>
      </c>
      <c r="AO94" s="17">
        <f>$I$42*$AO$42</f>
        <v>0</v>
      </c>
      <c r="AP94" s="17">
        <f>$I$42*$AP$42</f>
        <v>0</v>
      </c>
      <c r="AQ94" s="17">
        <f>$I$42*$AQ$42</f>
        <v>0</v>
      </c>
      <c r="AR94" s="17">
        <f>$I$42*$AR$42</f>
        <v>0</v>
      </c>
      <c r="AS94" s="17">
        <f>$I$42*$AS$42</f>
        <v>0</v>
      </c>
      <c r="AT94" s="17">
        <f>$I$42*$AT$42</f>
        <v>0</v>
      </c>
      <c r="AU94" s="17">
        <f>$I$42*$AU$42</f>
        <v>0</v>
      </c>
      <c r="AV94" s="17">
        <f>$I$42*$AV$42</f>
        <v>0</v>
      </c>
      <c r="AW94" s="17">
        <f>$I$42*$AW$42</f>
        <v>0</v>
      </c>
      <c r="AX94" s="17">
        <f>$I$42*$AX$42</f>
        <v>0</v>
      </c>
      <c r="AY94" s="17">
        <f>$I$42*$AY$42</f>
        <v>0</v>
      </c>
      <c r="AZ94" s="17">
        <f>$I$42*$AZ$42</f>
        <v>0</v>
      </c>
      <c r="BA94" s="17">
        <f>$I$42*$BA$42</f>
        <v>0</v>
      </c>
      <c r="BB94" s="17">
        <f>$I$42*$BB$42</f>
        <v>0</v>
      </c>
      <c r="BC94" s="17">
        <f>$I$42*$BC$42</f>
        <v>0</v>
      </c>
      <c r="BD94" s="17">
        <f>$I$42*$BD$42</f>
        <v>0</v>
      </c>
    </row>
    <row r="95" spans="1:56" ht="11.25" customHeight="1" x14ac:dyDescent="0.25">
      <c r="A95" s="9" t="s">
        <v>40</v>
      </c>
      <c r="B95" s="9" t="s">
        <v>814</v>
      </c>
      <c r="C95" s="9" t="s">
        <v>815</v>
      </c>
      <c r="D95" s="9" t="s">
        <v>820</v>
      </c>
      <c r="E95" s="9" t="s">
        <v>821</v>
      </c>
      <c r="F95" s="9" t="s">
        <v>822</v>
      </c>
      <c r="G95" s="9" t="s">
        <v>823</v>
      </c>
      <c r="L95" s="17">
        <f>$I$43*$L$43</f>
        <v>0</v>
      </c>
      <c r="M95" s="17">
        <f>$I$43*$M$43</f>
        <v>0</v>
      </c>
      <c r="N95" s="17">
        <f ca="1">$I$43*$N$43</f>
        <v>0</v>
      </c>
      <c r="O95" s="17">
        <f>$I$43*$O$43</f>
        <v>0</v>
      </c>
      <c r="P95" s="17">
        <f>$I$43*$P$43</f>
        <v>0</v>
      </c>
      <c r="Q95" s="17">
        <f>$I$43*$Q$43</f>
        <v>0</v>
      </c>
      <c r="R95" s="17">
        <f>$I$43*$R$43</f>
        <v>0</v>
      </c>
      <c r="S95" s="17">
        <f>$I$43*$S$43</f>
        <v>0</v>
      </c>
      <c r="T95" s="17">
        <f>$I$43*$T$43</f>
        <v>0</v>
      </c>
      <c r="U95" s="17">
        <f>$I$43*$U$43</f>
        <v>0</v>
      </c>
      <c r="V95" s="17">
        <f>$I$43*$V$43</f>
        <v>0</v>
      </c>
      <c r="W95" s="17">
        <f>$I$43*$W$43</f>
        <v>0</v>
      </c>
      <c r="X95" s="17">
        <f>$I$43*$X$43</f>
        <v>0</v>
      </c>
      <c r="Y95" s="17">
        <f>$I$43*$Y$43</f>
        <v>0</v>
      </c>
      <c r="Z95" s="17">
        <f>$I$43*$Z$43</f>
        <v>0</v>
      </c>
      <c r="AA95" s="17">
        <f>$I$43*$AA$43</f>
        <v>0</v>
      </c>
      <c r="AB95" s="17">
        <f ca="1">$I$43*$AB$43</f>
        <v>0</v>
      </c>
      <c r="AC95" s="17">
        <f ca="1">$I$43*$AC$43</f>
        <v>0</v>
      </c>
      <c r="AD95" s="17">
        <f>$I$43*$AD$43</f>
        <v>0</v>
      </c>
      <c r="AE95" s="17">
        <f>$I$43*$AE$43</f>
        <v>0</v>
      </c>
      <c r="AF95" s="17">
        <f ca="1">$I$43*$AF$43</f>
        <v>0</v>
      </c>
      <c r="AG95" s="17">
        <f ca="1">$I$43*$AG$43</f>
        <v>0</v>
      </c>
      <c r="AI95" s="17">
        <f>$I$43*$AI$43</f>
        <v>0</v>
      </c>
      <c r="AJ95" s="17">
        <f>$I$43*$AJ$43</f>
        <v>0</v>
      </c>
      <c r="AK95" s="17">
        <f>$I$43*$AK$43</f>
        <v>0</v>
      </c>
      <c r="AL95" s="17">
        <f>$I$43*$AL$43</f>
        <v>0</v>
      </c>
      <c r="AM95" s="17">
        <f>$I$43*$AM$43</f>
        <v>0</v>
      </c>
      <c r="AN95" s="17">
        <f>$I$43*$AN$43</f>
        <v>0</v>
      </c>
      <c r="AO95" s="17">
        <f>$I$43*$AO$43</f>
        <v>0</v>
      </c>
      <c r="AP95" s="17">
        <f>$I$43*$AP$43</f>
        <v>0</v>
      </c>
      <c r="AQ95" s="17">
        <f>$I$43*$AQ$43</f>
        <v>0</v>
      </c>
      <c r="AR95" s="17">
        <f>$I$43*$AR$43</f>
        <v>0</v>
      </c>
      <c r="AS95" s="17">
        <f>$I$43*$AS$43</f>
        <v>0</v>
      </c>
      <c r="AT95" s="17">
        <f>$I$43*$AT$43</f>
        <v>0</v>
      </c>
      <c r="AU95" s="17">
        <f>$I$43*$AU$43</f>
        <v>0</v>
      </c>
      <c r="AV95" s="17">
        <f>$I$43*$AV$43</f>
        <v>0</v>
      </c>
      <c r="AW95" s="17">
        <f>$I$43*$AW$43</f>
        <v>0</v>
      </c>
      <c r="AX95" s="17">
        <f>$I$43*$AX$43</f>
        <v>0</v>
      </c>
      <c r="AY95" s="17">
        <f>$I$43*$AY$43</f>
        <v>0</v>
      </c>
      <c r="AZ95" s="17">
        <f>$I$43*$AZ$43</f>
        <v>0</v>
      </c>
      <c r="BA95" s="17">
        <f>$I$43*$BA$43</f>
        <v>0</v>
      </c>
      <c r="BB95" s="17">
        <f>$I$43*$BB$43</f>
        <v>0</v>
      </c>
      <c r="BC95" s="17">
        <f>$I$43*$BC$43</f>
        <v>0</v>
      </c>
      <c r="BD95" s="17">
        <f>$I$43*$BD$43</f>
        <v>0</v>
      </c>
    </row>
    <row r="96" spans="1:56" ht="11.25" customHeight="1" x14ac:dyDescent="0.25">
      <c r="A96" s="9" t="s">
        <v>40</v>
      </c>
      <c r="B96" s="9" t="s">
        <v>814</v>
      </c>
      <c r="C96" s="9" t="s">
        <v>815</v>
      </c>
      <c r="D96" s="9" t="s">
        <v>824</v>
      </c>
      <c r="E96" s="9" t="s">
        <v>825</v>
      </c>
      <c r="F96" s="9" t="s">
        <v>826</v>
      </c>
      <c r="G96" s="9" t="s">
        <v>827</v>
      </c>
      <c r="L96" s="17">
        <f>$I$44*$L$44</f>
        <v>0</v>
      </c>
      <c r="M96" s="17">
        <f>$I$44*$M$44</f>
        <v>0</v>
      </c>
      <c r="N96" s="17">
        <f ca="1">$I$44*$N$44</f>
        <v>0</v>
      </c>
      <c r="O96" s="17">
        <f>$I$44*$O$44</f>
        <v>0</v>
      </c>
      <c r="P96" s="17">
        <f>$I$44*$P$44</f>
        <v>0</v>
      </c>
      <c r="Q96" s="17">
        <f>$I$44*$Q$44</f>
        <v>0</v>
      </c>
      <c r="R96" s="17">
        <f>$I$44*$R$44</f>
        <v>0</v>
      </c>
      <c r="S96" s="17">
        <f>$I$44*$S$44</f>
        <v>0</v>
      </c>
      <c r="T96" s="17">
        <f>$I$44*$T$44</f>
        <v>0</v>
      </c>
      <c r="U96" s="17">
        <f>$I$44*$U$44</f>
        <v>0</v>
      </c>
      <c r="V96" s="17">
        <f>$I$44*$V$44</f>
        <v>0</v>
      </c>
      <c r="W96" s="17">
        <f>$I$44*$W$44</f>
        <v>0</v>
      </c>
      <c r="X96" s="17">
        <f>$I$44*$X$44</f>
        <v>0</v>
      </c>
      <c r="Y96" s="17">
        <f>$I$44*$Y$44</f>
        <v>0</v>
      </c>
      <c r="Z96" s="17">
        <f>$I$44*$Z$44</f>
        <v>0</v>
      </c>
      <c r="AA96" s="17">
        <f>$I$44*$AA$44</f>
        <v>0</v>
      </c>
      <c r="AB96" s="17">
        <f ca="1">$I$44*$AB$44</f>
        <v>0</v>
      </c>
      <c r="AC96" s="17">
        <f ca="1">$I$44*$AC$44</f>
        <v>0</v>
      </c>
      <c r="AD96" s="17">
        <f>$I$44*$AD$44</f>
        <v>0</v>
      </c>
      <c r="AE96" s="17">
        <f>$I$44*$AE$44</f>
        <v>0</v>
      </c>
      <c r="AF96" s="17">
        <f ca="1">$I$44*$AF$44</f>
        <v>0</v>
      </c>
      <c r="AG96" s="17">
        <f ca="1">$I$44*$AG$44</f>
        <v>0</v>
      </c>
      <c r="AI96" s="17">
        <f>$I$44*$AI$44</f>
        <v>0</v>
      </c>
      <c r="AJ96" s="17">
        <f>$I$44*$AJ$44</f>
        <v>0</v>
      </c>
      <c r="AK96" s="17">
        <f>$I$44*$AK$44</f>
        <v>0</v>
      </c>
      <c r="AL96" s="17">
        <f>$I$44*$AL$44</f>
        <v>0</v>
      </c>
      <c r="AM96" s="17">
        <f>$I$44*$AM$44</f>
        <v>0</v>
      </c>
      <c r="AN96" s="17">
        <f>$I$44*$AN$44</f>
        <v>0</v>
      </c>
      <c r="AO96" s="17">
        <f>$I$44*$AO$44</f>
        <v>0</v>
      </c>
      <c r="AP96" s="17">
        <f>$I$44*$AP$44</f>
        <v>0</v>
      </c>
      <c r="AQ96" s="17">
        <f>$I$44*$AQ$44</f>
        <v>0</v>
      </c>
      <c r="AR96" s="17">
        <f>$I$44*$AR$44</f>
        <v>0</v>
      </c>
      <c r="AS96" s="17">
        <f>$I$44*$AS$44</f>
        <v>0</v>
      </c>
      <c r="AT96" s="17">
        <f>$I$44*$AT$44</f>
        <v>0</v>
      </c>
      <c r="AU96" s="17">
        <f>$I$44*$AU$44</f>
        <v>0</v>
      </c>
      <c r="AV96" s="17">
        <f>$I$44*$AV$44</f>
        <v>0</v>
      </c>
      <c r="AW96" s="17">
        <f>$I$44*$AW$44</f>
        <v>0</v>
      </c>
      <c r="AX96" s="17">
        <f>$I$44*$AX$44</f>
        <v>0</v>
      </c>
      <c r="AY96" s="17">
        <f>$I$44*$AY$44</f>
        <v>0</v>
      </c>
      <c r="AZ96" s="17">
        <f>$I$44*$AZ$44</f>
        <v>0</v>
      </c>
      <c r="BA96" s="17">
        <f>$I$44*$BA$44</f>
        <v>0</v>
      </c>
      <c r="BB96" s="17">
        <f>$I$44*$BB$44</f>
        <v>0</v>
      </c>
      <c r="BC96" s="17">
        <f>$I$44*$BC$44</f>
        <v>0</v>
      </c>
      <c r="BD96" s="17">
        <f>$I$44*$BD$44</f>
        <v>0</v>
      </c>
    </row>
    <row r="97" spans="1:56" ht="11.25" customHeight="1" x14ac:dyDescent="0.25">
      <c r="A97" s="9" t="s">
        <v>33</v>
      </c>
      <c r="B97" s="9" t="s">
        <v>828</v>
      </c>
      <c r="C97" s="9" t="s">
        <v>829</v>
      </c>
      <c r="D97" s="9" t="s">
        <v>830</v>
      </c>
      <c r="E97" s="9" t="s">
        <v>831</v>
      </c>
      <c r="F97" s="9" t="s">
        <v>832</v>
      </c>
      <c r="G97" s="9" t="s">
        <v>833</v>
      </c>
      <c r="L97" s="17">
        <f>$I$45*$L$45</f>
        <v>0</v>
      </c>
      <c r="M97" s="17">
        <f>$I$45*$M$45</f>
        <v>0</v>
      </c>
      <c r="N97" s="17">
        <f ca="1">$I$45*$N$45</f>
        <v>0</v>
      </c>
      <c r="O97" s="17">
        <f>$I$45*$O$45</f>
        <v>0</v>
      </c>
      <c r="P97" s="17">
        <f>$I$45*$P$45</f>
        <v>0</v>
      </c>
      <c r="Q97" s="17">
        <f>$I$45*$Q$45</f>
        <v>0</v>
      </c>
      <c r="R97" s="17">
        <f>$I$45*$R$45</f>
        <v>0</v>
      </c>
      <c r="S97" s="17">
        <f>$I$45*$S$45</f>
        <v>0</v>
      </c>
      <c r="T97" s="17">
        <f>$I$45*$T$45</f>
        <v>0</v>
      </c>
      <c r="U97" s="17">
        <f>$I$45*$U$45</f>
        <v>0</v>
      </c>
      <c r="V97" s="17">
        <f>$I$45*$V$45</f>
        <v>0</v>
      </c>
      <c r="W97" s="17">
        <f>$I$45*$W$45</f>
        <v>0</v>
      </c>
      <c r="X97" s="17">
        <f>$I$45*$X$45</f>
        <v>0</v>
      </c>
      <c r="Y97" s="17">
        <f>$I$45*$Y$45</f>
        <v>0</v>
      </c>
      <c r="Z97" s="17">
        <f>$I$45*$Z$45</f>
        <v>0</v>
      </c>
      <c r="AA97" s="17">
        <f>$I$45*$AA$45</f>
        <v>0</v>
      </c>
      <c r="AB97" s="17">
        <f ca="1">$I$45*$AB$45</f>
        <v>0</v>
      </c>
      <c r="AC97" s="17">
        <f ca="1">$I$45*$AC$45</f>
        <v>0</v>
      </c>
      <c r="AD97" s="17">
        <f>$I$45*$AD$45</f>
        <v>0</v>
      </c>
      <c r="AE97" s="17">
        <f>$I$45*$AE$45</f>
        <v>0</v>
      </c>
      <c r="AF97" s="17">
        <f ca="1">$I$45*$AF$45</f>
        <v>0</v>
      </c>
      <c r="AG97" s="17">
        <f ca="1">$I$45*$AG$45</f>
        <v>0</v>
      </c>
      <c r="AI97" s="17">
        <f>$I$45*$AI$45</f>
        <v>0</v>
      </c>
      <c r="AJ97" s="17">
        <f>$I$45*$AJ$45</f>
        <v>0</v>
      </c>
      <c r="AK97" s="17">
        <f>$I$45*$AK$45</f>
        <v>0</v>
      </c>
      <c r="AL97" s="17">
        <f>$I$45*$AL$45</f>
        <v>0</v>
      </c>
      <c r="AM97" s="17">
        <f>$I$45*$AM$45</f>
        <v>0</v>
      </c>
      <c r="AN97" s="17">
        <f>$I$45*$AN$45</f>
        <v>0</v>
      </c>
      <c r="AO97" s="17">
        <f>$I$45*$AO$45</f>
        <v>0</v>
      </c>
      <c r="AP97" s="17">
        <f>$I$45*$AP$45</f>
        <v>0</v>
      </c>
      <c r="AQ97" s="17">
        <f>$I$45*$AQ$45</f>
        <v>0</v>
      </c>
      <c r="AR97" s="17">
        <f>$I$45*$AR$45</f>
        <v>0</v>
      </c>
      <c r="AS97" s="17">
        <f>$I$45*$AS$45</f>
        <v>0</v>
      </c>
      <c r="AT97" s="17">
        <f>$I$45*$AT$45</f>
        <v>0</v>
      </c>
      <c r="AU97" s="17">
        <f>$I$45*$AU$45</f>
        <v>0</v>
      </c>
      <c r="AV97" s="17">
        <f>$I$45*$AV$45</f>
        <v>0</v>
      </c>
      <c r="AW97" s="17">
        <f>$I$45*$AW$45</f>
        <v>0</v>
      </c>
      <c r="AX97" s="17">
        <f>$I$45*$AX$45</f>
        <v>0</v>
      </c>
      <c r="AY97" s="17">
        <f>$I$45*$AY$45</f>
        <v>0</v>
      </c>
      <c r="AZ97" s="17">
        <f>$I$45*$AZ$45</f>
        <v>0</v>
      </c>
      <c r="BA97" s="17">
        <f>$I$45*$BA$45</f>
        <v>0</v>
      </c>
      <c r="BB97" s="17">
        <f>$I$45*$BB$45</f>
        <v>0</v>
      </c>
      <c r="BC97" s="17">
        <f>$I$45*$BC$45</f>
        <v>0</v>
      </c>
      <c r="BD97" s="17">
        <f>$I$45*$BD$45</f>
        <v>0</v>
      </c>
    </row>
    <row r="98" spans="1:56" ht="11.25" customHeight="1" x14ac:dyDescent="0.25">
      <c r="A98" s="9" t="s">
        <v>33</v>
      </c>
      <c r="B98" s="9" t="s">
        <v>828</v>
      </c>
      <c r="C98" s="9" t="s">
        <v>829</v>
      </c>
      <c r="D98" s="9" t="s">
        <v>830</v>
      </c>
      <c r="E98" s="9" t="s">
        <v>831</v>
      </c>
      <c r="F98" s="9" t="s">
        <v>832</v>
      </c>
      <c r="G98" s="9" t="s">
        <v>834</v>
      </c>
      <c r="L98" s="17">
        <f>$I$46*$L$46</f>
        <v>0</v>
      </c>
      <c r="M98" s="17">
        <f>$I$46*$M$46</f>
        <v>0</v>
      </c>
      <c r="N98" s="17">
        <f ca="1">$I$46*$N$46</f>
        <v>0</v>
      </c>
      <c r="O98" s="17">
        <f>$I$46*$O$46</f>
        <v>0</v>
      </c>
      <c r="P98" s="17">
        <f>$I$46*$P$46</f>
        <v>0</v>
      </c>
      <c r="Q98" s="17">
        <f>$I$46*$Q$46</f>
        <v>0</v>
      </c>
      <c r="R98" s="17">
        <f>$I$46*$R$46</f>
        <v>0</v>
      </c>
      <c r="S98" s="17">
        <f>$I$46*$S$46</f>
        <v>0</v>
      </c>
      <c r="T98" s="17">
        <f>$I$46*$T$46</f>
        <v>0</v>
      </c>
      <c r="U98" s="17">
        <f>$I$46*$U$46</f>
        <v>0</v>
      </c>
      <c r="V98" s="17">
        <f>$I$46*$V$46</f>
        <v>0</v>
      </c>
      <c r="W98" s="17">
        <f>$I$46*$W$46</f>
        <v>0</v>
      </c>
      <c r="X98" s="17">
        <f>$I$46*$X$46</f>
        <v>0</v>
      </c>
      <c r="Y98" s="17">
        <f>$I$46*$Y$46</f>
        <v>0</v>
      </c>
      <c r="Z98" s="17">
        <f>$I$46*$Z$46</f>
        <v>0</v>
      </c>
      <c r="AA98" s="17">
        <f>$I$46*$AA$46</f>
        <v>0</v>
      </c>
      <c r="AB98" s="17">
        <f ca="1">$I$46*$AB$46</f>
        <v>0</v>
      </c>
      <c r="AC98" s="17">
        <f ca="1">$I$46*$AC$46</f>
        <v>0</v>
      </c>
      <c r="AD98" s="17">
        <f>$I$46*$AD$46</f>
        <v>0</v>
      </c>
      <c r="AE98" s="17">
        <f>$I$46*$AE$46</f>
        <v>0</v>
      </c>
      <c r="AF98" s="17">
        <f ca="1">$I$46*$AF$46</f>
        <v>0</v>
      </c>
      <c r="AG98" s="17">
        <f ca="1">$I$46*$AG$46</f>
        <v>0</v>
      </c>
      <c r="AI98" s="17">
        <f>$I$46*$AI$46</f>
        <v>0</v>
      </c>
      <c r="AJ98" s="17">
        <f>$I$46*$AJ$46</f>
        <v>0</v>
      </c>
      <c r="AK98" s="17">
        <f>$I$46*$AK$46</f>
        <v>0</v>
      </c>
      <c r="AL98" s="17">
        <f>$I$46*$AL$46</f>
        <v>0</v>
      </c>
      <c r="AM98" s="17">
        <f>$I$46*$AM$46</f>
        <v>0</v>
      </c>
      <c r="AN98" s="17">
        <f>$I$46*$AN$46</f>
        <v>0</v>
      </c>
      <c r="AO98" s="17">
        <f>$I$46*$AO$46</f>
        <v>0</v>
      </c>
      <c r="AP98" s="17">
        <f>$I$46*$AP$46</f>
        <v>0</v>
      </c>
      <c r="AQ98" s="17">
        <f>$I$46*$AQ$46</f>
        <v>0</v>
      </c>
      <c r="AR98" s="17">
        <f>$I$46*$AR$46</f>
        <v>0</v>
      </c>
      <c r="AS98" s="17">
        <f>$I$46*$AS$46</f>
        <v>0</v>
      </c>
      <c r="AT98" s="17">
        <f>$I$46*$AT$46</f>
        <v>0</v>
      </c>
      <c r="AU98" s="17">
        <f>$I$46*$AU$46</f>
        <v>0</v>
      </c>
      <c r="AV98" s="17">
        <f>$I$46*$AV$46</f>
        <v>0</v>
      </c>
      <c r="AW98" s="17">
        <f>$I$46*$AW$46</f>
        <v>0</v>
      </c>
      <c r="AX98" s="17">
        <f>$I$46*$AX$46</f>
        <v>0</v>
      </c>
      <c r="AY98" s="17">
        <f>$I$46*$AY$46</f>
        <v>0</v>
      </c>
      <c r="AZ98" s="17">
        <f>$I$46*$AZ$46</f>
        <v>0</v>
      </c>
      <c r="BA98" s="17">
        <f>$I$46*$BA$46</f>
        <v>0</v>
      </c>
      <c r="BB98" s="17">
        <f>$I$46*$BB$46</f>
        <v>0</v>
      </c>
      <c r="BC98" s="17">
        <f>$I$46*$BC$46</f>
        <v>0</v>
      </c>
      <c r="BD98" s="17">
        <f>$I$46*$BD$46</f>
        <v>0</v>
      </c>
    </row>
    <row r="99" spans="1:56" ht="11.25" customHeight="1" x14ac:dyDescent="0.25">
      <c r="A99" s="9" t="s">
        <v>33</v>
      </c>
      <c r="B99" s="9" t="s">
        <v>828</v>
      </c>
      <c r="C99" s="9" t="s">
        <v>829</v>
      </c>
      <c r="D99" s="9" t="s">
        <v>830</v>
      </c>
      <c r="E99" s="9" t="s">
        <v>831</v>
      </c>
      <c r="F99" s="9" t="s">
        <v>832</v>
      </c>
      <c r="G99" s="9" t="s">
        <v>835</v>
      </c>
      <c r="L99" s="17">
        <f>$I$47*$L$47</f>
        <v>0</v>
      </c>
      <c r="M99" s="17">
        <f>$I$47*$M$47</f>
        <v>0</v>
      </c>
      <c r="N99" s="17">
        <f ca="1">$I$47*$N$47</f>
        <v>0</v>
      </c>
      <c r="O99" s="17">
        <f>$I$47*$O$47</f>
        <v>0</v>
      </c>
      <c r="P99" s="17">
        <f>$I$47*$P$47</f>
        <v>0</v>
      </c>
      <c r="Q99" s="17">
        <f>$I$47*$Q$47</f>
        <v>0</v>
      </c>
      <c r="R99" s="17">
        <f>$I$47*$R$47</f>
        <v>0</v>
      </c>
      <c r="S99" s="17">
        <f>$I$47*$S$47</f>
        <v>0</v>
      </c>
      <c r="T99" s="17">
        <f>$I$47*$T$47</f>
        <v>0</v>
      </c>
      <c r="U99" s="17">
        <f>$I$47*$U$47</f>
        <v>0</v>
      </c>
      <c r="V99" s="17">
        <f>$I$47*$V$47</f>
        <v>0</v>
      </c>
      <c r="W99" s="17">
        <f>$I$47*$W$47</f>
        <v>0</v>
      </c>
      <c r="X99" s="17">
        <f>$I$47*$X$47</f>
        <v>0</v>
      </c>
      <c r="Y99" s="17">
        <f>$I$47*$Y$47</f>
        <v>0</v>
      </c>
      <c r="Z99" s="17">
        <f>$I$47*$Z$47</f>
        <v>0</v>
      </c>
      <c r="AA99" s="17">
        <f>$I$47*$AA$47</f>
        <v>0</v>
      </c>
      <c r="AB99" s="17">
        <f ca="1">$I$47*$AB$47</f>
        <v>0</v>
      </c>
      <c r="AC99" s="17">
        <f ca="1">$I$47*$AC$47</f>
        <v>0</v>
      </c>
      <c r="AD99" s="17">
        <f>$I$47*$AD$47</f>
        <v>0</v>
      </c>
      <c r="AE99" s="17">
        <f>$I$47*$AE$47</f>
        <v>0</v>
      </c>
      <c r="AF99" s="17">
        <f ca="1">$I$47*$AF$47</f>
        <v>0</v>
      </c>
      <c r="AG99" s="17">
        <f ca="1">$I$47*$AG$47</f>
        <v>0</v>
      </c>
      <c r="AI99" s="17">
        <f>$I$47*$AI$47</f>
        <v>0</v>
      </c>
      <c r="AJ99" s="17">
        <f>$I$47*$AJ$47</f>
        <v>0</v>
      </c>
      <c r="AK99" s="17">
        <f>$I$47*$AK$47</f>
        <v>0</v>
      </c>
      <c r="AL99" s="17">
        <f>$I$47*$AL$47</f>
        <v>0</v>
      </c>
      <c r="AM99" s="17">
        <f>$I$47*$AM$47</f>
        <v>0</v>
      </c>
      <c r="AN99" s="17">
        <f>$I$47*$AN$47</f>
        <v>0</v>
      </c>
      <c r="AO99" s="17">
        <f>$I$47*$AO$47</f>
        <v>0</v>
      </c>
      <c r="AP99" s="17">
        <f>$I$47*$AP$47</f>
        <v>0</v>
      </c>
      <c r="AQ99" s="17">
        <f>$I$47*$AQ$47</f>
        <v>0</v>
      </c>
      <c r="AR99" s="17">
        <f>$I$47*$AR$47</f>
        <v>0</v>
      </c>
      <c r="AS99" s="17">
        <f>$I$47*$AS$47</f>
        <v>0</v>
      </c>
      <c r="AT99" s="17">
        <f>$I$47*$AT$47</f>
        <v>0</v>
      </c>
      <c r="AU99" s="17">
        <f>$I$47*$AU$47</f>
        <v>0</v>
      </c>
      <c r="AV99" s="17">
        <f>$I$47*$AV$47</f>
        <v>0</v>
      </c>
      <c r="AW99" s="17">
        <f>$I$47*$AW$47</f>
        <v>0</v>
      </c>
      <c r="AX99" s="17">
        <f>$I$47*$AX$47</f>
        <v>0</v>
      </c>
      <c r="AY99" s="17">
        <f>$I$47*$AY$47</f>
        <v>0</v>
      </c>
      <c r="AZ99" s="17">
        <f>$I$47*$AZ$47</f>
        <v>0</v>
      </c>
      <c r="BA99" s="17">
        <f>$I$47*$BA$47</f>
        <v>0</v>
      </c>
      <c r="BB99" s="17">
        <f>$I$47*$BB$47</f>
        <v>0</v>
      </c>
      <c r="BC99" s="17">
        <f>$I$47*$BC$47</f>
        <v>0</v>
      </c>
      <c r="BD99" s="17">
        <f>$I$47*$BD$47</f>
        <v>0</v>
      </c>
    </row>
    <row r="100" spans="1:56" ht="11.25" customHeight="1" x14ac:dyDescent="0.25">
      <c r="A100" s="9" t="s">
        <v>33</v>
      </c>
      <c r="B100" s="9" t="s">
        <v>836</v>
      </c>
      <c r="C100" s="9" t="s">
        <v>837</v>
      </c>
      <c r="D100" s="9" t="s">
        <v>838</v>
      </c>
      <c r="E100" s="9" t="s">
        <v>839</v>
      </c>
      <c r="F100" s="9" t="s">
        <v>840</v>
      </c>
      <c r="G100" s="9" t="s">
        <v>841</v>
      </c>
      <c r="L100" s="17">
        <f>$I$48*$L$48</f>
        <v>0</v>
      </c>
      <c r="M100" s="17">
        <f>$I$48*$M$48</f>
        <v>9913.7034826903819</v>
      </c>
      <c r="N100" s="17">
        <f ca="1">$I$48*$N$48</f>
        <v>0</v>
      </c>
      <c r="O100" s="17">
        <f>$I$48*$O$48</f>
        <v>0</v>
      </c>
      <c r="P100" s="17">
        <f>$I$48*$P$48</f>
        <v>0</v>
      </c>
      <c r="Q100" s="17">
        <f>$I$48*$Q$48</f>
        <v>608477.15327253041</v>
      </c>
      <c r="R100" s="17">
        <f>$I$48*$R$48</f>
        <v>95996.286484649463</v>
      </c>
      <c r="S100" s="17">
        <f>$I$48*$S$48</f>
        <v>0</v>
      </c>
      <c r="T100" s="17">
        <f>$I$48*$T$48</f>
        <v>0</v>
      </c>
      <c r="U100" s="17">
        <f>$I$48*$U$48</f>
        <v>0</v>
      </c>
      <c r="V100" s="17">
        <f>$I$48*$V$48</f>
        <v>0</v>
      </c>
      <c r="W100" s="17">
        <f>$I$48*$W$48</f>
        <v>0</v>
      </c>
      <c r="X100" s="17">
        <f>$I$48*$X$48</f>
        <v>676528.06886226172</v>
      </c>
      <c r="Y100" s="17">
        <f>$I$48*$Y$48</f>
        <v>0</v>
      </c>
      <c r="Z100" s="17">
        <f>$I$48*$Z$48</f>
        <v>0</v>
      </c>
      <c r="AA100" s="17">
        <f>$I$48*$AA$48</f>
        <v>1235140.2707554167</v>
      </c>
      <c r="AB100" s="17">
        <f ca="1">$I$48*$AB$48</f>
        <v>0</v>
      </c>
      <c r="AC100" s="17">
        <f ca="1">$I$48*$AC$48</f>
        <v>0</v>
      </c>
      <c r="AD100" s="17">
        <f>$I$48*$AD$48</f>
        <v>126229.31708966826</v>
      </c>
      <c r="AE100" s="17">
        <f>$I$48*$AE$48</f>
        <v>0</v>
      </c>
      <c r="AF100" s="17">
        <f ca="1">$I$48*$AF$48</f>
        <v>0</v>
      </c>
      <c r="AG100" s="17">
        <f ca="1">$I$48*$AG$48</f>
        <v>0</v>
      </c>
      <c r="AI100" s="17">
        <f>$I$48*$AI$48</f>
        <v>0</v>
      </c>
      <c r="AJ100" s="17">
        <f>$I$48*$AJ$48</f>
        <v>8812.5141725645408</v>
      </c>
      <c r="AK100" s="17">
        <f>$I$48*$AK$48</f>
        <v>0</v>
      </c>
      <c r="AL100" s="17">
        <f>$I$48*$AL$48</f>
        <v>0</v>
      </c>
      <c r="AM100" s="17">
        <f>$I$48*$AM$48</f>
        <v>0</v>
      </c>
      <c r="AN100" s="17">
        <f>$I$48*$AN$48</f>
        <v>379121.35837771418</v>
      </c>
      <c r="AO100" s="17">
        <f>$I$48*$AO$48</f>
        <v>59016.466280391156</v>
      </c>
      <c r="AP100" s="17">
        <f>$I$48*$AP$48</f>
        <v>0</v>
      </c>
      <c r="AQ100" s="17">
        <f>$I$48*$AQ$48</f>
        <v>0</v>
      </c>
      <c r="AR100" s="17">
        <f>$I$48*$AR$48</f>
        <v>0</v>
      </c>
      <c r="AS100" s="17">
        <f>$I$48*$AS$48</f>
        <v>0</v>
      </c>
      <c r="AT100" s="17">
        <f>$I$48*$AT$48</f>
        <v>0</v>
      </c>
      <c r="AU100" s="17">
        <f>$I$48*$AU$48</f>
        <v>708748.89862888458</v>
      </c>
      <c r="AV100" s="17">
        <f>$I$48*$AV$48</f>
        <v>0</v>
      </c>
      <c r="AW100" s="17">
        <f>$I$48*$AW$48</f>
        <v>0</v>
      </c>
      <c r="AX100" s="17">
        <f>$I$48*$AX$48</f>
        <v>1222055.9893593541</v>
      </c>
      <c r="AY100" s="17">
        <f>$I$48*$AY$48</f>
        <v>0</v>
      </c>
      <c r="AZ100" s="17">
        <f>$I$48*$AZ$48</f>
        <v>0</v>
      </c>
      <c r="BA100" s="17">
        <f>$I$48*$BA$48</f>
        <v>118552.80595531188</v>
      </c>
      <c r="BB100" s="17">
        <f>$I$48*$BB$48</f>
        <v>0</v>
      </c>
      <c r="BC100" s="17">
        <f>$I$48*$BC$48</f>
        <v>0</v>
      </c>
      <c r="BD100" s="17">
        <f>$I$48*$BD$48</f>
        <v>0</v>
      </c>
    </row>
    <row r="101" spans="1:56" ht="11.25" customHeight="1" x14ac:dyDescent="0.25">
      <c r="A101" s="9" t="s">
        <v>33</v>
      </c>
      <c r="B101" s="9" t="s">
        <v>842</v>
      </c>
      <c r="C101" s="9" t="s">
        <v>843</v>
      </c>
      <c r="D101" s="9" t="s">
        <v>844</v>
      </c>
      <c r="E101" s="9" t="s">
        <v>845</v>
      </c>
      <c r="F101" s="9" t="s">
        <v>846</v>
      </c>
      <c r="G101" s="9" t="s">
        <v>847</v>
      </c>
      <c r="L101" s="17">
        <f>$I$49*$L$49</f>
        <v>0</v>
      </c>
      <c r="M101" s="17">
        <f>$I$49*$M$49</f>
        <v>0</v>
      </c>
      <c r="N101" s="17">
        <f ca="1">$I$49*$N$49</f>
        <v>0</v>
      </c>
      <c r="O101" s="17">
        <f>$I$49*$O$49</f>
        <v>0</v>
      </c>
      <c r="P101" s="17">
        <f>$I$49*$P$49</f>
        <v>0</v>
      </c>
      <c r="Q101" s="17">
        <f>$I$49*$Q$49</f>
        <v>0</v>
      </c>
      <c r="R101" s="17">
        <f>$I$49*$R$49</f>
        <v>0</v>
      </c>
      <c r="S101" s="17">
        <f>$I$49*$S$49</f>
        <v>0</v>
      </c>
      <c r="T101" s="17">
        <f>$I$49*$T$49</f>
        <v>0</v>
      </c>
      <c r="U101" s="17">
        <f>$I$49*$U$49</f>
        <v>0</v>
      </c>
      <c r="V101" s="17">
        <f>$I$49*$V$49</f>
        <v>0</v>
      </c>
      <c r="W101" s="17">
        <f>$I$49*$W$49</f>
        <v>0</v>
      </c>
      <c r="X101" s="17">
        <f>$I$49*$X$49</f>
        <v>0</v>
      </c>
      <c r="Y101" s="17">
        <f>$I$49*$Y$49</f>
        <v>0</v>
      </c>
      <c r="Z101" s="17">
        <f>$I$49*$Z$49</f>
        <v>0</v>
      </c>
      <c r="AA101" s="17">
        <f>$I$49*$AA$49</f>
        <v>0</v>
      </c>
      <c r="AB101" s="17">
        <f ca="1">$I$49*$AB$49</f>
        <v>0</v>
      </c>
      <c r="AC101" s="17">
        <f ca="1">$I$49*$AC$49</f>
        <v>0</v>
      </c>
      <c r="AD101" s="17">
        <f>$I$49*$AD$49</f>
        <v>0</v>
      </c>
      <c r="AE101" s="17">
        <f>$I$49*$AE$49</f>
        <v>0</v>
      </c>
      <c r="AF101" s="17">
        <f ca="1">$I$49*$AF$49</f>
        <v>0</v>
      </c>
      <c r="AG101" s="17">
        <f ca="1">$I$49*$AG$49</f>
        <v>0</v>
      </c>
      <c r="AI101" s="17">
        <f>$I$49*$AI$49</f>
        <v>0</v>
      </c>
      <c r="AJ101" s="17">
        <f>$I$49*$AJ$49</f>
        <v>0</v>
      </c>
      <c r="AK101" s="17">
        <f>$I$49*$AK$49</f>
        <v>0</v>
      </c>
      <c r="AL101" s="17">
        <f>$I$49*$AL$49</f>
        <v>0</v>
      </c>
      <c r="AM101" s="17">
        <f>$I$49*$AM$49</f>
        <v>0</v>
      </c>
      <c r="AN101" s="17">
        <f>$I$49*$AN$49</f>
        <v>0</v>
      </c>
      <c r="AO101" s="17">
        <f>$I$49*$AO$49</f>
        <v>0</v>
      </c>
      <c r="AP101" s="17">
        <f>$I$49*$AP$49</f>
        <v>0</v>
      </c>
      <c r="AQ101" s="17">
        <f>$I$49*$AQ$49</f>
        <v>0</v>
      </c>
      <c r="AR101" s="17">
        <f>$I$49*$AR$49</f>
        <v>0</v>
      </c>
      <c r="AS101" s="17">
        <f>$I$49*$AS$49</f>
        <v>0</v>
      </c>
      <c r="AT101" s="17">
        <f>$I$49*$AT$49</f>
        <v>0</v>
      </c>
      <c r="AU101" s="17">
        <f>$I$49*$AU$49</f>
        <v>0</v>
      </c>
      <c r="AV101" s="17">
        <f>$I$49*$AV$49</f>
        <v>0</v>
      </c>
      <c r="AW101" s="17">
        <f>$I$49*$AW$49</f>
        <v>0</v>
      </c>
      <c r="AX101" s="17">
        <f>$I$49*$AX$49</f>
        <v>0</v>
      </c>
      <c r="AY101" s="17">
        <f>$I$49*$AY$49</f>
        <v>0</v>
      </c>
      <c r="AZ101" s="17">
        <f>$I$49*$AZ$49</f>
        <v>0</v>
      </c>
      <c r="BA101" s="17">
        <f>$I$49*$BA$49</f>
        <v>0</v>
      </c>
      <c r="BB101" s="17">
        <f>$I$49*$BB$49</f>
        <v>0</v>
      </c>
      <c r="BC101" s="17">
        <f>$I$49*$BC$49</f>
        <v>0</v>
      </c>
      <c r="BD101" s="17">
        <f>$I$49*$BD$49</f>
        <v>0</v>
      </c>
    </row>
    <row r="102" spans="1:56" ht="11.25" customHeight="1" x14ac:dyDescent="0.25">
      <c r="A102" s="9" t="s">
        <v>43</v>
      </c>
      <c r="B102" s="9" t="s">
        <v>848</v>
      </c>
      <c r="C102" s="9" t="s">
        <v>849</v>
      </c>
      <c r="D102" s="9" t="s">
        <v>850</v>
      </c>
      <c r="E102" s="9" t="s">
        <v>851</v>
      </c>
      <c r="F102" s="9" t="s">
        <v>852</v>
      </c>
      <c r="G102" s="9" t="s">
        <v>853</v>
      </c>
      <c r="L102" s="17">
        <f>$I$50*$L$50</f>
        <v>0</v>
      </c>
      <c r="M102" s="17">
        <f>$I$50*$M$50</f>
        <v>766.29338250953185</v>
      </c>
      <c r="N102" s="17">
        <f ca="1">$I$50*$N$50</f>
        <v>0</v>
      </c>
      <c r="O102" s="17">
        <f>$I$50*$O$50</f>
        <v>0</v>
      </c>
      <c r="P102" s="17">
        <f>$I$50*$P$50</f>
        <v>0</v>
      </c>
      <c r="Q102" s="17">
        <f>$I$50*$Q$50</f>
        <v>47033.080702393694</v>
      </c>
      <c r="R102" s="17">
        <f>$I$50*$R$50</f>
        <v>7420.1653506296934</v>
      </c>
      <c r="S102" s="17">
        <f>$I$50*$S$50</f>
        <v>0</v>
      </c>
      <c r="T102" s="17">
        <f>$I$50*$T$50</f>
        <v>0</v>
      </c>
      <c r="U102" s="17">
        <f>$I$50*$U$50</f>
        <v>0</v>
      </c>
      <c r="V102" s="17">
        <f>$I$50*$V$50</f>
        <v>0</v>
      </c>
      <c r="W102" s="17">
        <f>$I$50*$W$50</f>
        <v>0</v>
      </c>
      <c r="X102" s="17">
        <f>$I$50*$X$50</f>
        <v>52293.170070728745</v>
      </c>
      <c r="Y102" s="17">
        <f>$I$50*$Y$50</f>
        <v>0</v>
      </c>
      <c r="Z102" s="17">
        <f>$I$50*$Z$50</f>
        <v>0</v>
      </c>
      <c r="AA102" s="17">
        <f>$I$50*$AA$50</f>
        <v>95471.870588371821</v>
      </c>
      <c r="AB102" s="17">
        <f ca="1">$I$50*$AB$50</f>
        <v>0</v>
      </c>
      <c r="AC102" s="17">
        <f ca="1">$I$50*$AC$50</f>
        <v>0</v>
      </c>
      <c r="AD102" s="17">
        <f>$I$50*$AD$50</f>
        <v>9757.0691450880367</v>
      </c>
      <c r="AE102" s="17">
        <f>$I$50*$AE$50</f>
        <v>0</v>
      </c>
      <c r="AF102" s="17">
        <f ca="1">$I$50*$AF$50</f>
        <v>0</v>
      </c>
      <c r="AG102" s="17">
        <f ca="1">$I$50*$AG$50</f>
        <v>0</v>
      </c>
      <c r="AI102" s="17">
        <f>$I$50*$AI$50</f>
        <v>0</v>
      </c>
      <c r="AJ102" s="17">
        <f>$I$50*$AJ$50</f>
        <v>681.17543615244722</v>
      </c>
      <c r="AK102" s="17">
        <f>$I$50*$AK$50</f>
        <v>0</v>
      </c>
      <c r="AL102" s="17">
        <f>$I$50*$AL$50</f>
        <v>0</v>
      </c>
      <c r="AM102" s="17">
        <f>$I$50*$AM$50</f>
        <v>0</v>
      </c>
      <c r="AN102" s="17">
        <f>$I$50*$AN$50</f>
        <v>29304.708235435963</v>
      </c>
      <c r="AO102" s="17">
        <f>$I$50*$AO$50</f>
        <v>4561.759149718664</v>
      </c>
      <c r="AP102" s="17">
        <f>$I$50*$AP$50</f>
        <v>0</v>
      </c>
      <c r="AQ102" s="17">
        <f>$I$50*$AQ$50</f>
        <v>0</v>
      </c>
      <c r="AR102" s="17">
        <f>$I$50*$AR$50</f>
        <v>0</v>
      </c>
      <c r="AS102" s="17">
        <f>$I$50*$AS$50</f>
        <v>0</v>
      </c>
      <c r="AT102" s="17">
        <f>$I$50*$AT$50</f>
        <v>0</v>
      </c>
      <c r="AU102" s="17">
        <f>$I$50*$AU$50</f>
        <v>54783.723542722306</v>
      </c>
      <c r="AV102" s="17">
        <f>$I$50*$AV$50</f>
        <v>0</v>
      </c>
      <c r="AW102" s="17">
        <f>$I$50*$AW$50</f>
        <v>0</v>
      </c>
      <c r="AX102" s="17">
        <f>$I$50*$AX$50</f>
        <v>94460.503013559399</v>
      </c>
      <c r="AY102" s="17">
        <f>$I$50*$AY$50</f>
        <v>0</v>
      </c>
      <c r="AZ102" s="17">
        <f>$I$50*$AZ$50</f>
        <v>0</v>
      </c>
      <c r="BA102" s="17">
        <f>$I$50*$BA$50</f>
        <v>9163.7026304157826</v>
      </c>
      <c r="BB102" s="17">
        <f>$I$50*$BB$50</f>
        <v>0</v>
      </c>
      <c r="BC102" s="17">
        <f>$I$50*$BC$50</f>
        <v>0</v>
      </c>
      <c r="BD102" s="17">
        <f>$I$50*$BD$50</f>
        <v>0</v>
      </c>
    </row>
    <row r="103" spans="1:56" ht="11.25" customHeight="1" x14ac:dyDescent="0.25">
      <c r="A103" s="9" t="s">
        <v>43</v>
      </c>
      <c r="B103" s="9" t="s">
        <v>848</v>
      </c>
      <c r="C103" s="9" t="s">
        <v>849</v>
      </c>
      <c r="D103" s="9" t="s">
        <v>854</v>
      </c>
      <c r="E103" s="9" t="s">
        <v>855</v>
      </c>
      <c r="F103" s="9" t="s">
        <v>856</v>
      </c>
      <c r="G103" s="9" t="s">
        <v>857</v>
      </c>
      <c r="L103" s="17">
        <f>$I$51*$L$51</f>
        <v>0</v>
      </c>
      <c r="M103" s="17">
        <f>$I$51*$M$51</f>
        <v>0</v>
      </c>
      <c r="N103" s="17">
        <f ca="1">$I$51*$N$51</f>
        <v>0</v>
      </c>
      <c r="O103" s="17">
        <f>$I$51*$O$51</f>
        <v>0</v>
      </c>
      <c r="P103" s="17">
        <f>$I$51*$P$51</f>
        <v>0</v>
      </c>
      <c r="Q103" s="17">
        <f>$I$51*$Q$51</f>
        <v>0</v>
      </c>
      <c r="R103" s="17">
        <f>$I$51*$R$51</f>
        <v>0</v>
      </c>
      <c r="S103" s="17">
        <f>$I$51*$S$51</f>
        <v>0</v>
      </c>
      <c r="T103" s="17">
        <f>$I$51*$T$51</f>
        <v>0</v>
      </c>
      <c r="U103" s="17">
        <f>$I$51*$U$51</f>
        <v>0</v>
      </c>
      <c r="V103" s="17">
        <f>$I$51*$V$51</f>
        <v>0</v>
      </c>
      <c r="W103" s="17">
        <f>$I$51*$W$51</f>
        <v>0</v>
      </c>
      <c r="X103" s="17">
        <f>$I$51*$X$51</f>
        <v>0</v>
      </c>
      <c r="Y103" s="17">
        <f>$I$51*$Y$51</f>
        <v>0</v>
      </c>
      <c r="Z103" s="17">
        <f>$I$51*$Z$51</f>
        <v>0</v>
      </c>
      <c r="AA103" s="17">
        <f>$I$51*$AA$51</f>
        <v>0</v>
      </c>
      <c r="AB103" s="17">
        <f ca="1">$I$51*$AB$51</f>
        <v>0</v>
      </c>
      <c r="AC103" s="17">
        <f ca="1">$I$51*$AC$51</f>
        <v>0</v>
      </c>
      <c r="AD103" s="17">
        <f>$I$51*$AD$51</f>
        <v>0</v>
      </c>
      <c r="AE103" s="17">
        <f>$I$51*$AE$51</f>
        <v>0</v>
      </c>
      <c r="AF103" s="17">
        <f ca="1">$I$51*$AF$51</f>
        <v>0</v>
      </c>
      <c r="AG103" s="17">
        <f ca="1">$I$51*$AG$51</f>
        <v>0</v>
      </c>
      <c r="AI103" s="17">
        <f>$I$51*$AI$51</f>
        <v>0</v>
      </c>
      <c r="AJ103" s="17">
        <f>$I$51*$AJ$51</f>
        <v>0</v>
      </c>
      <c r="AK103" s="17">
        <f>$I$51*$AK$51</f>
        <v>0</v>
      </c>
      <c r="AL103" s="17">
        <f>$I$51*$AL$51</f>
        <v>0</v>
      </c>
      <c r="AM103" s="17">
        <f>$I$51*$AM$51</f>
        <v>0</v>
      </c>
      <c r="AN103" s="17">
        <f>$I$51*$AN$51</f>
        <v>0</v>
      </c>
      <c r="AO103" s="17">
        <f>$I$51*$AO$51</f>
        <v>0</v>
      </c>
      <c r="AP103" s="17">
        <f>$I$51*$AP$51</f>
        <v>0</v>
      </c>
      <c r="AQ103" s="17">
        <f>$I$51*$AQ$51</f>
        <v>0</v>
      </c>
      <c r="AR103" s="17">
        <f>$I$51*$AR$51</f>
        <v>0</v>
      </c>
      <c r="AS103" s="17">
        <f>$I$51*$AS$51</f>
        <v>0</v>
      </c>
      <c r="AT103" s="17">
        <f>$I$51*$AT$51</f>
        <v>0</v>
      </c>
      <c r="AU103" s="17">
        <f>$I$51*$AU$51</f>
        <v>0</v>
      </c>
      <c r="AV103" s="17">
        <f>$I$51*$AV$51</f>
        <v>0</v>
      </c>
      <c r="AW103" s="17">
        <f>$I$51*$AW$51</f>
        <v>0</v>
      </c>
      <c r="AX103" s="17">
        <f>$I$51*$AX$51</f>
        <v>0</v>
      </c>
      <c r="AY103" s="17">
        <f>$I$51*$AY$51</f>
        <v>0</v>
      </c>
      <c r="AZ103" s="17">
        <f>$I$51*$AZ$51</f>
        <v>0</v>
      </c>
      <c r="BA103" s="17">
        <f>$I$51*$BA$51</f>
        <v>0</v>
      </c>
      <c r="BB103" s="17">
        <f>$I$51*$BB$51</f>
        <v>0</v>
      </c>
      <c r="BC103" s="17">
        <f>$I$51*$BC$51</f>
        <v>0</v>
      </c>
      <c r="BD103" s="17">
        <f>$I$51*$BD$51</f>
        <v>0</v>
      </c>
    </row>
  </sheetData>
  <mergeCells count="88">
    <mergeCell ref="AQ55:AW55"/>
    <mergeCell ref="AY55:AZ55"/>
    <mergeCell ref="BA55:BD55"/>
    <mergeCell ref="BA3:BD3"/>
    <mergeCell ref="L53:AG53"/>
    <mergeCell ref="AI53:BD53"/>
    <mergeCell ref="L54:AG54"/>
    <mergeCell ref="AI54:BD54"/>
    <mergeCell ref="L55:S55"/>
    <mergeCell ref="T55:Z55"/>
    <mergeCell ref="AB55:AC55"/>
    <mergeCell ref="AD55:AG55"/>
    <mergeCell ref="AI55:AP55"/>
    <mergeCell ref="AB3:AC3"/>
    <mergeCell ref="AD3:AG3"/>
    <mergeCell ref="E45:E47"/>
    <mergeCell ref="F45:F47"/>
    <mergeCell ref="A50:A51"/>
    <mergeCell ref="B50:B51"/>
    <mergeCell ref="C50:C51"/>
    <mergeCell ref="D45:D47"/>
    <mergeCell ref="AI1:BD1"/>
    <mergeCell ref="AI2:BD2"/>
    <mergeCell ref="AI3:AP3"/>
    <mergeCell ref="AQ3:AW3"/>
    <mergeCell ref="AY3:AZ3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5:A14"/>
    <mergeCell ref="B5:B8"/>
    <mergeCell ref="C5:C8"/>
    <mergeCell ref="D5:D8"/>
    <mergeCell ref="E5:E7"/>
    <mergeCell ref="C10:C14"/>
    <mergeCell ref="D10:D14"/>
    <mergeCell ref="E10:E12"/>
    <mergeCell ref="E13:E14"/>
    <mergeCell ref="F5:F7"/>
    <mergeCell ref="B10:B14"/>
    <mergeCell ref="G1:G4"/>
    <mergeCell ref="H1:H4"/>
    <mergeCell ref="I1:I4"/>
    <mergeCell ref="F1:F4"/>
    <mergeCell ref="F10:F12"/>
    <mergeCell ref="F13:F14"/>
    <mergeCell ref="J1:J4"/>
    <mergeCell ref="L1:AG1"/>
    <mergeCell ref="L2:AG2"/>
    <mergeCell ref="L3:S3"/>
    <mergeCell ref="T3:Z3"/>
    <mergeCell ref="A1:A4"/>
    <mergeCell ref="B1:B4"/>
    <mergeCell ref="C1:C4"/>
    <mergeCell ref="D1:D4"/>
    <mergeCell ref="E1:E4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A596-75B3-46A5-B105-9076D2CA98C6}">
  <dimension ref="A1:AH83"/>
  <sheetViews>
    <sheetView showGridLines="0" topLeftCell="I20" workbookViewId="0">
      <selection activeCell="V42" sqref="V42"/>
    </sheetView>
  </sheetViews>
  <sheetFormatPr defaultRowHeight="11.25" customHeight="1" x14ac:dyDescent="0.25"/>
  <cols>
    <col min="1" max="1" width="9.28515625" style="9" bestFit="1" customWidth="1"/>
    <col min="2" max="2" width="29" style="9" bestFit="1" customWidth="1"/>
    <col min="3" max="3" width="38.7109375" style="9" bestFit="1" customWidth="1"/>
    <col min="4" max="4" width="61.7109375" style="9" bestFit="1" customWidth="1"/>
    <col min="5" max="5" width="71.42578125" style="9" bestFit="1" customWidth="1"/>
    <col min="6" max="6" width="81" style="9" bestFit="1" customWidth="1"/>
    <col min="7" max="7" width="81.8554687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4.140625" style="9" bestFit="1" customWidth="1"/>
    <col min="13" max="13" width="7.140625" style="9" bestFit="1" customWidth="1"/>
    <col min="14" max="14" width="6" style="9" bestFit="1" customWidth="1"/>
    <col min="15" max="15" width="11.140625" style="9" bestFit="1" customWidth="1"/>
    <col min="16" max="16" width="8.140625" style="9" bestFit="1" customWidth="1"/>
    <col min="17" max="17" width="15" style="9" bestFit="1" customWidth="1"/>
    <col min="18" max="18" width="6" style="9" bestFit="1" customWidth="1"/>
    <col min="19" max="19" width="10.42578125" style="9" bestFit="1" customWidth="1"/>
    <col min="20" max="20" width="7" style="9" bestFit="1" customWidth="1"/>
    <col min="21" max="21" width="11.140625" style="9" bestFit="1" customWidth="1"/>
    <col min="22" max="22" width="11" style="9" bestFit="1" customWidth="1"/>
    <col min="23" max="23" width="9.140625" style="9"/>
    <col min="24" max="24" width="4.140625" style="9" bestFit="1" customWidth="1"/>
    <col min="25" max="25" width="7.140625" style="9" bestFit="1" customWidth="1"/>
    <col min="26" max="26" width="6" style="9" bestFit="1" customWidth="1"/>
    <col min="27" max="27" width="11.140625" style="9" bestFit="1" customWidth="1"/>
    <col min="28" max="28" width="8.140625" style="9" bestFit="1" customWidth="1"/>
    <col min="29" max="29" width="15" style="9" bestFit="1" customWidth="1"/>
    <col min="30" max="30" width="6" style="9" bestFit="1" customWidth="1"/>
    <col min="31" max="31" width="10.42578125" style="9" bestFit="1" customWidth="1"/>
    <col min="32" max="32" width="7" style="9" bestFit="1" customWidth="1"/>
    <col min="33" max="33" width="11.140625" style="9" bestFit="1" customWidth="1"/>
    <col min="34" max="34" width="11" style="9" bestFit="1" customWidth="1"/>
    <col min="35" max="16384" width="9.140625" style="9"/>
  </cols>
  <sheetData>
    <row r="1" spans="1:34" ht="11.25" customHeight="1" x14ac:dyDescent="0.25">
      <c r="A1" s="104" t="s">
        <v>62</v>
      </c>
      <c r="B1" s="104" t="s">
        <v>63</v>
      </c>
      <c r="C1" s="104" t="s">
        <v>64</v>
      </c>
      <c r="D1" s="104" t="s">
        <v>65</v>
      </c>
      <c r="E1" s="104" t="s">
        <v>66</v>
      </c>
      <c r="F1" s="104" t="s">
        <v>15</v>
      </c>
      <c r="G1" s="104" t="s">
        <v>68</v>
      </c>
      <c r="H1" s="104" t="s">
        <v>69</v>
      </c>
      <c r="I1" s="104" t="s">
        <v>487</v>
      </c>
      <c r="J1" s="90"/>
      <c r="L1" s="102" t="s">
        <v>858</v>
      </c>
      <c r="M1" s="102"/>
      <c r="N1" s="102"/>
      <c r="O1" s="102"/>
      <c r="P1" s="102"/>
      <c r="Q1" s="102"/>
      <c r="R1" s="102"/>
      <c r="S1" s="102"/>
      <c r="T1" s="102"/>
      <c r="U1" s="102"/>
      <c r="V1" s="102"/>
      <c r="X1" s="102" t="s">
        <v>859</v>
      </c>
      <c r="Y1" s="102"/>
      <c r="Z1" s="102"/>
      <c r="AA1" s="102"/>
      <c r="AB1" s="102"/>
      <c r="AC1" s="102"/>
      <c r="AD1" s="102"/>
      <c r="AE1" s="102"/>
      <c r="AF1" s="102"/>
      <c r="AG1" s="102"/>
      <c r="AH1" s="102"/>
    </row>
    <row r="2" spans="1:34" ht="11.2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90"/>
      <c r="L2" s="102" t="s">
        <v>414</v>
      </c>
      <c r="M2" s="102"/>
      <c r="N2" s="102"/>
      <c r="O2" s="102"/>
      <c r="P2" s="102"/>
      <c r="Q2" s="102"/>
      <c r="R2" s="102"/>
      <c r="S2" s="102"/>
      <c r="T2" s="102"/>
      <c r="U2" s="102"/>
      <c r="V2" s="102"/>
      <c r="X2" s="102" t="s">
        <v>414</v>
      </c>
      <c r="Y2" s="102"/>
      <c r="Z2" s="102"/>
      <c r="AA2" s="102"/>
      <c r="AB2" s="102"/>
      <c r="AC2" s="102"/>
      <c r="AD2" s="102"/>
      <c r="AE2" s="102"/>
      <c r="AF2" s="102"/>
      <c r="AG2" s="102"/>
      <c r="AH2" s="102"/>
    </row>
    <row r="3" spans="1:34" ht="11.2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90"/>
      <c r="L3" s="102" t="s">
        <v>387</v>
      </c>
      <c r="M3" s="102"/>
      <c r="N3" s="102"/>
      <c r="O3" s="102"/>
      <c r="P3" s="102"/>
      <c r="Q3" s="33" t="s">
        <v>418</v>
      </c>
      <c r="R3" s="102" t="s">
        <v>396</v>
      </c>
      <c r="S3" s="102"/>
      <c r="T3" s="102"/>
      <c r="U3" s="33" t="s">
        <v>406</v>
      </c>
      <c r="V3" s="33" t="s">
        <v>409</v>
      </c>
      <c r="X3" s="102" t="s">
        <v>387</v>
      </c>
      <c r="Y3" s="102"/>
      <c r="Z3" s="102"/>
      <c r="AA3" s="102"/>
      <c r="AB3" s="102"/>
      <c r="AC3" s="33" t="s">
        <v>418</v>
      </c>
      <c r="AD3" s="102" t="s">
        <v>396</v>
      </c>
      <c r="AE3" s="102"/>
      <c r="AF3" s="102"/>
      <c r="AG3" s="33" t="s">
        <v>406</v>
      </c>
      <c r="AH3" s="33" t="s">
        <v>409</v>
      </c>
    </row>
    <row r="4" spans="1:34" ht="11.25" customHeight="1" x14ac:dyDescent="0.25">
      <c r="A4" s="104"/>
      <c r="B4" s="104"/>
      <c r="C4" s="104"/>
      <c r="D4" s="104"/>
      <c r="E4" s="104"/>
      <c r="F4" s="104"/>
      <c r="G4" s="104"/>
      <c r="H4" s="104"/>
      <c r="I4" s="104"/>
      <c r="J4" s="90"/>
      <c r="L4" s="33" t="s">
        <v>389</v>
      </c>
      <c r="M4" s="33" t="s">
        <v>415</v>
      </c>
      <c r="N4" s="33" t="s">
        <v>416</v>
      </c>
      <c r="O4" s="33" t="s">
        <v>475</v>
      </c>
      <c r="P4" s="33" t="s">
        <v>417</v>
      </c>
      <c r="Q4" s="33" t="s">
        <v>419</v>
      </c>
      <c r="R4" s="33" t="s">
        <v>420</v>
      </c>
      <c r="S4" s="33" t="s">
        <v>421</v>
      </c>
      <c r="T4" s="33" t="s">
        <v>422</v>
      </c>
      <c r="U4" s="33" t="s">
        <v>407</v>
      </c>
      <c r="V4" s="33" t="s">
        <v>423</v>
      </c>
      <c r="X4" s="33" t="s">
        <v>389</v>
      </c>
      <c r="Y4" s="33" t="s">
        <v>415</v>
      </c>
      <c r="Z4" s="33" t="s">
        <v>416</v>
      </c>
      <c r="AA4" s="33" t="s">
        <v>475</v>
      </c>
      <c r="AB4" s="33" t="s">
        <v>417</v>
      </c>
      <c r="AC4" s="33" t="s">
        <v>419</v>
      </c>
      <c r="AD4" s="33" t="s">
        <v>420</v>
      </c>
      <c r="AE4" s="33" t="s">
        <v>421</v>
      </c>
      <c r="AF4" s="33" t="s">
        <v>422</v>
      </c>
      <c r="AG4" s="33" t="s">
        <v>407</v>
      </c>
      <c r="AH4" s="33" t="s">
        <v>423</v>
      </c>
    </row>
    <row r="5" spans="1:34" ht="11.25" customHeight="1" x14ac:dyDescent="0.25">
      <c r="A5" s="105" t="s">
        <v>35</v>
      </c>
      <c r="B5" s="105" t="s">
        <v>71</v>
      </c>
      <c r="C5" s="105" t="s">
        <v>25</v>
      </c>
      <c r="D5" s="105" t="s">
        <v>25</v>
      </c>
      <c r="E5" s="105" t="s">
        <v>25</v>
      </c>
      <c r="F5" s="105" t="s">
        <v>25</v>
      </c>
      <c r="G5" s="32" t="s">
        <v>73</v>
      </c>
      <c r="H5" s="32" t="s">
        <v>72</v>
      </c>
      <c r="I5" s="32">
        <f>'MERCADO TE'!$U$2</f>
        <v>1276.5</v>
      </c>
      <c r="J5" s="15"/>
      <c r="L5" s="29">
        <f>('TE BE'!$L$5+'TE BF'!$L$5+'TE CVA'!$L$5)*1</f>
        <v>0</v>
      </c>
      <c r="M5" s="29">
        <f>('TE BE'!$M$5+'TE BF'!$M$5+'TE CVA'!$M$5)*1</f>
        <v>0</v>
      </c>
      <c r="N5" s="29">
        <f>('TE BE'!$N$5+'TE BF'!$N$5+'TE CVA'!$N$5)*1</f>
        <v>0</v>
      </c>
      <c r="O5" s="29">
        <f>('TE BE'!$O$5+'TE BF'!$O$5+'TE CVA'!$O$5)*1</f>
        <v>0</v>
      </c>
      <c r="P5" s="29">
        <f>('TE BE'!$P$5+'TE BF'!$P$5+'TE CVA'!$P$5)*1</f>
        <v>0</v>
      </c>
      <c r="Q5" s="29">
        <f>('TE BE'!$R$5+'TE BF'!$R$5+'TE CVA'!$R$5)*1</f>
        <v>135.80626150990429</v>
      </c>
      <c r="R5" s="29">
        <f>('TE BE'!$T$5+'TE BF'!$T$5+'TE CVA'!$T$5)*1</f>
        <v>0</v>
      </c>
      <c r="S5" s="29">
        <f>('TE BE'!$U$5+'TE BF'!$U$5+'TE CVA'!$U$5)*1</f>
        <v>0</v>
      </c>
      <c r="T5" s="29">
        <f>('TE BE'!$V$5+'TE BF'!$V$5+'TE CVA'!$V$5)*1</f>
        <v>0</v>
      </c>
      <c r="U5" s="29">
        <f>('TE BE'!$X$5+'TE BF'!$X$5+'TE CVA'!$X$5)*1</f>
        <v>0</v>
      </c>
      <c r="V5" s="29">
        <f>('TE BE'!$Z$5+'TE BF'!$Z$5+'TE CVA'!$Z$5)*1</f>
        <v>0</v>
      </c>
      <c r="X5" s="29">
        <v>0</v>
      </c>
      <c r="Y5" s="29">
        <v>0</v>
      </c>
      <c r="Z5" s="29">
        <v>0</v>
      </c>
      <c r="AA5" s="29">
        <v>0</v>
      </c>
      <c r="AB5" s="29">
        <v>0</v>
      </c>
      <c r="AC5" s="29">
        <v>141.31893003198601</v>
      </c>
      <c r="AD5" s="29">
        <v>0</v>
      </c>
      <c r="AE5" s="29">
        <v>0</v>
      </c>
      <c r="AF5" s="29">
        <v>0</v>
      </c>
      <c r="AG5" s="29">
        <v>0</v>
      </c>
      <c r="AH5" s="29">
        <v>0</v>
      </c>
    </row>
    <row r="6" spans="1:34" ht="11.25" customHeight="1" x14ac:dyDescent="0.25">
      <c r="A6" s="105"/>
      <c r="B6" s="105"/>
      <c r="C6" s="105"/>
      <c r="D6" s="105"/>
      <c r="E6" s="105"/>
      <c r="F6" s="105"/>
      <c r="G6" s="32" t="s">
        <v>74</v>
      </c>
      <c r="H6" s="32" t="s">
        <v>72</v>
      </c>
      <c r="I6" s="32">
        <f>'MERCADO TE'!$U$3</f>
        <v>30799.609</v>
      </c>
      <c r="J6" s="15"/>
      <c r="L6" s="29">
        <f>('TE BE'!$L$6+'TE BF'!$L$6+'TE CVA'!$L$6)*1</f>
        <v>0</v>
      </c>
      <c r="M6" s="29">
        <f>('TE BE'!$M$6+'TE BF'!$M$6+'TE CVA'!$M$6)*1</f>
        <v>0</v>
      </c>
      <c r="N6" s="29">
        <f>('TE BE'!$N$6+'TE BF'!$N$6+'TE CVA'!$N$6)*1</f>
        <v>0</v>
      </c>
      <c r="O6" s="29">
        <f>('TE BE'!$O$6+'TE BF'!$O$6+'TE CVA'!$O$6)*1</f>
        <v>0</v>
      </c>
      <c r="P6" s="29">
        <f>('TE BE'!$P$6+'TE BF'!$P$6+'TE CVA'!$P$6)*1</f>
        <v>0</v>
      </c>
      <c r="Q6" s="29">
        <f>('TE BE'!$R$6+'TE BF'!$R$6+'TE CVA'!$R$6)*1</f>
        <v>135.80626150990429</v>
      </c>
      <c r="R6" s="29">
        <f>('TE BE'!$T$6+'TE BF'!$T$6+'TE CVA'!$T$6)*1</f>
        <v>0</v>
      </c>
      <c r="S6" s="29">
        <f>('TE BE'!$U$6+'TE BF'!$U$6+'TE CVA'!$U$6)*1</f>
        <v>0</v>
      </c>
      <c r="T6" s="29">
        <f>('TE BE'!$V$6+'TE BF'!$V$6+'TE CVA'!$V$6)*1</f>
        <v>0</v>
      </c>
      <c r="U6" s="29">
        <f>('TE BE'!$X$6+'TE BF'!$X$6+'TE CVA'!$X$6)*1</f>
        <v>0</v>
      </c>
      <c r="V6" s="29">
        <f>('TE BE'!$Z$6+'TE BF'!$Z$6+'TE CVA'!$Z$6)*1</f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141.31893003198601</v>
      </c>
      <c r="AD6" s="29">
        <v>0</v>
      </c>
      <c r="AE6" s="29">
        <v>0</v>
      </c>
      <c r="AF6" s="29">
        <v>0</v>
      </c>
      <c r="AG6" s="29">
        <v>0</v>
      </c>
      <c r="AH6" s="29">
        <v>0</v>
      </c>
    </row>
    <row r="7" spans="1:34" ht="11.25" customHeight="1" x14ac:dyDescent="0.25">
      <c r="A7" s="105" t="s">
        <v>22</v>
      </c>
      <c r="B7" s="105" t="s">
        <v>71</v>
      </c>
      <c r="C7" s="105" t="s">
        <v>24</v>
      </c>
      <c r="D7" s="105" t="s">
        <v>24</v>
      </c>
      <c r="E7" s="105" t="s">
        <v>25</v>
      </c>
      <c r="F7" s="105" t="s">
        <v>25</v>
      </c>
      <c r="G7" s="32" t="s">
        <v>73</v>
      </c>
      <c r="H7" s="32" t="s">
        <v>72</v>
      </c>
      <c r="I7" s="32">
        <f>'MERCADO TE'!$U$4</f>
        <v>0</v>
      </c>
      <c r="J7" s="15"/>
      <c r="L7" s="29">
        <f>('TE BE'!$L$7+'TE BF'!$L$7+'TE CVA'!$L$7)*1</f>
        <v>0</v>
      </c>
      <c r="M7" s="29">
        <f>('TE BE'!$M$7+'TE BF'!$M$7+'TE CVA'!$M$7)*1</f>
        <v>0</v>
      </c>
      <c r="N7" s="29">
        <f>('TE BE'!$N$7+'TE BF'!$N$7+'TE CVA'!$N$7)*1</f>
        <v>0</v>
      </c>
      <c r="O7" s="29">
        <f>('TE BE'!$O$7+'TE BF'!$O$7+'TE CVA'!$O$7)*1</f>
        <v>0</v>
      </c>
      <c r="P7" s="29">
        <f>('TE BE'!$P$7+'TE BF'!$P$7+'TE CVA'!$P$7)*1</f>
        <v>0</v>
      </c>
      <c r="Q7" s="29">
        <f>('TE BE'!$R$7+'TE BF'!$R$7+'TE CVA'!$R$7)*1</f>
        <v>135.80626150990429</v>
      </c>
      <c r="R7" s="29">
        <f>('TE BE'!$T$7+'TE BF'!$T$7+'TE CVA'!$T$7)*1</f>
        <v>0</v>
      </c>
      <c r="S7" s="29">
        <f>('TE BE'!$U$7+'TE BF'!$U$7+'TE CVA'!$U$7)*1</f>
        <v>0</v>
      </c>
      <c r="T7" s="29">
        <f>('TE BE'!$V$7+'TE BF'!$V$7+'TE CVA'!$V$7)*1</f>
        <v>0</v>
      </c>
      <c r="U7" s="29">
        <f>('TE BE'!$X$7+'TE BF'!$X$7+'TE CVA'!$X$7)*1</f>
        <v>0</v>
      </c>
      <c r="V7" s="29">
        <f>('TE BE'!$Z$7+'TE BF'!$Z$7+'TE CVA'!$Z$7)*1</f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141.31893003198601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</row>
    <row r="8" spans="1:34" ht="11.25" customHeight="1" x14ac:dyDescent="0.25">
      <c r="A8" s="105"/>
      <c r="B8" s="105"/>
      <c r="C8" s="105"/>
      <c r="D8" s="105"/>
      <c r="E8" s="105"/>
      <c r="F8" s="105"/>
      <c r="G8" s="32" t="s">
        <v>83</v>
      </c>
      <c r="H8" s="32" t="s">
        <v>72</v>
      </c>
      <c r="I8" s="32">
        <f>'MERCADO TE'!$U$5</f>
        <v>0</v>
      </c>
      <c r="J8" s="15"/>
      <c r="L8" s="29">
        <f>('TE BE'!$L$8+'TE BF'!$L$8+'TE CVA'!$L$8)*1</f>
        <v>0</v>
      </c>
      <c r="M8" s="29">
        <f>('TE BE'!$M$8+'TE BF'!$M$8+'TE CVA'!$M$8)*1</f>
        <v>0</v>
      </c>
      <c r="N8" s="29">
        <f>('TE BE'!$N$8+'TE BF'!$N$8+'TE CVA'!$N$8)*1</f>
        <v>0</v>
      </c>
      <c r="O8" s="29">
        <f>('TE BE'!$O$8+'TE BF'!$O$8+'TE CVA'!$O$8)*1</f>
        <v>0</v>
      </c>
      <c r="P8" s="29">
        <f>('TE BE'!$P$8+'TE BF'!$P$8+'TE CVA'!$P$8)*1</f>
        <v>0</v>
      </c>
      <c r="Q8" s="29">
        <f>('TE BE'!$R$8+'TE BF'!$R$8+'TE CVA'!$R$8)*1</f>
        <v>135.80626150990429</v>
      </c>
      <c r="R8" s="29">
        <f>('TE BE'!$T$8+'TE BF'!$T$8+'TE CVA'!$T$8)*1</f>
        <v>0</v>
      </c>
      <c r="S8" s="29">
        <f>('TE BE'!$U$8+'TE BF'!$U$8+'TE CVA'!$U$8)*1</f>
        <v>0</v>
      </c>
      <c r="T8" s="29">
        <f>('TE BE'!$V$8+'TE BF'!$V$8+'TE CVA'!$V$8)*1</f>
        <v>0</v>
      </c>
      <c r="U8" s="29">
        <f>('TE BE'!$X$8+'TE BF'!$X$8+'TE CVA'!$X$8)*1</f>
        <v>0</v>
      </c>
      <c r="V8" s="29">
        <f>('TE BE'!$Z$8+'TE BF'!$Z$8+'TE CVA'!$Z$8)*1</f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141.31893003198601</v>
      </c>
      <c r="AD8" s="29">
        <v>0</v>
      </c>
      <c r="AE8" s="29">
        <v>0</v>
      </c>
      <c r="AF8" s="29">
        <v>0</v>
      </c>
      <c r="AG8" s="29">
        <v>0</v>
      </c>
      <c r="AH8" s="29">
        <v>0</v>
      </c>
    </row>
    <row r="9" spans="1:34" ht="11.25" customHeight="1" x14ac:dyDescent="0.25">
      <c r="A9" s="105"/>
      <c r="B9" s="105"/>
      <c r="C9" s="105"/>
      <c r="D9" s="105"/>
      <c r="E9" s="105"/>
      <c r="F9" s="105"/>
      <c r="G9" s="32" t="s">
        <v>74</v>
      </c>
      <c r="H9" s="32" t="s">
        <v>72</v>
      </c>
      <c r="I9" s="32">
        <f>'MERCADO TE'!$U$6</f>
        <v>0</v>
      </c>
      <c r="J9" s="15"/>
      <c r="L9" s="29">
        <f>('TE BE'!$L$9+'TE BF'!$L$9+'TE CVA'!$L$9)*1</f>
        <v>0</v>
      </c>
      <c r="M9" s="29">
        <f>('TE BE'!$M$9+'TE BF'!$M$9+'TE CVA'!$M$9)*1</f>
        <v>0</v>
      </c>
      <c r="N9" s="29">
        <f>('TE BE'!$N$9+'TE BF'!$N$9+'TE CVA'!$N$9)*1</f>
        <v>0</v>
      </c>
      <c r="O9" s="29">
        <f>('TE BE'!$O$9+'TE BF'!$O$9+'TE CVA'!$O$9)*1</f>
        <v>0</v>
      </c>
      <c r="P9" s="29">
        <f>('TE BE'!$P$9+'TE BF'!$P$9+'TE CVA'!$P$9)*1</f>
        <v>0</v>
      </c>
      <c r="Q9" s="29">
        <f>('TE BE'!$R$9+'TE BF'!$R$9+'TE CVA'!$R$9)*1</f>
        <v>135.80626150990429</v>
      </c>
      <c r="R9" s="29">
        <f>('TE BE'!$T$9+'TE BF'!$T$9+'TE CVA'!$T$9)*1</f>
        <v>0</v>
      </c>
      <c r="S9" s="29">
        <f>('TE BE'!$U$9+'TE BF'!$U$9+'TE CVA'!$U$9)*1</f>
        <v>0</v>
      </c>
      <c r="T9" s="29">
        <f>('TE BE'!$V$9+'TE BF'!$V$9+'TE CVA'!$V$9)*1</f>
        <v>0</v>
      </c>
      <c r="U9" s="29">
        <f>('TE BE'!$X$9+'TE BF'!$X$9+'TE CVA'!$X$9)*1</f>
        <v>0</v>
      </c>
      <c r="V9" s="29">
        <f>('TE BE'!$Z$9+'TE BF'!$Z$9+'TE CVA'!$Z$9)*1</f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141.31893003198601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</row>
    <row r="10" spans="1:34" ht="11.25" customHeight="1" x14ac:dyDescent="0.25">
      <c r="A10" s="105"/>
      <c r="B10" s="105" t="s">
        <v>84</v>
      </c>
      <c r="C10" s="105" t="s">
        <v>24</v>
      </c>
      <c r="D10" s="31" t="s">
        <v>24</v>
      </c>
      <c r="E10" s="31" t="s">
        <v>25</v>
      </c>
      <c r="F10" s="31" t="s">
        <v>25</v>
      </c>
      <c r="G10" s="32" t="s">
        <v>78</v>
      </c>
      <c r="H10" s="32" t="s">
        <v>72</v>
      </c>
      <c r="I10" s="32">
        <f>'MERCADO TE'!$U$7</f>
        <v>11694.771999999999</v>
      </c>
      <c r="J10" s="15"/>
      <c r="L10" s="29">
        <f>('TE BE'!$L$10+'TE BF'!$L$10+'TE CVA'!$L$10)*1</f>
        <v>0</v>
      </c>
      <c r="M10" s="29">
        <f>('TE BE'!$M$10+'TE BF'!$M$10+'TE CVA'!$M$10)*1</f>
        <v>0</v>
      </c>
      <c r="N10" s="29">
        <f>('TE BE'!$N$10+'TE BF'!$N$10+'TE CVA'!$N$10)*1</f>
        <v>0</v>
      </c>
      <c r="O10" s="29">
        <f>('TE BE'!$O$10+'TE BF'!$O$10+'TE CVA'!$O$10)*1</f>
        <v>0</v>
      </c>
      <c r="P10" s="29">
        <f>('TE BE'!$P$10+'TE BF'!$P$10+'TE CVA'!$P$10)*1</f>
        <v>0</v>
      </c>
      <c r="Q10" s="29">
        <f>('TE BE'!$R$10+'TE BF'!$R$10+'TE CVA'!$R$10)*1</f>
        <v>135.80626150990429</v>
      </c>
      <c r="R10" s="29">
        <f>('TE BE'!$T$10+'TE BF'!$T$10+'TE CVA'!$T$10)*1</f>
        <v>0</v>
      </c>
      <c r="S10" s="29">
        <f>('TE BE'!$U$10+'TE BF'!$U$10+'TE CVA'!$U$10)*1</f>
        <v>0</v>
      </c>
      <c r="T10" s="29">
        <f>('TE BE'!$V$10+'TE BF'!$V$10+'TE CVA'!$V$10)*1</f>
        <v>0</v>
      </c>
      <c r="U10" s="29">
        <f>('TE BE'!$X$10+'TE BF'!$X$10+'TE CVA'!$X$10)*1</f>
        <v>0</v>
      </c>
      <c r="V10" s="29">
        <f>('TE BE'!$Z$10+'TE BF'!$Z$10+'TE CVA'!$Z$10)*1</f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141.31893003198601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</row>
    <row r="11" spans="1:34" ht="11.25" customHeight="1" x14ac:dyDescent="0.25">
      <c r="A11" s="105"/>
      <c r="B11" s="105"/>
      <c r="C11" s="105"/>
      <c r="D11" s="31" t="s">
        <v>29</v>
      </c>
      <c r="E11" s="31" t="s">
        <v>25</v>
      </c>
      <c r="F11" s="31" t="s">
        <v>25</v>
      </c>
      <c r="G11" s="32" t="s">
        <v>78</v>
      </c>
      <c r="H11" s="32" t="s">
        <v>72</v>
      </c>
      <c r="I11" s="32">
        <f>'MERCADO TE'!$U$8</f>
        <v>30.416</v>
      </c>
      <c r="J11" s="15"/>
      <c r="L11" s="29">
        <f>('TE BE'!$L$11+'TE BF'!$L$11+'TE CVA'!$L$11)*(1 - 0.65)</f>
        <v>0</v>
      </c>
      <c r="M11" s="29">
        <f>('TE BE'!$M$11+'TE BF'!$M$11+'TE CVA'!$M$11)*(1 - 0.65)</f>
        <v>0</v>
      </c>
      <c r="N11" s="29">
        <f>('TE BE'!$N$11+'TE BF'!$N$11+'TE CVA'!$N$11)*(1 - 0.65)</f>
        <v>0</v>
      </c>
      <c r="O11" s="29">
        <f>('TE BE'!$O$11+'TE BF'!$O$11+'TE CVA'!$O$11)*(1 - 0.65)</f>
        <v>0</v>
      </c>
      <c r="P11" s="29">
        <f>('TE BE'!$P$11+'TE BF'!$P$11+'TE CVA'!$P$11)*(1 - 0.65)</f>
        <v>0</v>
      </c>
      <c r="Q11" s="29">
        <f>('TE BE'!$R$11+'TE BF'!$R$11+'TE CVA'!$R$11)*(1 - 0.65)</f>
        <v>47.532191528466498</v>
      </c>
      <c r="R11" s="29">
        <f>('TE BE'!$T$11+'TE BF'!$T$11+'TE CVA'!$T$11)*(1 - 0.65)</f>
        <v>0</v>
      </c>
      <c r="S11" s="29">
        <f>('TE BE'!$U$11+'TE BF'!$U$11+'TE CVA'!$U$11)*(1 - 0.65)</f>
        <v>0</v>
      </c>
      <c r="T11" s="29">
        <f>('TE BE'!$V$11+'TE BF'!$V$11+'TE CVA'!$V$11)*(1 - 0.65)</f>
        <v>0</v>
      </c>
      <c r="U11" s="29">
        <f>('TE BE'!$X$11+'TE BF'!$X$11+'TE CVA'!$X$11)*(1 - 0.65)</f>
        <v>0</v>
      </c>
      <c r="V11" s="29">
        <f>('TE BE'!$Z$11+'TE BF'!$Z$11+'TE CVA'!$Z$11)*(1 - 0.65)</f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49.461625511195201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</row>
    <row r="12" spans="1:34" ht="11.25" customHeight="1" x14ac:dyDescent="0.25">
      <c r="A12" s="105"/>
      <c r="B12" s="105"/>
      <c r="C12" s="105"/>
      <c r="D12" s="31" t="s">
        <v>30</v>
      </c>
      <c r="E12" s="31" t="s">
        <v>25</v>
      </c>
      <c r="F12" s="31" t="s">
        <v>25</v>
      </c>
      <c r="G12" s="32" t="s">
        <v>78</v>
      </c>
      <c r="H12" s="32" t="s">
        <v>72</v>
      </c>
      <c r="I12" s="32">
        <f>'MERCADO TE'!$U$9</f>
        <v>60.935000000000002</v>
      </c>
      <c r="J12" s="15"/>
      <c r="L12" s="29">
        <f>('TE BE'!$L$12+'TE BF'!$L$12+'TE CVA'!$L$12)*(1 - 0.4)</f>
        <v>0</v>
      </c>
      <c r="M12" s="29">
        <f>('TE BE'!$M$12+'TE BF'!$M$12+'TE CVA'!$M$12)*(1 - 0.4)</f>
        <v>0</v>
      </c>
      <c r="N12" s="29">
        <f>('TE BE'!$N$12+'TE BF'!$N$12+'TE CVA'!$N$12)*(1 - 0.4)</f>
        <v>0</v>
      </c>
      <c r="O12" s="29">
        <f>('TE BE'!$O$12+'TE BF'!$O$12+'TE CVA'!$O$12)*(1 - 0.4)</f>
        <v>0</v>
      </c>
      <c r="P12" s="29">
        <f>('TE BE'!$P$12+'TE BF'!$P$12+'TE CVA'!$P$12)*(1 - 0.4)</f>
        <v>0</v>
      </c>
      <c r="Q12" s="29">
        <f>('TE BE'!$R$12+'TE BF'!$R$12+'TE CVA'!$R$12)*(1 - 0.4)</f>
        <v>81.48375690594257</v>
      </c>
      <c r="R12" s="29">
        <f>('TE BE'!$T$12+'TE BF'!$T$12+'TE CVA'!$T$12)*(1 - 0.4)</f>
        <v>0</v>
      </c>
      <c r="S12" s="29">
        <f>('TE BE'!$U$12+'TE BF'!$U$12+'TE CVA'!$U$12)*(1 - 0.4)</f>
        <v>0</v>
      </c>
      <c r="T12" s="29">
        <f>('TE BE'!$V$12+'TE BF'!$V$12+'TE CVA'!$V$12)*(1 - 0.4)</f>
        <v>0</v>
      </c>
      <c r="U12" s="29">
        <f>('TE BE'!$X$12+'TE BF'!$X$12+'TE CVA'!$X$12)*(1 - 0.4)</f>
        <v>0</v>
      </c>
      <c r="V12" s="29">
        <f>('TE BE'!$Z$12+'TE BF'!$Z$12+'TE CVA'!$Z$12)*(1 - 0.4)</f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84.791358019191705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</row>
    <row r="13" spans="1:34" ht="11.25" customHeight="1" x14ac:dyDescent="0.25">
      <c r="A13" s="105"/>
      <c r="B13" s="105"/>
      <c r="C13" s="105"/>
      <c r="D13" s="31" t="s">
        <v>31</v>
      </c>
      <c r="E13" s="31" t="s">
        <v>25</v>
      </c>
      <c r="F13" s="31" t="s">
        <v>25</v>
      </c>
      <c r="G13" s="32" t="s">
        <v>78</v>
      </c>
      <c r="H13" s="32" t="s">
        <v>72</v>
      </c>
      <c r="I13" s="32">
        <f>'MERCADO TE'!$U$10</f>
        <v>58.873999999999995</v>
      </c>
      <c r="J13" s="15"/>
      <c r="L13" s="29">
        <f>('TE BE'!$L$13+'TE BF'!$L$13+'TE CVA'!$L$13)*(1 - 0.1)</f>
        <v>0</v>
      </c>
      <c r="M13" s="29">
        <f>('TE BE'!$M$13+'TE BF'!$M$13+'TE CVA'!$M$13)*(1 - 0.1)</f>
        <v>0</v>
      </c>
      <c r="N13" s="29">
        <f>('TE BE'!$N$13+'TE BF'!$N$13+'TE CVA'!$N$13)*(1 - 0.1)</f>
        <v>0</v>
      </c>
      <c r="O13" s="29">
        <f>('TE BE'!$O$13+'TE BF'!$O$13+'TE CVA'!$O$13)*(1 - 0.1)</f>
        <v>0</v>
      </c>
      <c r="P13" s="29">
        <f>('TE BE'!$P$13+'TE BF'!$P$13+'TE CVA'!$P$13)*(1 - 0.1)</f>
        <v>0</v>
      </c>
      <c r="Q13" s="29">
        <f>('TE BE'!$R$13+'TE BF'!$R$13+'TE CVA'!$R$13)*(1 - 0.1)</f>
        <v>122.22563535891386</v>
      </c>
      <c r="R13" s="29">
        <f>('TE BE'!$T$13+'TE BF'!$T$13+'TE CVA'!$T$13)*(1 - 0.1)</f>
        <v>0</v>
      </c>
      <c r="S13" s="29">
        <f>('TE BE'!$U$13+'TE BF'!$U$13+'TE CVA'!$U$13)*(1 - 0.1)</f>
        <v>0</v>
      </c>
      <c r="T13" s="29">
        <f>('TE BE'!$V$13+'TE BF'!$V$13+'TE CVA'!$V$13)*(1 - 0.1)</f>
        <v>0</v>
      </c>
      <c r="U13" s="29">
        <f>('TE BE'!$X$13+'TE BF'!$X$13+'TE CVA'!$X$13)*(1 - 0.1)</f>
        <v>0</v>
      </c>
      <c r="V13" s="29">
        <f>('TE BE'!$Z$13+'TE BF'!$Z$13+'TE CVA'!$Z$13)*(1 - 0.1)</f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127.187037028788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</row>
    <row r="14" spans="1:34" ht="11.25" customHeight="1" x14ac:dyDescent="0.25">
      <c r="A14" s="105"/>
      <c r="B14" s="105"/>
      <c r="C14" s="105"/>
      <c r="D14" s="31" t="s">
        <v>32</v>
      </c>
      <c r="E14" s="31" t="s">
        <v>25</v>
      </c>
      <c r="F14" s="31" t="s">
        <v>25</v>
      </c>
      <c r="G14" s="32" t="s">
        <v>78</v>
      </c>
      <c r="H14" s="32" t="s">
        <v>72</v>
      </c>
      <c r="I14" s="32">
        <f>'MERCADO TE'!$U$11</f>
        <v>22.426000000000002</v>
      </c>
      <c r="J14" s="15"/>
      <c r="L14" s="29">
        <f>('TE BE'!$L$14+'TE BF'!$L$14+'TE CVA'!$L$14)*1</f>
        <v>0</v>
      </c>
      <c r="M14" s="29">
        <f>('TE BE'!$M$14+'TE BF'!$M$14+'TE CVA'!$M$14)*1</f>
        <v>0</v>
      </c>
      <c r="N14" s="29">
        <f>('TE BE'!$N$14+'TE BF'!$N$14+'TE CVA'!$N$14)*1</f>
        <v>0</v>
      </c>
      <c r="O14" s="29">
        <f>('TE BE'!$O$14+'TE BF'!$O$14+'TE CVA'!$O$14)*1</f>
        <v>0</v>
      </c>
      <c r="P14" s="29">
        <f>('TE BE'!$P$14+'TE BF'!$P$14+'TE CVA'!$P$14)*1</f>
        <v>0</v>
      </c>
      <c r="Q14" s="29">
        <f>('TE BE'!$R$14+'TE BF'!$R$14+'TE CVA'!$R$14)*1</f>
        <v>135.80626150990429</v>
      </c>
      <c r="R14" s="29">
        <f>('TE BE'!$T$14+'TE BF'!$T$14+'TE CVA'!$T$14)*1</f>
        <v>0</v>
      </c>
      <c r="S14" s="29">
        <f>('TE BE'!$U$14+'TE BF'!$U$14+'TE CVA'!$U$14)*1</f>
        <v>0</v>
      </c>
      <c r="T14" s="29">
        <f>('TE BE'!$V$14+'TE BF'!$V$14+'TE CVA'!$V$14)*1</f>
        <v>0</v>
      </c>
      <c r="U14" s="29">
        <f>('TE BE'!$X$14+'TE BF'!$X$14+'TE CVA'!$X$14)*1</f>
        <v>0</v>
      </c>
      <c r="V14" s="29">
        <f>('TE BE'!$Z$14+'TE BF'!$Z$14+'TE CVA'!$Z$14)*1</f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141.31893003198601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</row>
    <row r="15" spans="1:34" ht="11.25" customHeight="1" x14ac:dyDescent="0.25">
      <c r="A15" s="105"/>
      <c r="B15" s="105" t="s">
        <v>86</v>
      </c>
      <c r="C15" s="105" t="s">
        <v>24</v>
      </c>
      <c r="D15" s="31" t="s">
        <v>24</v>
      </c>
      <c r="E15" s="31" t="s">
        <v>25</v>
      </c>
      <c r="F15" s="31" t="s">
        <v>25</v>
      </c>
      <c r="G15" s="32" t="s">
        <v>78</v>
      </c>
      <c r="H15" s="32" t="s">
        <v>72</v>
      </c>
      <c r="I15" s="32">
        <f>'MERCADO TE'!$U$12</f>
        <v>0</v>
      </c>
      <c r="J15" s="15"/>
      <c r="L15" s="29">
        <f>('TE BE'!$L$15+'TE BF'!$L$15+'TE CVA'!$L$15)*1</f>
        <v>0</v>
      </c>
      <c r="M15" s="29">
        <f>('TE BE'!$M$15+'TE BF'!$M$15+'TE CVA'!$M$15)*1</f>
        <v>0</v>
      </c>
      <c r="N15" s="29">
        <f>('TE BE'!$N$15+'TE BF'!$N$15+'TE CVA'!$N$15)*1</f>
        <v>0</v>
      </c>
      <c r="O15" s="29">
        <f>('TE BE'!$O$15+'TE BF'!$O$15+'TE CVA'!$O$15)*1</f>
        <v>0</v>
      </c>
      <c r="P15" s="29">
        <f>('TE BE'!$P$15+'TE BF'!$P$15+'TE CVA'!$P$15)*1</f>
        <v>0</v>
      </c>
      <c r="Q15" s="29">
        <f>('TE BE'!$R$15+'TE BF'!$R$15+'TE CVA'!$R$15)*1</f>
        <v>135.80626150990429</v>
      </c>
      <c r="R15" s="29">
        <f>('TE BE'!$T$15+'TE BF'!$T$15+'TE CVA'!$T$15)*1</f>
        <v>0</v>
      </c>
      <c r="S15" s="29">
        <f>('TE BE'!$U$15+'TE BF'!$U$15+'TE CVA'!$U$15)*1</f>
        <v>0</v>
      </c>
      <c r="T15" s="29">
        <f>('TE BE'!$V$15+'TE BF'!$V$15+'TE CVA'!$V$15)*1</f>
        <v>0</v>
      </c>
      <c r="U15" s="29">
        <f>('TE BE'!$X$15+'TE BF'!$X$15+'TE CVA'!$X$15)*1</f>
        <v>0</v>
      </c>
      <c r="V15" s="29">
        <f>('TE BE'!$Z$15+'TE BF'!$Z$15+'TE CVA'!$Z$15)*1</f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141.31893003198601</v>
      </c>
      <c r="AD15" s="29">
        <v>0</v>
      </c>
      <c r="AE15" s="29">
        <v>0</v>
      </c>
      <c r="AF15" s="29">
        <v>0</v>
      </c>
      <c r="AG15" s="29">
        <v>0</v>
      </c>
      <c r="AH15" s="29">
        <v>0</v>
      </c>
    </row>
    <row r="16" spans="1:34" ht="11.25" customHeight="1" x14ac:dyDescent="0.25">
      <c r="A16" s="105"/>
      <c r="B16" s="105"/>
      <c r="C16" s="105"/>
      <c r="D16" s="31" t="s">
        <v>29</v>
      </c>
      <c r="E16" s="31" t="s">
        <v>25</v>
      </c>
      <c r="F16" s="31" t="s">
        <v>25</v>
      </c>
      <c r="G16" s="32" t="s">
        <v>78</v>
      </c>
      <c r="H16" s="32" t="s">
        <v>72</v>
      </c>
      <c r="I16" s="32">
        <f>'MERCADO TE'!$U$13</f>
        <v>0</v>
      </c>
      <c r="J16" s="15"/>
      <c r="L16" s="29">
        <f>('TE BE'!$L$16+'TE BF'!$L$16+'TE CVA'!$L$16)*(1 - 0.65)</f>
        <v>0</v>
      </c>
      <c r="M16" s="29">
        <f>('TE BE'!$M$16+'TE BF'!$M$16+'TE CVA'!$M$16)*(1 - 0.65)</f>
        <v>0</v>
      </c>
      <c r="N16" s="29">
        <f>('TE BE'!$N$16+'TE BF'!$N$16+'TE CVA'!$N$16)*(1 - 0.65)</f>
        <v>0</v>
      </c>
      <c r="O16" s="29">
        <f>('TE BE'!$O$16+'TE BF'!$O$16+'TE CVA'!$O$16)*(1 - 0.65)</f>
        <v>0</v>
      </c>
      <c r="P16" s="29">
        <f>('TE BE'!$P$16+'TE BF'!$P$16+'TE CVA'!$P$16)*(1 - 0.65)</f>
        <v>0</v>
      </c>
      <c r="Q16" s="29">
        <f>('TE BE'!$R$16+'TE BF'!$R$16+'TE CVA'!$R$16)*(1 - 0.65)</f>
        <v>47.532191528466498</v>
      </c>
      <c r="R16" s="29">
        <f>('TE BE'!$T$16+'TE BF'!$T$16+'TE CVA'!$T$16)*(1 - 0.65)</f>
        <v>0</v>
      </c>
      <c r="S16" s="29">
        <f>('TE BE'!$U$16+'TE BF'!$U$16+'TE CVA'!$U$16)*(1 - 0.65)</f>
        <v>0</v>
      </c>
      <c r="T16" s="29">
        <f>('TE BE'!$V$16+'TE BF'!$V$16+'TE CVA'!$V$16)*(1 - 0.65)</f>
        <v>0</v>
      </c>
      <c r="U16" s="29">
        <f>('TE BE'!$X$16+'TE BF'!$X$16+'TE CVA'!$X$16)*(1 - 0.65)</f>
        <v>0</v>
      </c>
      <c r="V16" s="29">
        <f>('TE BE'!$Z$16+'TE BF'!$Z$16+'TE CVA'!$Z$16)*(1 - 0.65)</f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49.461625511195201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</row>
    <row r="17" spans="1:34" ht="11.25" customHeight="1" x14ac:dyDescent="0.25">
      <c r="A17" s="105"/>
      <c r="B17" s="105"/>
      <c r="C17" s="105"/>
      <c r="D17" s="31" t="s">
        <v>30</v>
      </c>
      <c r="E17" s="31" t="s">
        <v>25</v>
      </c>
      <c r="F17" s="31" t="s">
        <v>25</v>
      </c>
      <c r="G17" s="32" t="s">
        <v>78</v>
      </c>
      <c r="H17" s="32" t="s">
        <v>72</v>
      </c>
      <c r="I17" s="32">
        <f>'MERCADO TE'!$U$14</f>
        <v>0</v>
      </c>
      <c r="J17" s="15"/>
      <c r="L17" s="29">
        <f>('TE BE'!$L$17+'TE BF'!$L$17+'TE CVA'!$L$17)*(1 - 0.4)</f>
        <v>0</v>
      </c>
      <c r="M17" s="29">
        <f>('TE BE'!$M$17+'TE BF'!$M$17+'TE CVA'!$M$17)*(1 - 0.4)</f>
        <v>0</v>
      </c>
      <c r="N17" s="29">
        <f>('TE BE'!$N$17+'TE BF'!$N$17+'TE CVA'!$N$17)*(1 - 0.4)</f>
        <v>0</v>
      </c>
      <c r="O17" s="29">
        <f>('TE BE'!$O$17+'TE BF'!$O$17+'TE CVA'!$O$17)*(1 - 0.4)</f>
        <v>0</v>
      </c>
      <c r="P17" s="29">
        <f>('TE BE'!$P$17+'TE BF'!$P$17+'TE CVA'!$P$17)*(1 - 0.4)</f>
        <v>0</v>
      </c>
      <c r="Q17" s="29">
        <f>('TE BE'!$R$17+'TE BF'!$R$17+'TE CVA'!$R$17)*(1 - 0.4)</f>
        <v>81.48375690594257</v>
      </c>
      <c r="R17" s="29">
        <f>('TE BE'!$T$17+'TE BF'!$T$17+'TE CVA'!$T$17)*(1 - 0.4)</f>
        <v>0</v>
      </c>
      <c r="S17" s="29">
        <f>('TE BE'!$U$17+'TE BF'!$U$17+'TE CVA'!$U$17)*(1 - 0.4)</f>
        <v>0</v>
      </c>
      <c r="T17" s="29">
        <f>('TE BE'!$V$17+'TE BF'!$V$17+'TE CVA'!$V$17)*(1 - 0.4)</f>
        <v>0</v>
      </c>
      <c r="U17" s="29">
        <f>('TE BE'!$X$17+'TE BF'!$X$17+'TE CVA'!$X$17)*(1 - 0.4)</f>
        <v>0</v>
      </c>
      <c r="V17" s="29">
        <f>('TE BE'!$Z$17+'TE BF'!$Z$17+'TE CVA'!$Z$17)*(1 - 0.4)</f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84.791358019191705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</row>
    <row r="18" spans="1:34" ht="11.25" customHeight="1" x14ac:dyDescent="0.25">
      <c r="A18" s="105"/>
      <c r="B18" s="105"/>
      <c r="C18" s="105"/>
      <c r="D18" s="31" t="s">
        <v>31</v>
      </c>
      <c r="E18" s="31" t="s">
        <v>25</v>
      </c>
      <c r="F18" s="31" t="s">
        <v>25</v>
      </c>
      <c r="G18" s="32" t="s">
        <v>78</v>
      </c>
      <c r="H18" s="32" t="s">
        <v>72</v>
      </c>
      <c r="I18" s="32">
        <f>'MERCADO TE'!$U$15</f>
        <v>0</v>
      </c>
      <c r="J18" s="15"/>
      <c r="L18" s="29">
        <f>('TE BE'!$L$18+'TE BF'!$L$18+'TE CVA'!$L$18)*(1 - 0.1)</f>
        <v>0</v>
      </c>
      <c r="M18" s="29">
        <f>('TE BE'!$M$18+'TE BF'!$M$18+'TE CVA'!$M$18)*(1 - 0.1)</f>
        <v>0</v>
      </c>
      <c r="N18" s="29">
        <f>('TE BE'!$N$18+'TE BF'!$N$18+'TE CVA'!$N$18)*(1 - 0.1)</f>
        <v>0</v>
      </c>
      <c r="O18" s="29">
        <f>('TE BE'!$O$18+'TE BF'!$O$18+'TE CVA'!$O$18)*(1 - 0.1)</f>
        <v>0</v>
      </c>
      <c r="P18" s="29">
        <f>('TE BE'!$P$18+'TE BF'!$P$18+'TE CVA'!$P$18)*(1 - 0.1)</f>
        <v>0</v>
      </c>
      <c r="Q18" s="29">
        <f>('TE BE'!$R$18+'TE BF'!$R$18+'TE CVA'!$R$18)*(1 - 0.1)</f>
        <v>122.22563535891386</v>
      </c>
      <c r="R18" s="29">
        <f>('TE BE'!$T$18+'TE BF'!$T$18+'TE CVA'!$T$18)*(1 - 0.1)</f>
        <v>0</v>
      </c>
      <c r="S18" s="29">
        <f>('TE BE'!$U$18+'TE BF'!$U$18+'TE CVA'!$U$18)*(1 - 0.1)</f>
        <v>0</v>
      </c>
      <c r="T18" s="29">
        <f>('TE BE'!$V$18+'TE BF'!$V$18+'TE CVA'!$V$18)*(1 - 0.1)</f>
        <v>0</v>
      </c>
      <c r="U18" s="29">
        <f>('TE BE'!$X$18+'TE BF'!$X$18+'TE CVA'!$X$18)*(1 - 0.1)</f>
        <v>0</v>
      </c>
      <c r="V18" s="29">
        <f>('TE BE'!$Z$18+'TE BF'!$Z$18+'TE CVA'!$Z$18)*(1 - 0.1)</f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127.187037028788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</row>
    <row r="19" spans="1:34" ht="11.25" customHeight="1" x14ac:dyDescent="0.25">
      <c r="A19" s="105"/>
      <c r="B19" s="105"/>
      <c r="C19" s="105"/>
      <c r="D19" s="31" t="s">
        <v>32</v>
      </c>
      <c r="E19" s="31" t="s">
        <v>25</v>
      </c>
      <c r="F19" s="31" t="s">
        <v>25</v>
      </c>
      <c r="G19" s="32" t="s">
        <v>78</v>
      </c>
      <c r="H19" s="32" t="s">
        <v>72</v>
      </c>
      <c r="I19" s="32">
        <f>'MERCADO TE'!$U$16</f>
        <v>0</v>
      </c>
      <c r="J19" s="15"/>
      <c r="L19" s="29">
        <f>('TE BE'!$L$19+'TE BF'!$L$19+'TE CVA'!$L$19)*1</f>
        <v>0</v>
      </c>
      <c r="M19" s="29">
        <f>('TE BE'!$M$19+'TE BF'!$M$19+'TE CVA'!$M$19)*1</f>
        <v>0</v>
      </c>
      <c r="N19" s="29">
        <f>('TE BE'!$N$19+'TE BF'!$N$19+'TE CVA'!$N$19)*1</f>
        <v>0</v>
      </c>
      <c r="O19" s="29">
        <f>('TE BE'!$O$19+'TE BF'!$O$19+'TE CVA'!$O$19)*1</f>
        <v>0</v>
      </c>
      <c r="P19" s="29">
        <f>('TE BE'!$P$19+'TE BF'!$P$19+'TE CVA'!$P$19)*1</f>
        <v>0</v>
      </c>
      <c r="Q19" s="29">
        <f>('TE BE'!$R$19+'TE BF'!$R$19+'TE CVA'!$R$19)*1</f>
        <v>135.80626150990429</v>
      </c>
      <c r="R19" s="29">
        <f>('TE BE'!$T$19+'TE BF'!$T$19+'TE CVA'!$T$19)*1</f>
        <v>0</v>
      </c>
      <c r="S19" s="29">
        <f>('TE BE'!$U$19+'TE BF'!$U$19+'TE CVA'!$U$19)*1</f>
        <v>0</v>
      </c>
      <c r="T19" s="29">
        <f>('TE BE'!$V$19+'TE BF'!$V$19+'TE CVA'!$V$19)*1</f>
        <v>0</v>
      </c>
      <c r="U19" s="29">
        <f>('TE BE'!$X$19+'TE BF'!$X$19+'TE CVA'!$X$19)*1</f>
        <v>0</v>
      </c>
      <c r="V19" s="29">
        <f>('TE BE'!$Z$19+'TE BF'!$Z$19+'TE CVA'!$Z$19)*1</f>
        <v>0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29">
        <v>141.31893003198601</v>
      </c>
      <c r="AD19" s="29">
        <v>0</v>
      </c>
      <c r="AE19" s="29">
        <v>0</v>
      </c>
      <c r="AF19" s="29">
        <v>0</v>
      </c>
      <c r="AG19" s="29">
        <v>0</v>
      </c>
      <c r="AH19" s="29">
        <v>0</v>
      </c>
    </row>
    <row r="20" spans="1:34" ht="11.25" customHeight="1" x14ac:dyDescent="0.25">
      <c r="A20" s="105" t="s">
        <v>40</v>
      </c>
      <c r="B20" s="105" t="s">
        <v>71</v>
      </c>
      <c r="C20" s="105" t="s">
        <v>41</v>
      </c>
      <c r="D20" s="105" t="s">
        <v>25</v>
      </c>
      <c r="E20" s="105" t="s">
        <v>25</v>
      </c>
      <c r="F20" s="105" t="s">
        <v>25</v>
      </c>
      <c r="G20" s="32" t="s">
        <v>73</v>
      </c>
      <c r="H20" s="32" t="s">
        <v>72</v>
      </c>
      <c r="I20" s="32">
        <f>'MERCADO TE'!$U$17</f>
        <v>0</v>
      </c>
      <c r="J20" s="15"/>
      <c r="L20" s="29">
        <f>('TE BE'!$L$20+'TE BF'!$L$20+'TE CVA'!$L$20)*(1 - CUSTOS!$M$38)</f>
        <v>0</v>
      </c>
      <c r="M20" s="29">
        <f>('TE BE'!$M$20+'TE BF'!$M$20+'TE CVA'!$M$20)*(1 - CUSTOS!$M$38)</f>
        <v>0</v>
      </c>
      <c r="N20" s="29">
        <f>('TE BE'!$N$20+'TE BF'!$N$20+'TE CVA'!$N$20)*(1 - CUSTOS!$M$38)</f>
        <v>0</v>
      </c>
      <c r="O20" s="29">
        <f>('TE BE'!$O$20+'TE BF'!$O$20+'TE CVA'!$O$20)*(1 - CUSTOS!$M$38)</f>
        <v>0</v>
      </c>
      <c r="P20" s="29">
        <f>('TE BE'!$P$20+'TE BF'!$P$20+'TE CVA'!$P$20)*(1 - CUSTOS!$M$38)</f>
        <v>0</v>
      </c>
      <c r="Q20" s="29">
        <f>('TE BE'!$R$20+'TE BF'!$R$20+'TE CVA'!$R$20)*(1 - CUSTOS!$M$38)</f>
        <v>127.65788581931002</v>
      </c>
      <c r="R20" s="29">
        <f>('TE BE'!$T$20+'TE BF'!$T$20+'TE CVA'!$T$20)*(1 - CUSTOS!$M$38)</f>
        <v>0</v>
      </c>
      <c r="S20" s="29">
        <f>('TE BE'!$U$20+'TE BF'!$U$20+'TE CVA'!$U$20)*(1 - CUSTOS!$M$38)</f>
        <v>0</v>
      </c>
      <c r="T20" s="29">
        <f>('TE BE'!$V$20+'TE BF'!$V$20+'TE CVA'!$V$20)*(1 - CUSTOS!$M$38)</f>
        <v>0</v>
      </c>
      <c r="U20" s="29">
        <f>('TE BE'!$X$20+'TE BF'!$X$20+'TE CVA'!$X$20)*(1 - CUSTOS!$M$38)</f>
        <v>0</v>
      </c>
      <c r="V20" s="29">
        <f>('TE BE'!$Z$20+'TE BF'!$Z$20+'TE CVA'!$Z$20)*(1 - CUSTOS!$M$38)</f>
        <v>0</v>
      </c>
      <c r="X20" s="29">
        <v>0</v>
      </c>
      <c r="Y20" s="29">
        <v>0</v>
      </c>
      <c r="Z20" s="29">
        <v>0</v>
      </c>
      <c r="AA20" s="29">
        <v>0</v>
      </c>
      <c r="AB20" s="29">
        <v>0</v>
      </c>
      <c r="AC20" s="29">
        <v>124.360658428148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</row>
    <row r="21" spans="1:34" ht="11.25" customHeight="1" x14ac:dyDescent="0.25">
      <c r="A21" s="105"/>
      <c r="B21" s="105"/>
      <c r="C21" s="105"/>
      <c r="D21" s="105"/>
      <c r="E21" s="105"/>
      <c r="F21" s="105"/>
      <c r="G21" s="32" t="s">
        <v>83</v>
      </c>
      <c r="H21" s="32" t="s">
        <v>72</v>
      </c>
      <c r="I21" s="32">
        <f>'MERCADO TE'!$U$18</f>
        <v>0</v>
      </c>
      <c r="J21" s="15"/>
      <c r="L21" s="29">
        <f>('TE BE'!$L$21+'TE BF'!$L$21+'TE CVA'!$L$21)*(1 - CUSTOS!$M$38)</f>
        <v>0</v>
      </c>
      <c r="M21" s="29">
        <f>('TE BE'!$M$21+'TE BF'!$M$21+'TE CVA'!$M$21)*(1 - CUSTOS!$M$38)</f>
        <v>0</v>
      </c>
      <c r="N21" s="29">
        <f>('TE BE'!$N$21+'TE BF'!$N$21+'TE CVA'!$N$21)*(1 - CUSTOS!$M$38)</f>
        <v>0</v>
      </c>
      <c r="O21" s="29">
        <f>('TE BE'!$O$21+'TE BF'!$O$21+'TE CVA'!$O$21)*(1 - CUSTOS!$M$38)</f>
        <v>0</v>
      </c>
      <c r="P21" s="29">
        <f>('TE BE'!$P$21+'TE BF'!$P$21+'TE CVA'!$P$21)*(1 - CUSTOS!$M$38)</f>
        <v>0</v>
      </c>
      <c r="Q21" s="29">
        <f>('TE BE'!$R$21+'TE BF'!$R$21+'TE CVA'!$R$21)*(1 - CUSTOS!$M$38)</f>
        <v>127.65788581931002</v>
      </c>
      <c r="R21" s="29">
        <f>('TE BE'!$T$21+'TE BF'!$T$21+'TE CVA'!$T$21)*(1 - CUSTOS!$M$38)</f>
        <v>0</v>
      </c>
      <c r="S21" s="29">
        <f>('TE BE'!$U$21+'TE BF'!$U$21+'TE CVA'!$U$21)*(1 - CUSTOS!$M$38)</f>
        <v>0</v>
      </c>
      <c r="T21" s="29">
        <f>('TE BE'!$V$21+'TE BF'!$V$21+'TE CVA'!$V$21)*(1 - CUSTOS!$M$38)</f>
        <v>0</v>
      </c>
      <c r="U21" s="29">
        <f>('TE BE'!$X$21+'TE BF'!$X$21+'TE CVA'!$X$21)*(1 - CUSTOS!$M$38)</f>
        <v>0</v>
      </c>
      <c r="V21" s="29">
        <f>('TE BE'!$Z$21+'TE BF'!$Z$21+'TE CVA'!$Z$21)*(1 - CUSTOS!$M$38)</f>
        <v>0</v>
      </c>
      <c r="X21" s="29">
        <v>0</v>
      </c>
      <c r="Y21" s="29">
        <v>0</v>
      </c>
      <c r="Z21" s="29">
        <v>0</v>
      </c>
      <c r="AA21" s="29">
        <v>0</v>
      </c>
      <c r="AB21" s="29">
        <v>0</v>
      </c>
      <c r="AC21" s="29">
        <v>124.360658428148</v>
      </c>
      <c r="AD21" s="29">
        <v>0</v>
      </c>
      <c r="AE21" s="29">
        <v>0</v>
      </c>
      <c r="AF21" s="29">
        <v>0</v>
      </c>
      <c r="AG21" s="29">
        <v>0</v>
      </c>
      <c r="AH21" s="29">
        <v>0</v>
      </c>
    </row>
    <row r="22" spans="1:34" ht="11.25" customHeight="1" x14ac:dyDescent="0.25">
      <c r="A22" s="105"/>
      <c r="B22" s="105"/>
      <c r="C22" s="105"/>
      <c r="D22" s="105"/>
      <c r="E22" s="105"/>
      <c r="F22" s="105"/>
      <c r="G22" s="32" t="s">
        <v>74</v>
      </c>
      <c r="H22" s="32" t="s">
        <v>72</v>
      </c>
      <c r="I22" s="32">
        <f>'MERCADO TE'!$U$19</f>
        <v>0</v>
      </c>
      <c r="J22" s="15"/>
      <c r="L22" s="29">
        <f>('TE BE'!$L$22+'TE BF'!$L$22+'TE CVA'!$L$22)*(1 - CUSTOS!$M$38)</f>
        <v>0</v>
      </c>
      <c r="M22" s="29">
        <f>('TE BE'!$M$22+'TE BF'!$M$22+'TE CVA'!$M$22)*(1 - CUSTOS!$M$38)</f>
        <v>0</v>
      </c>
      <c r="N22" s="29">
        <f>('TE BE'!$N$22+'TE BF'!$N$22+'TE CVA'!$N$22)*(1 - CUSTOS!$M$38)</f>
        <v>0</v>
      </c>
      <c r="O22" s="29">
        <f>('TE BE'!$O$22+'TE BF'!$O$22+'TE CVA'!$O$22)*(1 - CUSTOS!$M$38)</f>
        <v>0</v>
      </c>
      <c r="P22" s="29">
        <f>('TE BE'!$P$22+'TE BF'!$P$22+'TE CVA'!$P$22)*(1 - CUSTOS!$M$38)</f>
        <v>0</v>
      </c>
      <c r="Q22" s="29">
        <f>('TE BE'!$R$22+'TE BF'!$R$22+'TE CVA'!$R$22)*(1 - CUSTOS!$M$38)</f>
        <v>127.65788581931002</v>
      </c>
      <c r="R22" s="29">
        <f>('TE BE'!$T$22+'TE BF'!$T$22+'TE CVA'!$T$22)*(1 - CUSTOS!$M$38)</f>
        <v>0</v>
      </c>
      <c r="S22" s="29">
        <f>('TE BE'!$U$22+'TE BF'!$U$22+'TE CVA'!$U$22)*(1 - CUSTOS!$M$38)</f>
        <v>0</v>
      </c>
      <c r="T22" s="29">
        <f>('TE BE'!$V$22+'TE BF'!$V$22+'TE CVA'!$V$22)*(1 - CUSTOS!$M$38)</f>
        <v>0</v>
      </c>
      <c r="U22" s="29">
        <f>('TE BE'!$X$22+'TE BF'!$X$22+'TE CVA'!$X$22)*(1 - CUSTOS!$M$38)</f>
        <v>0</v>
      </c>
      <c r="V22" s="29">
        <f>('TE BE'!$Z$22+'TE BF'!$Z$22+'TE CVA'!$Z$22)*(1 - CUSTOS!$M$38)</f>
        <v>0</v>
      </c>
      <c r="X22" s="29">
        <v>0</v>
      </c>
      <c r="Y22" s="29">
        <v>0</v>
      </c>
      <c r="Z22" s="29">
        <v>0</v>
      </c>
      <c r="AA22" s="29">
        <v>0</v>
      </c>
      <c r="AB22" s="29">
        <v>0</v>
      </c>
      <c r="AC22" s="29">
        <v>124.360658428148</v>
      </c>
      <c r="AD22" s="29">
        <v>0</v>
      </c>
      <c r="AE22" s="29">
        <v>0</v>
      </c>
      <c r="AF22" s="29">
        <v>0</v>
      </c>
      <c r="AG22" s="29">
        <v>0</v>
      </c>
      <c r="AH22" s="29">
        <v>0</v>
      </c>
    </row>
    <row r="23" spans="1:34" ht="11.25" customHeight="1" x14ac:dyDescent="0.25">
      <c r="A23" s="105"/>
      <c r="B23" s="31" t="s">
        <v>84</v>
      </c>
      <c r="C23" s="31" t="s">
        <v>41</v>
      </c>
      <c r="D23" s="31" t="s">
        <v>25</v>
      </c>
      <c r="E23" s="31" t="s">
        <v>25</v>
      </c>
      <c r="F23" s="31" t="s">
        <v>25</v>
      </c>
      <c r="G23" s="32" t="s">
        <v>78</v>
      </c>
      <c r="H23" s="32" t="s">
        <v>72</v>
      </c>
      <c r="I23" s="32">
        <f>'MERCADO TE'!$U$20</f>
        <v>40057.667999999998</v>
      </c>
      <c r="J23" s="15"/>
      <c r="L23" s="29">
        <f>('TE BE'!$L$23+'TE BF'!$L$23+'TE CVA'!$L$23)*(1 - CUSTOS!$M$38)</f>
        <v>0</v>
      </c>
      <c r="M23" s="29">
        <f>('TE BE'!$M$23+'TE BF'!$M$23+'TE CVA'!$M$23)*(1 - CUSTOS!$M$38)</f>
        <v>0</v>
      </c>
      <c r="N23" s="29">
        <f>('TE BE'!$N$23+'TE BF'!$N$23+'TE CVA'!$N$23)*(1 - CUSTOS!$M$38)</f>
        <v>0</v>
      </c>
      <c r="O23" s="29">
        <f>('TE BE'!$O$23+'TE BF'!$O$23+'TE CVA'!$O$23)*(1 - CUSTOS!$M$38)</f>
        <v>0</v>
      </c>
      <c r="P23" s="29">
        <f>('TE BE'!$P$23+'TE BF'!$P$23+'TE CVA'!$P$23)*(1 - CUSTOS!$M$38)</f>
        <v>0</v>
      </c>
      <c r="Q23" s="29">
        <f>('TE BE'!$R$23+'TE BF'!$R$23+'TE CVA'!$R$23)*(1 - CUSTOS!$M$38)</f>
        <v>127.65788581931002</v>
      </c>
      <c r="R23" s="29">
        <f>('TE BE'!$T$23+'TE BF'!$T$23+'TE CVA'!$T$23)*(1 - CUSTOS!$M$38)</f>
        <v>0</v>
      </c>
      <c r="S23" s="29">
        <f>('TE BE'!$U$23+'TE BF'!$U$23+'TE CVA'!$U$23)*(1 - CUSTOS!$M$38)</f>
        <v>0</v>
      </c>
      <c r="T23" s="29">
        <f>('TE BE'!$V$23+'TE BF'!$V$23+'TE CVA'!$V$23)*(1 - CUSTOS!$M$38)</f>
        <v>0</v>
      </c>
      <c r="U23" s="29">
        <f>('TE BE'!$X$23+'TE BF'!$X$23+'TE CVA'!$X$23)*(1 - CUSTOS!$M$38)</f>
        <v>0</v>
      </c>
      <c r="V23" s="29">
        <f>('TE BE'!$Z$23+'TE BF'!$Z$23+'TE CVA'!$Z$23)*(1 - CUSTOS!$M$38)</f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124.360658428148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</row>
    <row r="24" spans="1:34" ht="11.25" customHeight="1" x14ac:dyDescent="0.25">
      <c r="A24" s="105"/>
      <c r="B24" s="105" t="s">
        <v>71</v>
      </c>
      <c r="C24" s="105" t="s">
        <v>41</v>
      </c>
      <c r="D24" s="105" t="s">
        <v>88</v>
      </c>
      <c r="E24" s="105" t="s">
        <v>25</v>
      </c>
      <c r="F24" s="105" t="s">
        <v>25</v>
      </c>
      <c r="G24" s="32" t="s">
        <v>73</v>
      </c>
      <c r="H24" s="32" t="s">
        <v>72</v>
      </c>
      <c r="I24" s="32">
        <f>'MERCADO TE'!$U$21</f>
        <v>0</v>
      </c>
      <c r="J24" s="15"/>
      <c r="L24" s="29">
        <f>('TE BE'!$L$24+'TE BF'!$L$24+'TE CVA'!$L$24)*(1 - CUSTOS!$M$39)</f>
        <v>0</v>
      </c>
      <c r="M24" s="29">
        <f>('TE BE'!$M$24+'TE BF'!$M$24+'TE CVA'!$M$24)*(1 - CUSTOS!$M$39)</f>
        <v>0</v>
      </c>
      <c r="N24" s="29">
        <f>('TE BE'!$N$24+'TE BF'!$N$24+'TE CVA'!$N$24)*(1 - CUSTOS!$M$39)</f>
        <v>0</v>
      </c>
      <c r="O24" s="29">
        <f>('TE BE'!$O$24+'TE BF'!$O$24+'TE CVA'!$O$24)*(1 - CUSTOS!$M$39)</f>
        <v>0</v>
      </c>
      <c r="P24" s="29">
        <f>('TE BE'!$P$24+'TE BF'!$P$24+'TE CVA'!$P$24)*(1 - CUSTOS!$M$39)</f>
        <v>0</v>
      </c>
      <c r="Q24" s="29">
        <f>('TE BE'!$R$24+'TE BF'!$R$24+'TE CVA'!$R$24)*(1 - CUSTOS!$M$39)</f>
        <v>127.65788581931002</v>
      </c>
      <c r="R24" s="29">
        <f>('TE BE'!$T$24+'TE BF'!$T$24+'TE CVA'!$T$24)*(1 - CUSTOS!$M$39)</f>
        <v>0</v>
      </c>
      <c r="S24" s="29">
        <f>('TE BE'!$U$24+'TE BF'!$U$24+'TE CVA'!$U$24)*(1 - CUSTOS!$M$39)</f>
        <v>0</v>
      </c>
      <c r="T24" s="29">
        <f>('TE BE'!$V$24+'TE BF'!$V$24+'TE CVA'!$V$24)*(1 - CUSTOS!$M$39)</f>
        <v>0</v>
      </c>
      <c r="U24" s="29">
        <f>('TE BE'!$X$24+'TE BF'!$X$24+'TE CVA'!$X$24)*(1 - CUSTOS!$M$39)</f>
        <v>0</v>
      </c>
      <c r="V24" s="29">
        <f>('TE BE'!$Z$24+'TE BF'!$Z$24+'TE CVA'!$Z$24)*(1 - CUSTOS!$M$39)</f>
        <v>0</v>
      </c>
      <c r="X24" s="29">
        <v>0</v>
      </c>
      <c r="Y24" s="29">
        <v>0</v>
      </c>
      <c r="Z24" s="29">
        <v>0</v>
      </c>
      <c r="AA24" s="29">
        <v>0</v>
      </c>
      <c r="AB24" s="29">
        <v>0</v>
      </c>
      <c r="AC24" s="29">
        <v>124.360658428148</v>
      </c>
      <c r="AD24" s="29">
        <v>0</v>
      </c>
      <c r="AE24" s="29">
        <v>0</v>
      </c>
      <c r="AF24" s="29">
        <v>0</v>
      </c>
      <c r="AG24" s="29">
        <v>0</v>
      </c>
      <c r="AH24" s="29">
        <v>0</v>
      </c>
    </row>
    <row r="25" spans="1:34" ht="11.25" customHeight="1" x14ac:dyDescent="0.25">
      <c r="A25" s="105"/>
      <c r="B25" s="105"/>
      <c r="C25" s="105"/>
      <c r="D25" s="105"/>
      <c r="E25" s="105"/>
      <c r="F25" s="105"/>
      <c r="G25" s="32" t="s">
        <v>83</v>
      </c>
      <c r="H25" s="32" t="s">
        <v>72</v>
      </c>
      <c r="I25" s="32">
        <f>'MERCADO TE'!$U$22</f>
        <v>0</v>
      </c>
      <c r="J25" s="15"/>
      <c r="L25" s="29">
        <f>('TE BE'!$L$25+'TE BF'!$L$25+'TE CVA'!$L$25)*(1 - CUSTOS!$M$39)</f>
        <v>0</v>
      </c>
      <c r="M25" s="29">
        <f>('TE BE'!$M$25+'TE BF'!$M$25+'TE CVA'!$M$25)*(1 - CUSTOS!$M$39)</f>
        <v>0</v>
      </c>
      <c r="N25" s="29">
        <f>('TE BE'!$N$25+'TE BF'!$N$25+'TE CVA'!$N$25)*(1 - CUSTOS!$M$39)</f>
        <v>0</v>
      </c>
      <c r="O25" s="29">
        <f>('TE BE'!$O$25+'TE BF'!$O$25+'TE CVA'!$O$25)*(1 - CUSTOS!$M$39)</f>
        <v>0</v>
      </c>
      <c r="P25" s="29">
        <f>('TE BE'!$P$25+'TE BF'!$P$25+'TE CVA'!$P$25)*(1 - CUSTOS!$M$39)</f>
        <v>0</v>
      </c>
      <c r="Q25" s="29">
        <f>('TE BE'!$R$25+'TE BF'!$R$25+'TE CVA'!$R$25)*(1 - CUSTOS!$M$39)</f>
        <v>127.65788581931002</v>
      </c>
      <c r="R25" s="29">
        <f>('TE BE'!$T$25+'TE BF'!$T$25+'TE CVA'!$T$25)*(1 - CUSTOS!$M$39)</f>
        <v>0</v>
      </c>
      <c r="S25" s="29">
        <f>('TE BE'!$U$25+'TE BF'!$U$25+'TE CVA'!$U$25)*(1 - CUSTOS!$M$39)</f>
        <v>0</v>
      </c>
      <c r="T25" s="29">
        <f>('TE BE'!$V$25+'TE BF'!$V$25+'TE CVA'!$V$25)*(1 - CUSTOS!$M$39)</f>
        <v>0</v>
      </c>
      <c r="U25" s="29">
        <f>('TE BE'!$X$25+'TE BF'!$X$25+'TE CVA'!$X$25)*(1 - CUSTOS!$M$39)</f>
        <v>0</v>
      </c>
      <c r="V25" s="29">
        <f>('TE BE'!$Z$25+'TE BF'!$Z$25+'TE CVA'!$Z$25)*(1 - CUSTOS!$M$39)</f>
        <v>0</v>
      </c>
      <c r="X25" s="29">
        <v>0</v>
      </c>
      <c r="Y25" s="29">
        <v>0</v>
      </c>
      <c r="Z25" s="29">
        <v>0</v>
      </c>
      <c r="AA25" s="29">
        <v>0</v>
      </c>
      <c r="AB25" s="29">
        <v>0</v>
      </c>
      <c r="AC25" s="29">
        <v>124.360658428148</v>
      </c>
      <c r="AD25" s="29">
        <v>0</v>
      </c>
      <c r="AE25" s="29">
        <v>0</v>
      </c>
      <c r="AF25" s="29">
        <v>0</v>
      </c>
      <c r="AG25" s="29">
        <v>0</v>
      </c>
      <c r="AH25" s="29">
        <v>0</v>
      </c>
    </row>
    <row r="26" spans="1:34" ht="11.25" customHeight="1" x14ac:dyDescent="0.25">
      <c r="A26" s="105"/>
      <c r="B26" s="105"/>
      <c r="C26" s="105"/>
      <c r="D26" s="105"/>
      <c r="E26" s="105"/>
      <c r="F26" s="105"/>
      <c r="G26" s="32" t="s">
        <v>74</v>
      </c>
      <c r="H26" s="32" t="s">
        <v>72</v>
      </c>
      <c r="I26" s="32">
        <f>'MERCADO TE'!$U$23</f>
        <v>0</v>
      </c>
      <c r="J26" s="15"/>
      <c r="L26" s="29">
        <f>('TE BE'!$L$26+'TE BF'!$L$26+'TE CVA'!$L$26)*(1 - CUSTOS!$M$39)</f>
        <v>0</v>
      </c>
      <c r="M26" s="29">
        <f>('TE BE'!$M$26+'TE BF'!$M$26+'TE CVA'!$M$26)*(1 - CUSTOS!$M$39)</f>
        <v>0</v>
      </c>
      <c r="N26" s="29">
        <f>('TE BE'!$N$26+'TE BF'!$N$26+'TE CVA'!$N$26)*(1 - CUSTOS!$M$39)</f>
        <v>0</v>
      </c>
      <c r="O26" s="29">
        <f>('TE BE'!$O$26+'TE BF'!$O$26+'TE CVA'!$O$26)*(1 - CUSTOS!$M$39)</f>
        <v>0</v>
      </c>
      <c r="P26" s="29">
        <f>('TE BE'!$P$26+'TE BF'!$P$26+'TE CVA'!$P$26)*(1 - CUSTOS!$M$39)</f>
        <v>0</v>
      </c>
      <c r="Q26" s="29">
        <f>('TE BE'!$R$26+'TE BF'!$R$26+'TE CVA'!$R$26)*(1 - CUSTOS!$M$39)</f>
        <v>127.65788581931002</v>
      </c>
      <c r="R26" s="29">
        <f>('TE BE'!$T$26+'TE BF'!$T$26+'TE CVA'!$T$26)*(1 - CUSTOS!$M$39)</f>
        <v>0</v>
      </c>
      <c r="S26" s="29">
        <f>('TE BE'!$U$26+'TE BF'!$U$26+'TE CVA'!$U$26)*(1 - CUSTOS!$M$39)</f>
        <v>0</v>
      </c>
      <c r="T26" s="29">
        <f>('TE BE'!$V$26+'TE BF'!$V$26+'TE CVA'!$V$26)*(1 - CUSTOS!$M$39)</f>
        <v>0</v>
      </c>
      <c r="U26" s="29">
        <f>('TE BE'!$X$26+'TE BF'!$X$26+'TE CVA'!$X$26)*(1 - CUSTOS!$M$39)</f>
        <v>0</v>
      </c>
      <c r="V26" s="29">
        <f>('TE BE'!$Z$26+'TE BF'!$Z$26+'TE CVA'!$Z$26)*(1 - CUSTOS!$M$39)</f>
        <v>0</v>
      </c>
      <c r="X26" s="29">
        <v>0</v>
      </c>
      <c r="Y26" s="29">
        <v>0</v>
      </c>
      <c r="Z26" s="29">
        <v>0</v>
      </c>
      <c r="AA26" s="29">
        <v>0</v>
      </c>
      <c r="AB26" s="29">
        <v>0</v>
      </c>
      <c r="AC26" s="29">
        <v>124.360658428148</v>
      </c>
      <c r="AD26" s="29">
        <v>0</v>
      </c>
      <c r="AE26" s="29">
        <v>0</v>
      </c>
      <c r="AF26" s="29">
        <v>0</v>
      </c>
      <c r="AG26" s="29">
        <v>0</v>
      </c>
      <c r="AH26" s="29">
        <v>0</v>
      </c>
    </row>
    <row r="27" spans="1:34" ht="11.25" customHeight="1" x14ac:dyDescent="0.25">
      <c r="A27" s="105"/>
      <c r="B27" s="31" t="s">
        <v>84</v>
      </c>
      <c r="C27" s="31" t="s">
        <v>41</v>
      </c>
      <c r="D27" s="31" t="s">
        <v>88</v>
      </c>
      <c r="E27" s="31" t="s">
        <v>25</v>
      </c>
      <c r="F27" s="31" t="s">
        <v>25</v>
      </c>
      <c r="G27" s="32" t="s">
        <v>78</v>
      </c>
      <c r="H27" s="32" t="s">
        <v>72</v>
      </c>
      <c r="I27" s="32">
        <f>'MERCADO TE'!$U$24</f>
        <v>0</v>
      </c>
      <c r="J27" s="15"/>
      <c r="L27" s="29">
        <f>('TE BE'!$L$27+'TE BF'!$L$27+'TE CVA'!$L$27)*(1 - CUSTOS!$M$39)</f>
        <v>0</v>
      </c>
      <c r="M27" s="29">
        <f>('TE BE'!$M$27+'TE BF'!$M$27+'TE CVA'!$M$27)*(1 - CUSTOS!$M$39)</f>
        <v>0</v>
      </c>
      <c r="N27" s="29">
        <f>('TE BE'!$N$27+'TE BF'!$N$27+'TE CVA'!$N$27)*(1 - CUSTOS!$M$39)</f>
        <v>0</v>
      </c>
      <c r="O27" s="29">
        <f>('TE BE'!$O$27+'TE BF'!$O$27+'TE CVA'!$O$27)*(1 - CUSTOS!$M$39)</f>
        <v>0</v>
      </c>
      <c r="P27" s="29">
        <f>('TE BE'!$P$27+'TE BF'!$P$27+'TE CVA'!$P$27)*(1 - CUSTOS!$M$39)</f>
        <v>0</v>
      </c>
      <c r="Q27" s="29">
        <f>('TE BE'!$R$27+'TE BF'!$R$27+'TE CVA'!$R$27)*(1 - CUSTOS!$M$39)</f>
        <v>127.65788581931002</v>
      </c>
      <c r="R27" s="29">
        <f>('TE BE'!$T$27+'TE BF'!$T$27+'TE CVA'!$T$27)*(1 - CUSTOS!$M$39)</f>
        <v>0</v>
      </c>
      <c r="S27" s="29">
        <f>('TE BE'!$U$27+'TE BF'!$U$27+'TE CVA'!$U$27)*(1 - CUSTOS!$M$39)</f>
        <v>0</v>
      </c>
      <c r="T27" s="29">
        <f>('TE BE'!$V$27+'TE BF'!$V$27+'TE CVA'!$V$27)*(1 - CUSTOS!$M$39)</f>
        <v>0</v>
      </c>
      <c r="U27" s="29">
        <f>('TE BE'!$X$27+'TE BF'!$X$27+'TE CVA'!$X$27)*(1 - CUSTOS!$M$39)</f>
        <v>0</v>
      </c>
      <c r="V27" s="29">
        <f>('TE BE'!$Z$27+'TE BF'!$Z$27+'TE CVA'!$Z$27)*(1 - CUSTOS!$M$39)</f>
        <v>0</v>
      </c>
      <c r="X27" s="29">
        <v>0</v>
      </c>
      <c r="Y27" s="29">
        <v>0</v>
      </c>
      <c r="Z27" s="29">
        <v>0</v>
      </c>
      <c r="AA27" s="29">
        <v>0</v>
      </c>
      <c r="AB27" s="29">
        <v>0</v>
      </c>
      <c r="AC27" s="29">
        <v>124.360658428148</v>
      </c>
      <c r="AD27" s="29">
        <v>0</v>
      </c>
      <c r="AE27" s="29">
        <v>0</v>
      </c>
      <c r="AF27" s="29">
        <v>0</v>
      </c>
      <c r="AG27" s="29">
        <v>0</v>
      </c>
      <c r="AH27" s="29">
        <v>0</v>
      </c>
    </row>
    <row r="28" spans="1:34" ht="11.25" customHeight="1" x14ac:dyDescent="0.25">
      <c r="A28" s="105"/>
      <c r="B28" s="105" t="s">
        <v>71</v>
      </c>
      <c r="C28" s="105" t="s">
        <v>41</v>
      </c>
      <c r="D28" s="105" t="s">
        <v>89</v>
      </c>
      <c r="E28" s="105" t="s">
        <v>25</v>
      </c>
      <c r="F28" s="105" t="s">
        <v>25</v>
      </c>
      <c r="G28" s="32" t="s">
        <v>73</v>
      </c>
      <c r="H28" s="32" t="s">
        <v>72</v>
      </c>
      <c r="I28" s="32">
        <f>'MERCADO TE'!$U$25</f>
        <v>0</v>
      </c>
      <c r="J28" s="15"/>
      <c r="L28" s="29">
        <f>('TE BE'!$L$28+'TE BF'!$L$28+'TE CVA'!$L$28)*(1 - CUSTOS!$M$40)</f>
        <v>0</v>
      </c>
      <c r="M28" s="29">
        <f>('TE BE'!$M$28+'TE BF'!$M$28+'TE CVA'!$M$28)*(1 - CUSTOS!$M$40)</f>
        <v>0</v>
      </c>
      <c r="N28" s="29">
        <f>('TE BE'!$N$28+'TE BF'!$N$28+'TE CVA'!$N$28)*(1 - CUSTOS!$M$40)</f>
        <v>0</v>
      </c>
      <c r="O28" s="29">
        <f>('TE BE'!$O$28+'TE BF'!$O$28+'TE CVA'!$O$28)*(1 - CUSTOS!$M$40)</f>
        <v>0</v>
      </c>
      <c r="P28" s="29">
        <f>('TE BE'!$P$28+'TE BF'!$P$28+'TE CVA'!$P$28)*(1 - CUSTOS!$M$40)</f>
        <v>0</v>
      </c>
      <c r="Q28" s="29">
        <f>('TE BE'!$R$28+'TE BF'!$R$28+'TE CVA'!$R$28)*(1 - CUSTOS!$M$40)</f>
        <v>124.94176058911195</v>
      </c>
      <c r="R28" s="29">
        <f>('TE BE'!$T$28+'TE BF'!$T$28+'TE CVA'!$T$28)*(1 - CUSTOS!$M$40)</f>
        <v>0</v>
      </c>
      <c r="S28" s="29">
        <f>('TE BE'!$U$28+'TE BF'!$U$28+'TE CVA'!$U$28)*(1 - CUSTOS!$M$40)</f>
        <v>0</v>
      </c>
      <c r="T28" s="29">
        <f>('TE BE'!$V$28+'TE BF'!$V$28+'TE CVA'!$V$28)*(1 - CUSTOS!$M$40)</f>
        <v>0</v>
      </c>
      <c r="U28" s="29">
        <f>('TE BE'!$X$28+'TE BF'!$X$28+'TE CVA'!$X$28)*(1 - CUSTOS!$M$40)</f>
        <v>0</v>
      </c>
      <c r="V28" s="29">
        <f>('TE BE'!$Z$28+'TE BF'!$Z$28+'TE CVA'!$Z$28)*(1 - CUSTOS!$M$40)</f>
        <v>0</v>
      </c>
      <c r="X28" s="29">
        <v>0</v>
      </c>
      <c r="Y28" s="29">
        <v>0</v>
      </c>
      <c r="Z28" s="29">
        <v>0</v>
      </c>
      <c r="AA28" s="29">
        <v>0</v>
      </c>
      <c r="AB28" s="29">
        <v>0</v>
      </c>
      <c r="AC28" s="29">
        <v>118.707901226868</v>
      </c>
      <c r="AD28" s="29">
        <v>0</v>
      </c>
      <c r="AE28" s="29">
        <v>0</v>
      </c>
      <c r="AF28" s="29">
        <v>0</v>
      </c>
      <c r="AG28" s="29">
        <v>0</v>
      </c>
      <c r="AH28" s="29">
        <v>0</v>
      </c>
    </row>
    <row r="29" spans="1:34" ht="11.25" customHeight="1" x14ac:dyDescent="0.25">
      <c r="A29" s="105"/>
      <c r="B29" s="105"/>
      <c r="C29" s="105"/>
      <c r="D29" s="105"/>
      <c r="E29" s="105"/>
      <c r="F29" s="105"/>
      <c r="G29" s="32" t="s">
        <v>83</v>
      </c>
      <c r="H29" s="32" t="s">
        <v>72</v>
      </c>
      <c r="I29" s="32">
        <f>'MERCADO TE'!$U$26</f>
        <v>0</v>
      </c>
      <c r="J29" s="15"/>
      <c r="L29" s="29">
        <f>('TE BE'!$L$29+'TE BF'!$L$29+'TE CVA'!$L$29)*(1 - CUSTOS!$M$40)</f>
        <v>0</v>
      </c>
      <c r="M29" s="29">
        <f>('TE BE'!$M$29+'TE BF'!$M$29+'TE CVA'!$M$29)*(1 - CUSTOS!$M$40)</f>
        <v>0</v>
      </c>
      <c r="N29" s="29">
        <f>('TE BE'!$N$29+'TE BF'!$N$29+'TE CVA'!$N$29)*(1 - CUSTOS!$M$40)</f>
        <v>0</v>
      </c>
      <c r="O29" s="29">
        <f>('TE BE'!$O$29+'TE BF'!$O$29+'TE CVA'!$O$29)*(1 - CUSTOS!$M$40)</f>
        <v>0</v>
      </c>
      <c r="P29" s="29">
        <f>('TE BE'!$P$29+'TE BF'!$P$29+'TE CVA'!$P$29)*(1 - CUSTOS!$M$40)</f>
        <v>0</v>
      </c>
      <c r="Q29" s="29">
        <f>('TE BE'!$R$29+'TE BF'!$R$29+'TE CVA'!$R$29)*(1 - CUSTOS!$M$40)</f>
        <v>124.94176058911195</v>
      </c>
      <c r="R29" s="29">
        <f>('TE BE'!$T$29+'TE BF'!$T$29+'TE CVA'!$T$29)*(1 - CUSTOS!$M$40)</f>
        <v>0</v>
      </c>
      <c r="S29" s="29">
        <f>('TE BE'!$U$29+'TE BF'!$U$29+'TE CVA'!$U$29)*(1 - CUSTOS!$M$40)</f>
        <v>0</v>
      </c>
      <c r="T29" s="29">
        <f>('TE BE'!$V$29+'TE BF'!$V$29+'TE CVA'!$V$29)*(1 - CUSTOS!$M$40)</f>
        <v>0</v>
      </c>
      <c r="U29" s="29">
        <f>('TE BE'!$X$29+'TE BF'!$X$29+'TE CVA'!$X$29)*(1 - CUSTOS!$M$40)</f>
        <v>0</v>
      </c>
      <c r="V29" s="29">
        <f>('TE BE'!$Z$29+'TE BF'!$Z$29+'TE CVA'!$Z$29)*(1 - CUSTOS!$M$40)</f>
        <v>0</v>
      </c>
      <c r="X29" s="29">
        <v>0</v>
      </c>
      <c r="Y29" s="29">
        <v>0</v>
      </c>
      <c r="Z29" s="29">
        <v>0</v>
      </c>
      <c r="AA29" s="29">
        <v>0</v>
      </c>
      <c r="AB29" s="29">
        <v>0</v>
      </c>
      <c r="AC29" s="29">
        <v>118.707901226868</v>
      </c>
      <c r="AD29" s="29">
        <v>0</v>
      </c>
      <c r="AE29" s="29">
        <v>0</v>
      </c>
      <c r="AF29" s="29">
        <v>0</v>
      </c>
      <c r="AG29" s="29">
        <v>0</v>
      </c>
      <c r="AH29" s="29">
        <v>0</v>
      </c>
    </row>
    <row r="30" spans="1:34" ht="11.25" customHeight="1" x14ac:dyDescent="0.25">
      <c r="A30" s="105"/>
      <c r="B30" s="105"/>
      <c r="C30" s="105"/>
      <c r="D30" s="105"/>
      <c r="E30" s="105"/>
      <c r="F30" s="105"/>
      <c r="G30" s="32" t="s">
        <v>74</v>
      </c>
      <c r="H30" s="32" t="s">
        <v>72</v>
      </c>
      <c r="I30" s="32">
        <f>'MERCADO TE'!$U$27</f>
        <v>0</v>
      </c>
      <c r="J30" s="15"/>
      <c r="L30" s="29">
        <f>('TE BE'!$L$30+'TE BF'!$L$30+'TE CVA'!$L$30)*(1 - CUSTOS!$M$40)</f>
        <v>0</v>
      </c>
      <c r="M30" s="29">
        <f>('TE BE'!$M$30+'TE BF'!$M$30+'TE CVA'!$M$30)*(1 - CUSTOS!$M$40)</f>
        <v>0</v>
      </c>
      <c r="N30" s="29">
        <f>('TE BE'!$N$30+'TE BF'!$N$30+'TE CVA'!$N$30)*(1 - CUSTOS!$M$40)</f>
        <v>0</v>
      </c>
      <c r="O30" s="29">
        <f>('TE BE'!$O$30+'TE BF'!$O$30+'TE CVA'!$O$30)*(1 - CUSTOS!$M$40)</f>
        <v>0</v>
      </c>
      <c r="P30" s="29">
        <f>('TE BE'!$P$30+'TE BF'!$P$30+'TE CVA'!$P$30)*(1 - CUSTOS!$M$40)</f>
        <v>0</v>
      </c>
      <c r="Q30" s="29">
        <f>('TE BE'!$R$30+'TE BF'!$R$30+'TE CVA'!$R$30)*(1 - CUSTOS!$M$40)</f>
        <v>124.94176058911195</v>
      </c>
      <c r="R30" s="29">
        <f>('TE BE'!$T$30+'TE BF'!$T$30+'TE CVA'!$T$30)*(1 - CUSTOS!$M$40)</f>
        <v>0</v>
      </c>
      <c r="S30" s="29">
        <f>('TE BE'!$U$30+'TE BF'!$U$30+'TE CVA'!$U$30)*(1 - CUSTOS!$M$40)</f>
        <v>0</v>
      </c>
      <c r="T30" s="29">
        <f>('TE BE'!$V$30+'TE BF'!$V$30+'TE CVA'!$V$30)*(1 - CUSTOS!$M$40)</f>
        <v>0</v>
      </c>
      <c r="U30" s="29">
        <f>('TE BE'!$X$30+'TE BF'!$X$30+'TE CVA'!$X$30)*(1 - CUSTOS!$M$40)</f>
        <v>0</v>
      </c>
      <c r="V30" s="29">
        <f>('TE BE'!$Z$30+'TE BF'!$Z$30+'TE CVA'!$Z$30)*(1 - CUSTOS!$M$40)</f>
        <v>0</v>
      </c>
      <c r="X30" s="29">
        <v>0</v>
      </c>
      <c r="Y30" s="29">
        <v>0</v>
      </c>
      <c r="Z30" s="29">
        <v>0</v>
      </c>
      <c r="AA30" s="29">
        <v>0</v>
      </c>
      <c r="AB30" s="29">
        <v>0</v>
      </c>
      <c r="AC30" s="29">
        <v>118.707901226868</v>
      </c>
      <c r="AD30" s="29">
        <v>0</v>
      </c>
      <c r="AE30" s="29">
        <v>0</v>
      </c>
      <c r="AF30" s="29">
        <v>0</v>
      </c>
      <c r="AG30" s="29">
        <v>0</v>
      </c>
      <c r="AH30" s="29">
        <v>0</v>
      </c>
    </row>
    <row r="31" spans="1:34" ht="11.25" customHeight="1" x14ac:dyDescent="0.25">
      <c r="A31" s="105"/>
      <c r="B31" s="31" t="s">
        <v>84</v>
      </c>
      <c r="C31" s="31" t="s">
        <v>41</v>
      </c>
      <c r="D31" s="31" t="s">
        <v>89</v>
      </c>
      <c r="E31" s="31" t="s">
        <v>25</v>
      </c>
      <c r="F31" s="31" t="s">
        <v>25</v>
      </c>
      <c r="G31" s="32" t="s">
        <v>78</v>
      </c>
      <c r="H31" s="32" t="s">
        <v>72</v>
      </c>
      <c r="I31" s="32">
        <f>'MERCADO TE'!$U$28</f>
        <v>0</v>
      </c>
      <c r="J31" s="15"/>
      <c r="L31" s="29">
        <f>('TE BE'!$L$31+'TE BF'!$L$31+'TE CVA'!$L$31)*(1 - CUSTOS!$M$40)</f>
        <v>0</v>
      </c>
      <c r="M31" s="29">
        <f>('TE BE'!$M$31+'TE BF'!$M$31+'TE CVA'!$M$31)*(1 - CUSTOS!$M$40)</f>
        <v>0</v>
      </c>
      <c r="N31" s="29">
        <f>('TE BE'!$N$31+'TE BF'!$N$31+'TE CVA'!$N$31)*(1 - CUSTOS!$M$40)</f>
        <v>0</v>
      </c>
      <c r="O31" s="29">
        <f>('TE BE'!$O$31+'TE BF'!$O$31+'TE CVA'!$O$31)*(1 - CUSTOS!$M$40)</f>
        <v>0</v>
      </c>
      <c r="P31" s="29">
        <f>('TE BE'!$P$31+'TE BF'!$P$31+'TE CVA'!$P$31)*(1 - CUSTOS!$M$40)</f>
        <v>0</v>
      </c>
      <c r="Q31" s="29">
        <f>('TE BE'!$R$31+'TE BF'!$R$31+'TE CVA'!$R$31)*(1 - CUSTOS!$M$40)</f>
        <v>124.94176058911195</v>
      </c>
      <c r="R31" s="29">
        <f>('TE BE'!$T$31+'TE BF'!$T$31+'TE CVA'!$T$31)*(1 - CUSTOS!$M$40)</f>
        <v>0</v>
      </c>
      <c r="S31" s="29">
        <f>('TE BE'!$U$31+'TE BF'!$U$31+'TE CVA'!$U$31)*(1 - CUSTOS!$M$40)</f>
        <v>0</v>
      </c>
      <c r="T31" s="29">
        <f>('TE BE'!$V$31+'TE BF'!$V$31+'TE CVA'!$V$31)*(1 - CUSTOS!$M$40)</f>
        <v>0</v>
      </c>
      <c r="U31" s="29">
        <f>('TE BE'!$X$31+'TE BF'!$X$31+'TE CVA'!$X$31)*(1 - CUSTOS!$M$40)</f>
        <v>0</v>
      </c>
      <c r="V31" s="29">
        <f>('TE BE'!$Z$31+'TE BF'!$Z$31+'TE CVA'!$Z$31)*(1 - CUSTOS!$M$40)</f>
        <v>0</v>
      </c>
      <c r="X31" s="29">
        <v>0</v>
      </c>
      <c r="Y31" s="29">
        <v>0</v>
      </c>
      <c r="Z31" s="29">
        <v>0</v>
      </c>
      <c r="AA31" s="29">
        <v>0</v>
      </c>
      <c r="AB31" s="29">
        <v>0</v>
      </c>
      <c r="AC31" s="29">
        <v>118.707901226868</v>
      </c>
      <c r="AD31" s="29">
        <v>0</v>
      </c>
      <c r="AE31" s="29">
        <v>0</v>
      </c>
      <c r="AF31" s="29">
        <v>0</v>
      </c>
      <c r="AG31" s="29">
        <v>0</v>
      </c>
      <c r="AH31" s="29">
        <v>0</v>
      </c>
    </row>
    <row r="32" spans="1:34" ht="11.25" customHeight="1" x14ac:dyDescent="0.25">
      <c r="A32" s="105"/>
      <c r="B32" s="105" t="s">
        <v>86</v>
      </c>
      <c r="C32" s="105" t="s">
        <v>41</v>
      </c>
      <c r="D32" s="31" t="s">
        <v>25</v>
      </c>
      <c r="E32" s="31" t="s">
        <v>25</v>
      </c>
      <c r="F32" s="31" t="s">
        <v>25</v>
      </c>
      <c r="G32" s="32" t="s">
        <v>78</v>
      </c>
      <c r="H32" s="32" t="s">
        <v>72</v>
      </c>
      <c r="I32" s="32">
        <f>'MERCADO TE'!$U$29</f>
        <v>0</v>
      </c>
      <c r="J32" s="15"/>
      <c r="L32" s="29">
        <f>('TE BE'!$L$32+'TE BF'!$L$32+'TE CVA'!$L$32)*(1 - CUSTOS!$M$38)</f>
        <v>0</v>
      </c>
      <c r="M32" s="29">
        <f>('TE BE'!$M$32+'TE BF'!$M$32+'TE CVA'!$M$32)*(1 - CUSTOS!$M$38)</f>
        <v>0</v>
      </c>
      <c r="N32" s="29">
        <f>('TE BE'!$N$32+'TE BF'!$N$32+'TE CVA'!$N$32)*(1 - CUSTOS!$M$38)</f>
        <v>0</v>
      </c>
      <c r="O32" s="29">
        <f>('TE BE'!$O$32+'TE BF'!$O$32+'TE CVA'!$O$32)*(1 - CUSTOS!$M$38)</f>
        <v>0</v>
      </c>
      <c r="P32" s="29">
        <f>('TE BE'!$P$32+'TE BF'!$P$32+'TE CVA'!$P$32)*(1 - CUSTOS!$M$38)</f>
        <v>0</v>
      </c>
      <c r="Q32" s="29">
        <f>('TE BE'!$R$32+'TE BF'!$R$32+'TE CVA'!$R$32)*(1 - CUSTOS!$M$38)</f>
        <v>127.65788581931002</v>
      </c>
      <c r="R32" s="29">
        <f>('TE BE'!$T$32+'TE BF'!$T$32+'TE CVA'!$T$32)*(1 - CUSTOS!$M$38)</f>
        <v>0</v>
      </c>
      <c r="S32" s="29">
        <f>('TE BE'!$U$32+'TE BF'!$U$32+'TE CVA'!$U$32)*(1 - CUSTOS!$M$38)</f>
        <v>0</v>
      </c>
      <c r="T32" s="29">
        <f>('TE BE'!$V$32+'TE BF'!$V$32+'TE CVA'!$V$32)*(1 - CUSTOS!$M$38)</f>
        <v>0</v>
      </c>
      <c r="U32" s="29">
        <f>('TE BE'!$X$32+'TE BF'!$X$32+'TE CVA'!$X$32)*(1 - CUSTOS!$M$38)</f>
        <v>0</v>
      </c>
      <c r="V32" s="29">
        <f>('TE BE'!$Z$32+'TE BF'!$Z$32+'TE CVA'!$Z$32)*(1 - CUSTOS!$M$38)</f>
        <v>0</v>
      </c>
      <c r="X32" s="29">
        <v>0</v>
      </c>
      <c r="Y32" s="29">
        <v>0</v>
      </c>
      <c r="Z32" s="29">
        <v>0</v>
      </c>
      <c r="AA32" s="29">
        <v>0</v>
      </c>
      <c r="AB32" s="29">
        <v>0</v>
      </c>
      <c r="AC32" s="29">
        <v>124.360658428148</v>
      </c>
      <c r="AD32" s="29">
        <v>0</v>
      </c>
      <c r="AE32" s="29">
        <v>0</v>
      </c>
      <c r="AF32" s="29">
        <v>0</v>
      </c>
      <c r="AG32" s="29">
        <v>0</v>
      </c>
      <c r="AH32" s="29">
        <v>0</v>
      </c>
    </row>
    <row r="33" spans="1:34" ht="11.25" customHeight="1" x14ac:dyDescent="0.25">
      <c r="A33" s="105"/>
      <c r="B33" s="105"/>
      <c r="C33" s="105"/>
      <c r="D33" s="31" t="s">
        <v>88</v>
      </c>
      <c r="E33" s="31" t="s">
        <v>25</v>
      </c>
      <c r="F33" s="31" t="s">
        <v>25</v>
      </c>
      <c r="G33" s="32" t="s">
        <v>78</v>
      </c>
      <c r="H33" s="32" t="s">
        <v>72</v>
      </c>
      <c r="I33" s="32">
        <f>'MERCADO TE'!$U$30</f>
        <v>0</v>
      </c>
      <c r="J33" s="15"/>
      <c r="L33" s="29">
        <f>('TE BE'!$L$33+'TE BF'!$L$33+'TE CVA'!$L$33)*(1 - CUSTOS!$M$39)</f>
        <v>0</v>
      </c>
      <c r="M33" s="29">
        <f>('TE BE'!$M$33+'TE BF'!$M$33+'TE CVA'!$M$33)*(1 - CUSTOS!$M$39)</f>
        <v>0</v>
      </c>
      <c r="N33" s="29">
        <f>('TE BE'!$N$33+'TE BF'!$N$33+'TE CVA'!$N$33)*(1 - CUSTOS!$M$39)</f>
        <v>0</v>
      </c>
      <c r="O33" s="29">
        <f>('TE BE'!$O$33+'TE BF'!$O$33+'TE CVA'!$O$33)*(1 - CUSTOS!$M$39)</f>
        <v>0</v>
      </c>
      <c r="P33" s="29">
        <f>('TE BE'!$P$33+'TE BF'!$P$33+'TE CVA'!$P$33)*(1 - CUSTOS!$M$39)</f>
        <v>0</v>
      </c>
      <c r="Q33" s="29">
        <f>('TE BE'!$R$33+'TE BF'!$R$33+'TE CVA'!$R$33)*(1 - CUSTOS!$M$39)</f>
        <v>127.65788581931002</v>
      </c>
      <c r="R33" s="29">
        <f>('TE BE'!$T$33+'TE BF'!$T$33+'TE CVA'!$T$33)*(1 - CUSTOS!$M$39)</f>
        <v>0</v>
      </c>
      <c r="S33" s="29">
        <f>('TE BE'!$U$33+'TE BF'!$U$33+'TE CVA'!$U$33)*(1 - CUSTOS!$M$39)</f>
        <v>0</v>
      </c>
      <c r="T33" s="29">
        <f>('TE BE'!$V$33+'TE BF'!$V$33+'TE CVA'!$V$33)*(1 - CUSTOS!$M$39)</f>
        <v>0</v>
      </c>
      <c r="U33" s="29">
        <f>('TE BE'!$X$33+'TE BF'!$X$33+'TE CVA'!$X$33)*(1 - CUSTOS!$M$39)</f>
        <v>0</v>
      </c>
      <c r="V33" s="29">
        <f>('TE BE'!$Z$33+'TE BF'!$Z$33+'TE CVA'!$Z$33)*(1 - CUSTOS!$M$39)</f>
        <v>0</v>
      </c>
      <c r="X33" s="29">
        <v>0</v>
      </c>
      <c r="Y33" s="29">
        <v>0</v>
      </c>
      <c r="Z33" s="29">
        <v>0</v>
      </c>
      <c r="AA33" s="29">
        <v>0</v>
      </c>
      <c r="AB33" s="29">
        <v>0</v>
      </c>
      <c r="AC33" s="29">
        <v>124.360658428148</v>
      </c>
      <c r="AD33" s="29">
        <v>0</v>
      </c>
      <c r="AE33" s="29">
        <v>0</v>
      </c>
      <c r="AF33" s="29">
        <v>0</v>
      </c>
      <c r="AG33" s="29">
        <v>0</v>
      </c>
      <c r="AH33" s="29">
        <v>0</v>
      </c>
    </row>
    <row r="34" spans="1:34" ht="11.25" customHeight="1" x14ac:dyDescent="0.25">
      <c r="A34" s="105"/>
      <c r="B34" s="105"/>
      <c r="C34" s="105"/>
      <c r="D34" s="31" t="s">
        <v>89</v>
      </c>
      <c r="E34" s="31" t="s">
        <v>25</v>
      </c>
      <c r="F34" s="31" t="s">
        <v>25</v>
      </c>
      <c r="G34" s="32" t="s">
        <v>78</v>
      </c>
      <c r="H34" s="32" t="s">
        <v>72</v>
      </c>
      <c r="I34" s="32">
        <f>'MERCADO TE'!$U$31</f>
        <v>0</v>
      </c>
      <c r="J34" s="15"/>
      <c r="L34" s="29">
        <f>('TE BE'!$L$34+'TE BF'!$L$34+'TE CVA'!$L$34)*(1 - CUSTOS!$M$40)</f>
        <v>0</v>
      </c>
      <c r="M34" s="29">
        <f>('TE BE'!$M$34+'TE BF'!$M$34+'TE CVA'!$M$34)*(1 - CUSTOS!$M$40)</f>
        <v>0</v>
      </c>
      <c r="N34" s="29">
        <f>('TE BE'!$N$34+'TE BF'!$N$34+'TE CVA'!$N$34)*(1 - CUSTOS!$M$40)</f>
        <v>0</v>
      </c>
      <c r="O34" s="29">
        <f>('TE BE'!$O$34+'TE BF'!$O$34+'TE CVA'!$O$34)*(1 - CUSTOS!$M$40)</f>
        <v>0</v>
      </c>
      <c r="P34" s="29">
        <f>('TE BE'!$P$34+'TE BF'!$P$34+'TE CVA'!$P$34)*(1 - CUSTOS!$M$40)</f>
        <v>0</v>
      </c>
      <c r="Q34" s="29">
        <f>('TE BE'!$R$34+'TE BF'!$R$34+'TE CVA'!$R$34)*(1 - CUSTOS!$M$40)</f>
        <v>124.94176058911195</v>
      </c>
      <c r="R34" s="29">
        <f>('TE BE'!$T$34+'TE BF'!$T$34+'TE CVA'!$T$34)*(1 - CUSTOS!$M$40)</f>
        <v>0</v>
      </c>
      <c r="S34" s="29">
        <f>('TE BE'!$U$34+'TE BF'!$U$34+'TE CVA'!$U$34)*(1 - CUSTOS!$M$40)</f>
        <v>0</v>
      </c>
      <c r="T34" s="29">
        <f>('TE BE'!$V$34+'TE BF'!$V$34+'TE CVA'!$V$34)*(1 - CUSTOS!$M$40)</f>
        <v>0</v>
      </c>
      <c r="U34" s="29">
        <f>('TE BE'!$X$34+'TE BF'!$X$34+'TE CVA'!$X$34)*(1 - CUSTOS!$M$40)</f>
        <v>0</v>
      </c>
      <c r="V34" s="29">
        <f>('TE BE'!$Z$34+'TE BF'!$Z$34+'TE CVA'!$Z$34)*(1 - CUSTOS!$M$40)</f>
        <v>0</v>
      </c>
      <c r="X34" s="29">
        <v>0</v>
      </c>
      <c r="Y34" s="29">
        <v>0</v>
      </c>
      <c r="Z34" s="29">
        <v>0</v>
      </c>
      <c r="AA34" s="29">
        <v>0</v>
      </c>
      <c r="AB34" s="29">
        <v>0</v>
      </c>
      <c r="AC34" s="29">
        <v>118.707901226868</v>
      </c>
      <c r="AD34" s="29">
        <v>0</v>
      </c>
      <c r="AE34" s="29">
        <v>0</v>
      </c>
      <c r="AF34" s="29">
        <v>0</v>
      </c>
      <c r="AG34" s="29">
        <v>0</v>
      </c>
      <c r="AH34" s="29">
        <v>0</v>
      </c>
    </row>
    <row r="35" spans="1:34" ht="11.25" customHeight="1" x14ac:dyDescent="0.25">
      <c r="A35" s="105" t="s">
        <v>33</v>
      </c>
      <c r="B35" s="105" t="s">
        <v>71</v>
      </c>
      <c r="C35" s="105" t="s">
        <v>25</v>
      </c>
      <c r="D35" s="105" t="s">
        <v>25</v>
      </c>
      <c r="E35" s="105" t="s">
        <v>25</v>
      </c>
      <c r="F35" s="105" t="s">
        <v>25</v>
      </c>
      <c r="G35" s="32" t="s">
        <v>73</v>
      </c>
      <c r="H35" s="32" t="s">
        <v>72</v>
      </c>
      <c r="I35" s="32">
        <f>'MERCADO TE'!$U$32</f>
        <v>0</v>
      </c>
      <c r="J35" s="15"/>
      <c r="L35" s="29">
        <f>('TE BE'!$L$35+'TE BF'!$L$35+'TE CVA'!$L$35)*1</f>
        <v>0</v>
      </c>
      <c r="M35" s="29">
        <f>('TE BE'!$M$35+'TE BF'!$M$35+'TE CVA'!$M$35)*1</f>
        <v>0</v>
      </c>
      <c r="N35" s="29">
        <f>('TE BE'!$N$35+'TE BF'!$N$35+'TE CVA'!$N$35)*1</f>
        <v>0</v>
      </c>
      <c r="O35" s="29">
        <f>('TE BE'!$O$35+'TE BF'!$O$35+'TE CVA'!$O$35)*1</f>
        <v>0</v>
      </c>
      <c r="P35" s="29">
        <f>('TE BE'!$P$35+'TE BF'!$P$35+'TE CVA'!$P$35)*1</f>
        <v>0</v>
      </c>
      <c r="Q35" s="29">
        <f>('TE BE'!$R$35+'TE BF'!$R$35+'TE CVA'!$R$35)*1</f>
        <v>135.80626150990429</v>
      </c>
      <c r="R35" s="29">
        <f>('TE BE'!$T$35+'TE BF'!$T$35+'TE CVA'!$T$35)*1</f>
        <v>0</v>
      </c>
      <c r="S35" s="29">
        <f>('TE BE'!$U$35+'TE BF'!$U$35+'TE CVA'!$U$35)*1</f>
        <v>0</v>
      </c>
      <c r="T35" s="29">
        <f>('TE BE'!$V$35+'TE BF'!$V$35+'TE CVA'!$V$35)*1</f>
        <v>0</v>
      </c>
      <c r="U35" s="29">
        <f>('TE BE'!$X$35+'TE BF'!$X$35+'TE CVA'!$X$35)*1</f>
        <v>0</v>
      </c>
      <c r="V35" s="29">
        <f>('TE BE'!$Z$35+'TE BF'!$Z$35+'TE CVA'!$Z$35)*1</f>
        <v>0</v>
      </c>
      <c r="X35" s="29">
        <v>0</v>
      </c>
      <c r="Y35" s="29">
        <v>0</v>
      </c>
      <c r="Z35" s="29">
        <v>0</v>
      </c>
      <c r="AA35" s="29">
        <v>0</v>
      </c>
      <c r="AB35" s="29">
        <v>0</v>
      </c>
      <c r="AC35" s="29">
        <v>141.31893003198601</v>
      </c>
      <c r="AD35" s="29">
        <v>0</v>
      </c>
      <c r="AE35" s="29">
        <v>0</v>
      </c>
      <c r="AF35" s="29">
        <v>0</v>
      </c>
      <c r="AG35" s="29">
        <v>0</v>
      </c>
      <c r="AH35" s="29">
        <v>0</v>
      </c>
    </row>
    <row r="36" spans="1:34" ht="11.25" customHeight="1" x14ac:dyDescent="0.25">
      <c r="A36" s="105"/>
      <c r="B36" s="105"/>
      <c r="C36" s="105"/>
      <c r="D36" s="105"/>
      <c r="E36" s="105"/>
      <c r="F36" s="105"/>
      <c r="G36" s="32" t="s">
        <v>83</v>
      </c>
      <c r="H36" s="32" t="s">
        <v>72</v>
      </c>
      <c r="I36" s="32">
        <f>'MERCADO TE'!$U$33</f>
        <v>0</v>
      </c>
      <c r="J36" s="15"/>
      <c r="L36" s="29">
        <f>('TE BE'!$L$36+'TE BF'!$L$36+'TE CVA'!$L$36)*1</f>
        <v>0</v>
      </c>
      <c r="M36" s="29">
        <f>('TE BE'!$M$36+'TE BF'!$M$36+'TE CVA'!$M$36)*1</f>
        <v>0</v>
      </c>
      <c r="N36" s="29">
        <f>('TE BE'!$N$36+'TE BF'!$N$36+'TE CVA'!$N$36)*1</f>
        <v>0</v>
      </c>
      <c r="O36" s="29">
        <f>('TE BE'!$O$36+'TE BF'!$O$36+'TE CVA'!$O$36)*1</f>
        <v>0</v>
      </c>
      <c r="P36" s="29">
        <f>('TE BE'!$P$36+'TE BF'!$P$36+'TE CVA'!$P$36)*1</f>
        <v>0</v>
      </c>
      <c r="Q36" s="29">
        <f>('TE BE'!$R$36+'TE BF'!$R$36+'TE CVA'!$R$36)*1</f>
        <v>135.80626150990429</v>
      </c>
      <c r="R36" s="29">
        <f>('TE BE'!$T$36+'TE BF'!$T$36+'TE CVA'!$T$36)*1</f>
        <v>0</v>
      </c>
      <c r="S36" s="29">
        <f>('TE BE'!$U$36+'TE BF'!$U$36+'TE CVA'!$U$36)*1</f>
        <v>0</v>
      </c>
      <c r="T36" s="29">
        <f>('TE BE'!$V$36+'TE BF'!$V$36+'TE CVA'!$V$36)*1</f>
        <v>0</v>
      </c>
      <c r="U36" s="29">
        <f>('TE BE'!$X$36+'TE BF'!$X$36+'TE CVA'!$X$36)*1</f>
        <v>0</v>
      </c>
      <c r="V36" s="29">
        <f>('TE BE'!$Z$36+'TE BF'!$Z$36+'TE CVA'!$Z$36)*1</f>
        <v>0</v>
      </c>
      <c r="X36" s="29">
        <v>0</v>
      </c>
      <c r="Y36" s="29">
        <v>0</v>
      </c>
      <c r="Z36" s="29">
        <v>0</v>
      </c>
      <c r="AA36" s="29">
        <v>0</v>
      </c>
      <c r="AB36" s="29">
        <v>0</v>
      </c>
      <c r="AC36" s="29">
        <v>141.31893003198601</v>
      </c>
      <c r="AD36" s="29">
        <v>0</v>
      </c>
      <c r="AE36" s="29">
        <v>0</v>
      </c>
      <c r="AF36" s="29">
        <v>0</v>
      </c>
      <c r="AG36" s="29">
        <v>0</v>
      </c>
      <c r="AH36" s="29">
        <v>0</v>
      </c>
    </row>
    <row r="37" spans="1:34" ht="11.25" customHeight="1" x14ac:dyDescent="0.25">
      <c r="A37" s="105"/>
      <c r="B37" s="105"/>
      <c r="C37" s="105"/>
      <c r="D37" s="105"/>
      <c r="E37" s="105"/>
      <c r="F37" s="105"/>
      <c r="G37" s="32" t="s">
        <v>74</v>
      </c>
      <c r="H37" s="32" t="s">
        <v>72</v>
      </c>
      <c r="I37" s="32">
        <f>'MERCADO TE'!$U$34</f>
        <v>0</v>
      </c>
      <c r="J37" s="15"/>
      <c r="L37" s="29">
        <f>('TE BE'!$L$37+'TE BF'!$L$37+'TE CVA'!$L$37)*1</f>
        <v>0</v>
      </c>
      <c r="M37" s="29">
        <f>('TE BE'!$M$37+'TE BF'!$M$37+'TE CVA'!$M$37)*1</f>
        <v>0</v>
      </c>
      <c r="N37" s="29">
        <f>('TE BE'!$N$37+'TE BF'!$N$37+'TE CVA'!$N$37)*1</f>
        <v>0</v>
      </c>
      <c r="O37" s="29">
        <f>('TE BE'!$O$37+'TE BF'!$O$37+'TE CVA'!$O$37)*1</f>
        <v>0</v>
      </c>
      <c r="P37" s="29">
        <f>('TE BE'!$P$37+'TE BF'!$P$37+'TE CVA'!$P$37)*1</f>
        <v>0</v>
      </c>
      <c r="Q37" s="29">
        <f>('TE BE'!$R$37+'TE BF'!$R$37+'TE CVA'!$R$37)*1</f>
        <v>135.80626150990429</v>
      </c>
      <c r="R37" s="29">
        <f>('TE BE'!$T$37+'TE BF'!$T$37+'TE CVA'!$T$37)*1</f>
        <v>0</v>
      </c>
      <c r="S37" s="29">
        <f>('TE BE'!$U$37+'TE BF'!$U$37+'TE CVA'!$U$37)*1</f>
        <v>0</v>
      </c>
      <c r="T37" s="29">
        <f>('TE BE'!$V$37+'TE BF'!$V$37+'TE CVA'!$V$37)*1</f>
        <v>0</v>
      </c>
      <c r="U37" s="29">
        <f>('TE BE'!$X$37+'TE BF'!$X$37+'TE CVA'!$X$37)*1</f>
        <v>0</v>
      </c>
      <c r="V37" s="29">
        <f>('TE BE'!$Z$37+'TE BF'!$Z$37+'TE CVA'!$Z$37)*1</f>
        <v>0</v>
      </c>
      <c r="X37" s="29">
        <v>0</v>
      </c>
      <c r="Y37" s="29">
        <v>0</v>
      </c>
      <c r="Z37" s="29">
        <v>0</v>
      </c>
      <c r="AA37" s="29">
        <v>0</v>
      </c>
      <c r="AB37" s="29">
        <v>0</v>
      </c>
      <c r="AC37" s="29">
        <v>141.31893003198601</v>
      </c>
      <c r="AD37" s="29">
        <v>0</v>
      </c>
      <c r="AE37" s="29">
        <v>0</v>
      </c>
      <c r="AF37" s="29">
        <v>0</v>
      </c>
      <c r="AG37" s="29">
        <v>0</v>
      </c>
      <c r="AH37" s="29">
        <v>0</v>
      </c>
    </row>
    <row r="38" spans="1:34" ht="11.25" customHeight="1" x14ac:dyDescent="0.25">
      <c r="A38" s="105"/>
      <c r="B38" s="31" t="s">
        <v>84</v>
      </c>
      <c r="C38" s="31" t="s">
        <v>25</v>
      </c>
      <c r="D38" s="31" t="s">
        <v>25</v>
      </c>
      <c r="E38" s="31" t="s">
        <v>25</v>
      </c>
      <c r="F38" s="31" t="s">
        <v>25</v>
      </c>
      <c r="G38" s="32" t="s">
        <v>78</v>
      </c>
      <c r="H38" s="32" t="s">
        <v>72</v>
      </c>
      <c r="I38" s="32">
        <f>'MERCADO TE'!$U$35</f>
        <v>6621.2499999999991</v>
      </c>
      <c r="J38" s="15"/>
      <c r="L38" s="29">
        <f>('TE BE'!$L$38+'TE BF'!$L$38+'TE CVA'!$L$38)*1</f>
        <v>0</v>
      </c>
      <c r="M38" s="29">
        <f>('TE BE'!$M$38+'TE BF'!$M$38+'TE CVA'!$M$38)*1</f>
        <v>0</v>
      </c>
      <c r="N38" s="29">
        <f>('TE BE'!$N$38+'TE BF'!$N$38+'TE CVA'!$N$38)*1</f>
        <v>0</v>
      </c>
      <c r="O38" s="29">
        <f>('TE BE'!$O$38+'TE BF'!$O$38+'TE CVA'!$O$38)*1</f>
        <v>0</v>
      </c>
      <c r="P38" s="29">
        <f>('TE BE'!$P$38+'TE BF'!$P$38+'TE CVA'!$P$38)*1</f>
        <v>0</v>
      </c>
      <c r="Q38" s="29">
        <f>('TE BE'!$R$38+'TE BF'!$R$38+'TE CVA'!$R$38)*1</f>
        <v>135.80626150990429</v>
      </c>
      <c r="R38" s="29">
        <f>('TE BE'!$T$38+'TE BF'!$T$38+'TE CVA'!$T$38)*1</f>
        <v>0</v>
      </c>
      <c r="S38" s="29">
        <f>('TE BE'!$U$38+'TE BF'!$U$38+'TE CVA'!$U$38)*1</f>
        <v>0</v>
      </c>
      <c r="T38" s="29">
        <f>('TE BE'!$V$38+'TE BF'!$V$38+'TE CVA'!$V$38)*1</f>
        <v>0</v>
      </c>
      <c r="U38" s="29">
        <f>('TE BE'!$X$38+'TE BF'!$X$38+'TE CVA'!$X$38)*1</f>
        <v>0</v>
      </c>
      <c r="V38" s="29">
        <f>('TE BE'!$Z$38+'TE BF'!$Z$38+'TE CVA'!$Z$38)*1</f>
        <v>0</v>
      </c>
      <c r="X38" s="29">
        <v>0</v>
      </c>
      <c r="Y38" s="29">
        <v>0</v>
      </c>
      <c r="Z38" s="29">
        <v>0</v>
      </c>
      <c r="AA38" s="29">
        <v>0</v>
      </c>
      <c r="AB38" s="29">
        <v>0</v>
      </c>
      <c r="AC38" s="29">
        <v>141.31893003198601</v>
      </c>
      <c r="AD38" s="29">
        <v>0</v>
      </c>
      <c r="AE38" s="29">
        <v>0</v>
      </c>
      <c r="AF38" s="29">
        <v>0</v>
      </c>
      <c r="AG38" s="29">
        <v>0</v>
      </c>
      <c r="AH38" s="29">
        <v>0</v>
      </c>
    </row>
    <row r="39" spans="1:34" ht="11.25" customHeight="1" x14ac:dyDescent="0.25">
      <c r="A39" s="105"/>
      <c r="B39" s="31" t="s">
        <v>86</v>
      </c>
      <c r="C39" s="31" t="s">
        <v>25</v>
      </c>
      <c r="D39" s="31" t="s">
        <v>25</v>
      </c>
      <c r="E39" s="31" t="s">
        <v>25</v>
      </c>
      <c r="F39" s="31" t="s">
        <v>25</v>
      </c>
      <c r="G39" s="32" t="s">
        <v>78</v>
      </c>
      <c r="H39" s="32" t="s">
        <v>72</v>
      </c>
      <c r="I39" s="32">
        <f>'MERCADO TE'!$U$36</f>
        <v>0</v>
      </c>
      <c r="J39" s="15"/>
      <c r="L39" s="29">
        <f>('TE BE'!$L$39+'TE BF'!$L$39+'TE CVA'!$L$39)*1</f>
        <v>0</v>
      </c>
      <c r="M39" s="29">
        <f>('TE BE'!$M$39+'TE BF'!$M$39+'TE CVA'!$M$39)*1</f>
        <v>0</v>
      </c>
      <c r="N39" s="29">
        <f>('TE BE'!$N$39+'TE BF'!$N$39+'TE CVA'!$N$39)*1</f>
        <v>0</v>
      </c>
      <c r="O39" s="29">
        <f>('TE BE'!$O$39+'TE BF'!$O$39+'TE CVA'!$O$39)*1</f>
        <v>0</v>
      </c>
      <c r="P39" s="29">
        <f>('TE BE'!$P$39+'TE BF'!$P$39+'TE CVA'!$P$39)*1</f>
        <v>0</v>
      </c>
      <c r="Q39" s="29">
        <f>('TE BE'!$R$39+'TE BF'!$R$39+'TE CVA'!$R$39)*1</f>
        <v>135.80626150990429</v>
      </c>
      <c r="R39" s="29">
        <f>('TE BE'!$T$39+'TE BF'!$T$39+'TE CVA'!$T$39)*1</f>
        <v>0</v>
      </c>
      <c r="S39" s="29">
        <f>('TE BE'!$U$39+'TE BF'!$U$39+'TE CVA'!$U$39)*1</f>
        <v>0</v>
      </c>
      <c r="T39" s="29">
        <f>('TE BE'!$V$39+'TE BF'!$V$39+'TE CVA'!$V$39)*1</f>
        <v>0</v>
      </c>
      <c r="U39" s="29">
        <f>('TE BE'!$X$39+'TE BF'!$X$39+'TE CVA'!$X$39)*1</f>
        <v>0</v>
      </c>
      <c r="V39" s="29">
        <f>('TE BE'!$Z$39+'TE BF'!$Z$39+'TE CVA'!$Z$39)*1</f>
        <v>0</v>
      </c>
      <c r="X39" s="29">
        <v>0</v>
      </c>
      <c r="Y39" s="29">
        <v>0</v>
      </c>
      <c r="Z39" s="29">
        <v>0</v>
      </c>
      <c r="AA39" s="29">
        <v>0</v>
      </c>
      <c r="AB39" s="29">
        <v>0</v>
      </c>
      <c r="AC39" s="29">
        <v>141.31893003198601</v>
      </c>
      <c r="AD39" s="29">
        <v>0</v>
      </c>
      <c r="AE39" s="29">
        <v>0</v>
      </c>
      <c r="AF39" s="29">
        <v>0</v>
      </c>
      <c r="AG39" s="29">
        <v>0</v>
      </c>
      <c r="AH39" s="29">
        <v>0</v>
      </c>
    </row>
    <row r="40" spans="1:34" ht="11.25" customHeight="1" x14ac:dyDescent="0.25">
      <c r="A40" s="105" t="s">
        <v>43</v>
      </c>
      <c r="B40" s="105" t="s">
        <v>84</v>
      </c>
      <c r="C40" s="105" t="s">
        <v>44</v>
      </c>
      <c r="D40" s="31" t="s">
        <v>45</v>
      </c>
      <c r="E40" s="31" t="s">
        <v>25</v>
      </c>
      <c r="F40" s="31" t="s">
        <v>25</v>
      </c>
      <c r="G40" s="32" t="s">
        <v>78</v>
      </c>
      <c r="H40" s="32" t="s">
        <v>72</v>
      </c>
      <c r="I40" s="32">
        <f>'MERCADO TE'!$U$37</f>
        <v>930.54300000000012</v>
      </c>
      <c r="J40" s="15"/>
      <c r="L40" s="29">
        <f>('TE BE'!$L$40+'TE BF'!$L$40+'TE CVA'!$L$40)*1</f>
        <v>0</v>
      </c>
      <c r="M40" s="29">
        <f>('TE BE'!$M$40+'TE BF'!$M$40+'TE CVA'!$M$40)*1</f>
        <v>0</v>
      </c>
      <c r="N40" s="29">
        <f>('TE BE'!$N$40+'TE BF'!$N$40+'TE CVA'!$N$40)*1</f>
        <v>0</v>
      </c>
      <c r="O40" s="29">
        <f>('TE BE'!$O$40+'TE BF'!$O$40+'TE CVA'!$O$40)*1</f>
        <v>0</v>
      </c>
      <c r="P40" s="29">
        <f>('TE BE'!$P$40+'TE BF'!$P$40+'TE CVA'!$P$40)*1</f>
        <v>0</v>
      </c>
      <c r="Q40" s="29">
        <f>('TE BE'!$R$40+'TE BF'!$R$40+'TE CVA'!$R$40)*1</f>
        <v>74.693443830447364</v>
      </c>
      <c r="R40" s="29">
        <f>('TE BE'!$T$40+'TE BF'!$T$40+'TE CVA'!$T$40)*1</f>
        <v>0</v>
      </c>
      <c r="S40" s="29">
        <f>('TE BE'!$U$40+'TE BF'!$U$40+'TE CVA'!$U$40)*1</f>
        <v>0</v>
      </c>
      <c r="T40" s="29">
        <f>('TE BE'!$V$40+'TE BF'!$V$40+'TE CVA'!$V$40)*1</f>
        <v>0</v>
      </c>
      <c r="U40" s="29">
        <f>('TE BE'!$X$40+'TE BF'!$X$40+'TE CVA'!$X$40)*1</f>
        <v>0</v>
      </c>
      <c r="V40" s="29">
        <f>('TE BE'!$Z$40+'TE BF'!$Z$40+'TE CVA'!$Z$40)*1</f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77.725411517592406</v>
      </c>
      <c r="AD40" s="29">
        <v>0</v>
      </c>
      <c r="AE40" s="29">
        <v>0</v>
      </c>
      <c r="AF40" s="29">
        <v>0</v>
      </c>
      <c r="AG40" s="29">
        <v>0</v>
      </c>
      <c r="AH40" s="29">
        <v>0</v>
      </c>
    </row>
    <row r="41" spans="1:34" ht="11.25" customHeight="1" x14ac:dyDescent="0.25">
      <c r="A41" s="105"/>
      <c r="B41" s="105"/>
      <c r="C41" s="105"/>
      <c r="D41" s="32" t="s">
        <v>90</v>
      </c>
      <c r="E41" s="32" t="s">
        <v>25</v>
      </c>
      <c r="F41" s="32" t="s">
        <v>25</v>
      </c>
      <c r="G41" s="32" t="s">
        <v>78</v>
      </c>
      <c r="H41" s="32" t="s">
        <v>72</v>
      </c>
      <c r="I41" s="32">
        <f>'MERCADO TE'!$U$38</f>
        <v>0</v>
      </c>
      <c r="J41" s="15"/>
      <c r="L41" s="29">
        <f>('TE BE'!$L$41+'TE BF'!$L$41+'TE CVA'!$L$41)*1</f>
        <v>0</v>
      </c>
      <c r="M41" s="29">
        <f>('TE BE'!$M$41+'TE BF'!$M$41+'TE CVA'!$M$41)*1</f>
        <v>0</v>
      </c>
      <c r="N41" s="29">
        <f>('TE BE'!$N$41+'TE BF'!$N$41+'TE CVA'!$N$41)*1</f>
        <v>0</v>
      </c>
      <c r="O41" s="29">
        <f>('TE BE'!$O$41+'TE BF'!$O$41+'TE CVA'!$O$41)*1</f>
        <v>0</v>
      </c>
      <c r="P41" s="29">
        <f>('TE BE'!$P$41+'TE BF'!$P$41+'TE CVA'!$P$41)*1</f>
        <v>0</v>
      </c>
      <c r="Q41" s="29">
        <f>('TE BE'!$R$41+'TE BF'!$R$41+'TE CVA'!$R$41)*1</f>
        <v>81.483756905942585</v>
      </c>
      <c r="R41" s="29">
        <f>('TE BE'!$T$41+'TE BF'!$T$41+'TE CVA'!$T$41)*1</f>
        <v>0</v>
      </c>
      <c r="S41" s="29">
        <f>('TE BE'!$U$41+'TE BF'!$U$41+'TE CVA'!$U$41)*1</f>
        <v>0</v>
      </c>
      <c r="T41" s="29">
        <f>('TE BE'!$V$41+'TE BF'!$V$41+'TE CVA'!$V$41)*1</f>
        <v>0</v>
      </c>
      <c r="U41" s="29">
        <f>('TE BE'!$X$41+'TE BF'!$X$41+'TE CVA'!$X$41)*1</f>
        <v>0</v>
      </c>
      <c r="V41" s="29">
        <f>('TE BE'!$Z$41+'TE BF'!$Z$41+'TE CVA'!$Z$41)*1</f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9">
        <v>84.791358019191705</v>
      </c>
      <c r="AD41" s="29">
        <v>0</v>
      </c>
      <c r="AE41" s="29">
        <v>0</v>
      </c>
      <c r="AF41" s="29">
        <v>0</v>
      </c>
      <c r="AG41" s="29">
        <v>0</v>
      </c>
      <c r="AH41" s="29">
        <v>0</v>
      </c>
    </row>
    <row r="43" spans="1:34" ht="11.25" customHeight="1" x14ac:dyDescent="0.25">
      <c r="L43" s="102" t="s">
        <v>858</v>
      </c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X43" s="102" t="s">
        <v>859</v>
      </c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</row>
    <row r="44" spans="1:34" ht="11.25" customHeight="1" x14ac:dyDescent="0.25">
      <c r="L44" s="102" t="s">
        <v>414</v>
      </c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X44" s="102" t="s">
        <v>414</v>
      </c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</row>
    <row r="45" spans="1:34" ht="11.25" customHeight="1" x14ac:dyDescent="0.25">
      <c r="L45" s="102" t="s">
        <v>387</v>
      </c>
      <c r="M45" s="102"/>
      <c r="N45" s="102"/>
      <c r="O45" s="102"/>
      <c r="P45" s="102"/>
      <c r="Q45" s="33" t="s">
        <v>418</v>
      </c>
      <c r="R45" s="102" t="s">
        <v>396</v>
      </c>
      <c r="S45" s="102"/>
      <c r="T45" s="102"/>
      <c r="U45" s="33" t="s">
        <v>406</v>
      </c>
      <c r="V45" s="33" t="s">
        <v>409</v>
      </c>
      <c r="X45" s="102" t="s">
        <v>387</v>
      </c>
      <c r="Y45" s="102"/>
      <c r="Z45" s="102"/>
      <c r="AA45" s="102"/>
      <c r="AB45" s="102"/>
      <c r="AC45" s="33" t="s">
        <v>418</v>
      </c>
      <c r="AD45" s="102" t="s">
        <v>396</v>
      </c>
      <c r="AE45" s="102"/>
      <c r="AF45" s="102"/>
      <c r="AG45" s="33" t="s">
        <v>406</v>
      </c>
      <c r="AH45" s="33" t="s">
        <v>409</v>
      </c>
    </row>
    <row r="46" spans="1:34" ht="11.25" customHeight="1" x14ac:dyDescent="0.25">
      <c r="L46" s="33" t="s">
        <v>389</v>
      </c>
      <c r="M46" s="33" t="s">
        <v>415</v>
      </c>
      <c r="N46" s="33" t="s">
        <v>416</v>
      </c>
      <c r="O46" s="33" t="s">
        <v>475</v>
      </c>
      <c r="P46" s="33" t="s">
        <v>417</v>
      </c>
      <c r="Q46" s="33" t="s">
        <v>419</v>
      </c>
      <c r="R46" s="33" t="s">
        <v>420</v>
      </c>
      <c r="S46" s="33" t="s">
        <v>421</v>
      </c>
      <c r="T46" s="33" t="s">
        <v>422</v>
      </c>
      <c r="U46" s="33" t="s">
        <v>407</v>
      </c>
      <c r="V46" s="33" t="s">
        <v>423</v>
      </c>
      <c r="X46" s="33" t="s">
        <v>389</v>
      </c>
      <c r="Y46" s="33" t="s">
        <v>415</v>
      </c>
      <c r="Z46" s="33" t="s">
        <v>416</v>
      </c>
      <c r="AA46" s="33" t="s">
        <v>475</v>
      </c>
      <c r="AB46" s="33" t="s">
        <v>417</v>
      </c>
      <c r="AC46" s="33" t="s">
        <v>419</v>
      </c>
      <c r="AD46" s="33" t="s">
        <v>420</v>
      </c>
      <c r="AE46" s="33" t="s">
        <v>421</v>
      </c>
      <c r="AF46" s="33" t="s">
        <v>422</v>
      </c>
      <c r="AG46" s="33" t="s">
        <v>407</v>
      </c>
      <c r="AH46" s="33" t="s">
        <v>423</v>
      </c>
    </row>
    <row r="47" spans="1:34" ht="11.25" customHeight="1" x14ac:dyDescent="0.25">
      <c r="A47" s="9" t="s">
        <v>35</v>
      </c>
      <c r="B47" s="9" t="s">
        <v>860</v>
      </c>
      <c r="C47" s="9" t="s">
        <v>861</v>
      </c>
      <c r="D47" s="9" t="s">
        <v>862</v>
      </c>
      <c r="E47" s="9" t="s">
        <v>863</v>
      </c>
      <c r="F47" s="9" t="s">
        <v>864</v>
      </c>
      <c r="G47" s="9" t="s">
        <v>865</v>
      </c>
      <c r="L47" s="29">
        <f>$I$5*$L$5</f>
        <v>0</v>
      </c>
      <c r="M47" s="29">
        <f>$I$5*$M$5</f>
        <v>0</v>
      </c>
      <c r="N47" s="29">
        <f>$I$5*$N$5</f>
        <v>0</v>
      </c>
      <c r="O47" s="29">
        <f>$I$5*$O$5</f>
        <v>0</v>
      </c>
      <c r="P47" s="29">
        <f>$I$5*$P$5</f>
        <v>0</v>
      </c>
      <c r="Q47" s="29">
        <f>$I$5*$Q$5</f>
        <v>173356.69281739282</v>
      </c>
      <c r="R47" s="29">
        <f>$I$5*$R$5</f>
        <v>0</v>
      </c>
      <c r="S47" s="29">
        <f>$I$5*$S$5</f>
        <v>0</v>
      </c>
      <c r="T47" s="29">
        <f>$I$5*$T$5</f>
        <v>0</v>
      </c>
      <c r="U47" s="29">
        <f>$I$5*$U$5</f>
        <v>0</v>
      </c>
      <c r="V47" s="29">
        <f>$I$5*$V$5</f>
        <v>0</v>
      </c>
      <c r="X47" s="29">
        <f>$I$5*$X$5</f>
        <v>0</v>
      </c>
      <c r="Y47" s="29">
        <f>$I$5*$Y$5</f>
        <v>0</v>
      </c>
      <c r="Z47" s="29">
        <f>$I$5*$Z$5</f>
        <v>0</v>
      </c>
      <c r="AA47" s="29">
        <f>$I$5*$AA$5</f>
        <v>0</v>
      </c>
      <c r="AB47" s="29">
        <f>$I$5*$AB$5</f>
        <v>0</v>
      </c>
      <c r="AC47" s="29">
        <f>$I$5*$AC$5</f>
        <v>180393.61418583014</v>
      </c>
      <c r="AD47" s="29">
        <f>$I$5*$AD$5</f>
        <v>0</v>
      </c>
      <c r="AE47" s="29">
        <f>$I$5*$AE$5</f>
        <v>0</v>
      </c>
      <c r="AF47" s="29">
        <f>$I$5*$AF$5</f>
        <v>0</v>
      </c>
      <c r="AG47" s="29">
        <f>$I$5*$AG$5</f>
        <v>0</v>
      </c>
      <c r="AH47" s="29">
        <f>$I$5*$AH$5</f>
        <v>0</v>
      </c>
    </row>
    <row r="48" spans="1:34" ht="11.25" customHeight="1" x14ac:dyDescent="0.25">
      <c r="A48" s="9" t="s">
        <v>35</v>
      </c>
      <c r="B48" s="9" t="s">
        <v>860</v>
      </c>
      <c r="C48" s="9" t="s">
        <v>861</v>
      </c>
      <c r="D48" s="9" t="s">
        <v>862</v>
      </c>
      <c r="E48" s="9" t="s">
        <v>863</v>
      </c>
      <c r="F48" s="9" t="s">
        <v>864</v>
      </c>
      <c r="G48" s="9" t="s">
        <v>866</v>
      </c>
      <c r="L48" s="29">
        <f>$I$6*$L$6</f>
        <v>0</v>
      </c>
      <c r="M48" s="29">
        <f>$I$6*$M$6</f>
        <v>0</v>
      </c>
      <c r="N48" s="29">
        <f>$I$6*$N$6</f>
        <v>0</v>
      </c>
      <c r="O48" s="29">
        <f>$I$6*$O$6</f>
        <v>0</v>
      </c>
      <c r="P48" s="29">
        <f>$I$6*$P$6</f>
        <v>0</v>
      </c>
      <c r="Q48" s="29">
        <f>$I$6*$Q$6</f>
        <v>4182779.7542568017</v>
      </c>
      <c r="R48" s="29">
        <f>$I$6*$R$6</f>
        <v>0</v>
      </c>
      <c r="S48" s="29">
        <f>$I$6*$S$6</f>
        <v>0</v>
      </c>
      <c r="T48" s="29">
        <f>$I$6*$T$6</f>
        <v>0</v>
      </c>
      <c r="U48" s="29">
        <f>$I$6*$U$6</f>
        <v>0</v>
      </c>
      <c r="V48" s="29">
        <f>$I$6*$V$6</f>
        <v>0</v>
      </c>
      <c r="X48" s="29">
        <f>$I$6*$X$6</f>
        <v>0</v>
      </c>
      <c r="Y48" s="29">
        <f>$I$6*$Y$6</f>
        <v>0</v>
      </c>
      <c r="Z48" s="29">
        <f>$I$6*$Z$6</f>
        <v>0</v>
      </c>
      <c r="AA48" s="29">
        <f>$I$6*$AA$6</f>
        <v>0</v>
      </c>
      <c r="AB48" s="29">
        <f>$I$6*$AB$6</f>
        <v>0</v>
      </c>
      <c r="AC48" s="29">
        <f>$I$6*$AC$6</f>
        <v>4352567.7892835271</v>
      </c>
      <c r="AD48" s="29">
        <f>$I$6*$AD$6</f>
        <v>0</v>
      </c>
      <c r="AE48" s="29">
        <f>$I$6*$AE$6</f>
        <v>0</v>
      </c>
      <c r="AF48" s="29">
        <f>$I$6*$AF$6</f>
        <v>0</v>
      </c>
      <c r="AG48" s="29">
        <f>$I$6*$AG$6</f>
        <v>0</v>
      </c>
      <c r="AH48" s="29">
        <f>$I$6*$AH$6</f>
        <v>0</v>
      </c>
    </row>
    <row r="49" spans="1:34" ht="11.25" customHeight="1" x14ac:dyDescent="0.25">
      <c r="A49" s="9" t="s">
        <v>22</v>
      </c>
      <c r="B49" s="9" t="s">
        <v>867</v>
      </c>
      <c r="C49" s="9" t="s">
        <v>868</v>
      </c>
      <c r="D49" s="9" t="s">
        <v>869</v>
      </c>
      <c r="E49" s="9" t="s">
        <v>870</v>
      </c>
      <c r="F49" s="9" t="s">
        <v>871</v>
      </c>
      <c r="G49" s="9" t="s">
        <v>872</v>
      </c>
      <c r="L49" s="29">
        <f>$I$7*$L$7</f>
        <v>0</v>
      </c>
      <c r="M49" s="29">
        <f>$I$7*$M$7</f>
        <v>0</v>
      </c>
      <c r="N49" s="29">
        <f>$I$7*$N$7</f>
        <v>0</v>
      </c>
      <c r="O49" s="29">
        <f>$I$7*$O$7</f>
        <v>0</v>
      </c>
      <c r="P49" s="29">
        <f>$I$7*$P$7</f>
        <v>0</v>
      </c>
      <c r="Q49" s="29">
        <f>$I$7*$Q$7</f>
        <v>0</v>
      </c>
      <c r="R49" s="29">
        <f>$I$7*$R$7</f>
        <v>0</v>
      </c>
      <c r="S49" s="29">
        <f>$I$7*$S$7</f>
        <v>0</v>
      </c>
      <c r="T49" s="29">
        <f>$I$7*$T$7</f>
        <v>0</v>
      </c>
      <c r="U49" s="29">
        <f>$I$7*$U$7</f>
        <v>0</v>
      </c>
      <c r="V49" s="29">
        <f>$I$7*$V$7</f>
        <v>0</v>
      </c>
      <c r="X49" s="29">
        <f>$I$7*$X$7</f>
        <v>0</v>
      </c>
      <c r="Y49" s="29">
        <f>$I$7*$Y$7</f>
        <v>0</v>
      </c>
      <c r="Z49" s="29">
        <f>$I$7*$Z$7</f>
        <v>0</v>
      </c>
      <c r="AA49" s="29">
        <f>$I$7*$AA$7</f>
        <v>0</v>
      </c>
      <c r="AB49" s="29">
        <f>$I$7*$AB$7</f>
        <v>0</v>
      </c>
      <c r="AC49" s="29">
        <f>$I$7*$AC$7</f>
        <v>0</v>
      </c>
      <c r="AD49" s="29">
        <f>$I$7*$AD$7</f>
        <v>0</v>
      </c>
      <c r="AE49" s="29">
        <f>$I$7*$AE$7</f>
        <v>0</v>
      </c>
      <c r="AF49" s="29">
        <f>$I$7*$AF$7</f>
        <v>0</v>
      </c>
      <c r="AG49" s="29">
        <f>$I$7*$AG$7</f>
        <v>0</v>
      </c>
      <c r="AH49" s="29">
        <f>$I$7*$AH$7</f>
        <v>0</v>
      </c>
    </row>
    <row r="50" spans="1:34" ht="11.25" customHeight="1" x14ac:dyDescent="0.25">
      <c r="A50" s="9" t="s">
        <v>22</v>
      </c>
      <c r="B50" s="9" t="s">
        <v>867</v>
      </c>
      <c r="C50" s="9" t="s">
        <v>868</v>
      </c>
      <c r="D50" s="9" t="s">
        <v>869</v>
      </c>
      <c r="E50" s="9" t="s">
        <v>870</v>
      </c>
      <c r="F50" s="9" t="s">
        <v>871</v>
      </c>
      <c r="G50" s="9" t="s">
        <v>873</v>
      </c>
      <c r="L50" s="29">
        <f>$I$8*$L$8</f>
        <v>0</v>
      </c>
      <c r="M50" s="29">
        <f>$I$8*$M$8</f>
        <v>0</v>
      </c>
      <c r="N50" s="29">
        <f>$I$8*$N$8</f>
        <v>0</v>
      </c>
      <c r="O50" s="29">
        <f>$I$8*$O$8</f>
        <v>0</v>
      </c>
      <c r="P50" s="29">
        <f>$I$8*$P$8</f>
        <v>0</v>
      </c>
      <c r="Q50" s="29">
        <f>$I$8*$Q$8</f>
        <v>0</v>
      </c>
      <c r="R50" s="29">
        <f>$I$8*$R$8</f>
        <v>0</v>
      </c>
      <c r="S50" s="29">
        <f>$I$8*$S$8</f>
        <v>0</v>
      </c>
      <c r="T50" s="29">
        <f>$I$8*$T$8</f>
        <v>0</v>
      </c>
      <c r="U50" s="29">
        <f>$I$8*$U$8</f>
        <v>0</v>
      </c>
      <c r="V50" s="29">
        <f>$I$8*$V$8</f>
        <v>0</v>
      </c>
      <c r="X50" s="29">
        <f>$I$8*$X$8</f>
        <v>0</v>
      </c>
      <c r="Y50" s="29">
        <f>$I$8*$Y$8</f>
        <v>0</v>
      </c>
      <c r="Z50" s="29">
        <f>$I$8*$Z$8</f>
        <v>0</v>
      </c>
      <c r="AA50" s="29">
        <f>$I$8*$AA$8</f>
        <v>0</v>
      </c>
      <c r="AB50" s="29">
        <f>$I$8*$AB$8</f>
        <v>0</v>
      </c>
      <c r="AC50" s="29">
        <f>$I$8*$AC$8</f>
        <v>0</v>
      </c>
      <c r="AD50" s="29">
        <f>$I$8*$AD$8</f>
        <v>0</v>
      </c>
      <c r="AE50" s="29">
        <f>$I$8*$AE$8</f>
        <v>0</v>
      </c>
      <c r="AF50" s="29">
        <f>$I$8*$AF$8</f>
        <v>0</v>
      </c>
      <c r="AG50" s="29">
        <f>$I$8*$AG$8</f>
        <v>0</v>
      </c>
      <c r="AH50" s="29">
        <f>$I$8*$AH$8</f>
        <v>0</v>
      </c>
    </row>
    <row r="51" spans="1:34" ht="11.25" customHeight="1" x14ac:dyDescent="0.25">
      <c r="A51" s="9" t="s">
        <v>22</v>
      </c>
      <c r="B51" s="9" t="s">
        <v>867</v>
      </c>
      <c r="C51" s="9" t="s">
        <v>868</v>
      </c>
      <c r="D51" s="9" t="s">
        <v>869</v>
      </c>
      <c r="E51" s="9" t="s">
        <v>870</v>
      </c>
      <c r="F51" s="9" t="s">
        <v>871</v>
      </c>
      <c r="G51" s="9" t="s">
        <v>874</v>
      </c>
      <c r="L51" s="29">
        <f>$I$9*$L$9</f>
        <v>0</v>
      </c>
      <c r="M51" s="29">
        <f>$I$9*$M$9</f>
        <v>0</v>
      </c>
      <c r="N51" s="29">
        <f>$I$9*$N$9</f>
        <v>0</v>
      </c>
      <c r="O51" s="29">
        <f>$I$9*$O$9</f>
        <v>0</v>
      </c>
      <c r="P51" s="29">
        <f>$I$9*$P$9</f>
        <v>0</v>
      </c>
      <c r="Q51" s="29">
        <f>$I$9*$Q$9</f>
        <v>0</v>
      </c>
      <c r="R51" s="29">
        <f>$I$9*$R$9</f>
        <v>0</v>
      </c>
      <c r="S51" s="29">
        <f>$I$9*$S$9</f>
        <v>0</v>
      </c>
      <c r="T51" s="29">
        <f>$I$9*$T$9</f>
        <v>0</v>
      </c>
      <c r="U51" s="29">
        <f>$I$9*$U$9</f>
        <v>0</v>
      </c>
      <c r="V51" s="29">
        <f>$I$9*$V$9</f>
        <v>0</v>
      </c>
      <c r="X51" s="29">
        <f>$I$9*$X$9</f>
        <v>0</v>
      </c>
      <c r="Y51" s="29">
        <f>$I$9*$Y$9</f>
        <v>0</v>
      </c>
      <c r="Z51" s="29">
        <f>$I$9*$Z$9</f>
        <v>0</v>
      </c>
      <c r="AA51" s="29">
        <f>$I$9*$AA$9</f>
        <v>0</v>
      </c>
      <c r="AB51" s="29">
        <f>$I$9*$AB$9</f>
        <v>0</v>
      </c>
      <c r="AC51" s="29">
        <f>$I$9*$AC$9</f>
        <v>0</v>
      </c>
      <c r="AD51" s="29">
        <f>$I$9*$AD$9</f>
        <v>0</v>
      </c>
      <c r="AE51" s="29">
        <f>$I$9*$AE$9</f>
        <v>0</v>
      </c>
      <c r="AF51" s="29">
        <f>$I$9*$AF$9</f>
        <v>0</v>
      </c>
      <c r="AG51" s="29">
        <f>$I$9*$AG$9</f>
        <v>0</v>
      </c>
      <c r="AH51" s="29">
        <f>$I$9*$AH$9</f>
        <v>0</v>
      </c>
    </row>
    <row r="52" spans="1:34" ht="11.25" customHeight="1" x14ac:dyDescent="0.25">
      <c r="A52" s="9" t="s">
        <v>22</v>
      </c>
      <c r="B52" s="9" t="s">
        <v>875</v>
      </c>
      <c r="C52" s="9" t="s">
        <v>876</v>
      </c>
      <c r="D52" s="9" t="s">
        <v>877</v>
      </c>
      <c r="E52" s="9" t="s">
        <v>878</v>
      </c>
      <c r="F52" s="9" t="s">
        <v>879</v>
      </c>
      <c r="G52" s="9" t="s">
        <v>880</v>
      </c>
      <c r="L52" s="29">
        <f>$I$10*$L$10</f>
        <v>0</v>
      </c>
      <c r="M52" s="29">
        <f>$I$10*$M$10</f>
        <v>0</v>
      </c>
      <c r="N52" s="29">
        <f>$I$10*$N$10</f>
        <v>0</v>
      </c>
      <c r="O52" s="29">
        <f>$I$10*$O$10</f>
        <v>0</v>
      </c>
      <c r="P52" s="29">
        <f>$I$10*$P$10</f>
        <v>0</v>
      </c>
      <c r="Q52" s="29">
        <f>$I$10*$Q$10</f>
        <v>1588223.2645307062</v>
      </c>
      <c r="R52" s="29">
        <f>$I$10*$R$10</f>
        <v>0</v>
      </c>
      <c r="S52" s="29">
        <f>$I$10*$S$10</f>
        <v>0</v>
      </c>
      <c r="T52" s="29">
        <f>$I$10*$T$10</f>
        <v>0</v>
      </c>
      <c r="U52" s="29">
        <f>$I$10*$U$10</f>
        <v>0</v>
      </c>
      <c r="V52" s="29">
        <f>$I$10*$V$10</f>
        <v>0</v>
      </c>
      <c r="X52" s="29">
        <f>$I$10*$X$10</f>
        <v>0</v>
      </c>
      <c r="Y52" s="29">
        <f>$I$10*$Y$10</f>
        <v>0</v>
      </c>
      <c r="Z52" s="29">
        <f>$I$10*$Z$10</f>
        <v>0</v>
      </c>
      <c r="AA52" s="29">
        <f>$I$10*$AA$10</f>
        <v>0</v>
      </c>
      <c r="AB52" s="29">
        <f>$I$10*$AB$10</f>
        <v>0</v>
      </c>
      <c r="AC52" s="29">
        <f>$I$10*$AC$10</f>
        <v>1652692.6660080289</v>
      </c>
      <c r="AD52" s="29">
        <f>$I$10*$AD$10</f>
        <v>0</v>
      </c>
      <c r="AE52" s="29">
        <f>$I$10*$AE$10</f>
        <v>0</v>
      </c>
      <c r="AF52" s="29">
        <f>$I$10*$AF$10</f>
        <v>0</v>
      </c>
      <c r="AG52" s="29">
        <f>$I$10*$AG$10</f>
        <v>0</v>
      </c>
      <c r="AH52" s="29">
        <f>$I$10*$AH$10</f>
        <v>0</v>
      </c>
    </row>
    <row r="53" spans="1:34" ht="11.25" customHeight="1" x14ac:dyDescent="0.25">
      <c r="A53" s="9" t="s">
        <v>22</v>
      </c>
      <c r="B53" s="9" t="s">
        <v>875</v>
      </c>
      <c r="C53" s="9" t="s">
        <v>876</v>
      </c>
      <c r="D53" s="9" t="s">
        <v>881</v>
      </c>
      <c r="E53" s="9" t="s">
        <v>882</v>
      </c>
      <c r="F53" s="9" t="s">
        <v>883</v>
      </c>
      <c r="G53" s="9" t="s">
        <v>884</v>
      </c>
      <c r="L53" s="29">
        <f>$I$11*$L$11</f>
        <v>0</v>
      </c>
      <c r="M53" s="29">
        <f>$I$11*$M$11</f>
        <v>0</v>
      </c>
      <c r="N53" s="29">
        <f>$I$11*$N$11</f>
        <v>0</v>
      </c>
      <c r="O53" s="29">
        <f>$I$11*$O$11</f>
        <v>0</v>
      </c>
      <c r="P53" s="29">
        <f>$I$11*$P$11</f>
        <v>0</v>
      </c>
      <c r="Q53" s="29">
        <f>$I$11*$Q$11</f>
        <v>1445.7391375298371</v>
      </c>
      <c r="R53" s="29">
        <f>$I$11*$R$11</f>
        <v>0</v>
      </c>
      <c r="S53" s="29">
        <f>$I$11*$S$11</f>
        <v>0</v>
      </c>
      <c r="T53" s="29">
        <f>$I$11*$T$11</f>
        <v>0</v>
      </c>
      <c r="U53" s="29">
        <f>$I$11*$U$11</f>
        <v>0</v>
      </c>
      <c r="V53" s="29">
        <f>$I$11*$V$11</f>
        <v>0</v>
      </c>
      <c r="X53" s="29">
        <f>$I$11*$X$11</f>
        <v>0</v>
      </c>
      <c r="Y53" s="29">
        <f>$I$11*$Y$11</f>
        <v>0</v>
      </c>
      <c r="Z53" s="29">
        <f>$I$11*$Z$11</f>
        <v>0</v>
      </c>
      <c r="AA53" s="29">
        <f>$I$11*$AA$11</f>
        <v>0</v>
      </c>
      <c r="AB53" s="29">
        <f>$I$11*$AB$11</f>
        <v>0</v>
      </c>
      <c r="AC53" s="29">
        <f>$I$11*$AC$11</f>
        <v>1504.4248015485132</v>
      </c>
      <c r="AD53" s="29">
        <f>$I$11*$AD$11</f>
        <v>0</v>
      </c>
      <c r="AE53" s="29">
        <f>$I$11*$AE$11</f>
        <v>0</v>
      </c>
      <c r="AF53" s="29">
        <f>$I$11*$AF$11</f>
        <v>0</v>
      </c>
      <c r="AG53" s="29">
        <f>$I$11*$AG$11</f>
        <v>0</v>
      </c>
      <c r="AH53" s="29">
        <f>$I$11*$AH$11</f>
        <v>0</v>
      </c>
    </row>
    <row r="54" spans="1:34" ht="11.25" customHeight="1" x14ac:dyDescent="0.25">
      <c r="A54" s="9" t="s">
        <v>22</v>
      </c>
      <c r="B54" s="9" t="s">
        <v>875</v>
      </c>
      <c r="C54" s="9" t="s">
        <v>876</v>
      </c>
      <c r="D54" s="9" t="s">
        <v>885</v>
      </c>
      <c r="E54" s="9" t="s">
        <v>886</v>
      </c>
      <c r="F54" s="9" t="s">
        <v>887</v>
      </c>
      <c r="G54" s="9" t="s">
        <v>888</v>
      </c>
      <c r="L54" s="29">
        <f>$I$12*$L$12</f>
        <v>0</v>
      </c>
      <c r="M54" s="29">
        <f>$I$12*$M$12</f>
        <v>0</v>
      </c>
      <c r="N54" s="29">
        <f>$I$12*$N$12</f>
        <v>0</v>
      </c>
      <c r="O54" s="29">
        <f>$I$12*$O$12</f>
        <v>0</v>
      </c>
      <c r="P54" s="29">
        <f>$I$12*$P$12</f>
        <v>0</v>
      </c>
      <c r="Q54" s="29">
        <f>$I$12*$Q$12</f>
        <v>4965.2127270636111</v>
      </c>
      <c r="R54" s="29">
        <f>$I$12*$R$12</f>
        <v>0</v>
      </c>
      <c r="S54" s="29">
        <f>$I$12*$S$12</f>
        <v>0</v>
      </c>
      <c r="T54" s="29">
        <f>$I$12*$T$12</f>
        <v>0</v>
      </c>
      <c r="U54" s="29">
        <f>$I$12*$U$12</f>
        <v>0</v>
      </c>
      <c r="V54" s="29">
        <f>$I$12*$V$12</f>
        <v>0</v>
      </c>
      <c r="X54" s="29">
        <f>$I$12*$X$12</f>
        <v>0</v>
      </c>
      <c r="Y54" s="29">
        <f>$I$12*$Y$12</f>
        <v>0</v>
      </c>
      <c r="Z54" s="29">
        <f>$I$12*$Z$12</f>
        <v>0</v>
      </c>
      <c r="AA54" s="29">
        <f>$I$12*$AA$12</f>
        <v>0</v>
      </c>
      <c r="AB54" s="29">
        <f>$I$12*$AB$12</f>
        <v>0</v>
      </c>
      <c r="AC54" s="29">
        <f>$I$12*$AC$12</f>
        <v>5166.7614008994469</v>
      </c>
      <c r="AD54" s="29">
        <f>$I$12*$AD$12</f>
        <v>0</v>
      </c>
      <c r="AE54" s="29">
        <f>$I$12*$AE$12</f>
        <v>0</v>
      </c>
      <c r="AF54" s="29">
        <f>$I$12*$AF$12</f>
        <v>0</v>
      </c>
      <c r="AG54" s="29">
        <f>$I$12*$AG$12</f>
        <v>0</v>
      </c>
      <c r="AH54" s="29">
        <f>$I$12*$AH$12</f>
        <v>0</v>
      </c>
    </row>
    <row r="55" spans="1:34" ht="11.25" customHeight="1" x14ac:dyDescent="0.25">
      <c r="A55" s="9" t="s">
        <v>22</v>
      </c>
      <c r="B55" s="9" t="s">
        <v>875</v>
      </c>
      <c r="C55" s="9" t="s">
        <v>876</v>
      </c>
      <c r="D55" s="9" t="s">
        <v>889</v>
      </c>
      <c r="E55" s="9" t="s">
        <v>890</v>
      </c>
      <c r="F55" s="9" t="s">
        <v>891</v>
      </c>
      <c r="G55" s="9" t="s">
        <v>892</v>
      </c>
      <c r="L55" s="29">
        <f>$I$13*$L$13</f>
        <v>0</v>
      </c>
      <c r="M55" s="29">
        <f>$I$13*$M$13</f>
        <v>0</v>
      </c>
      <c r="N55" s="29">
        <f>$I$13*$N$13</f>
        <v>0</v>
      </c>
      <c r="O55" s="29">
        <f>$I$13*$O$13</f>
        <v>0</v>
      </c>
      <c r="P55" s="29">
        <f>$I$13*$P$13</f>
        <v>0</v>
      </c>
      <c r="Q55" s="29">
        <f>$I$13*$Q$13</f>
        <v>7195.9120561206946</v>
      </c>
      <c r="R55" s="29">
        <f>$I$13*$R$13</f>
        <v>0</v>
      </c>
      <c r="S55" s="29">
        <f>$I$13*$S$13</f>
        <v>0</v>
      </c>
      <c r="T55" s="29">
        <f>$I$13*$T$13</f>
        <v>0</v>
      </c>
      <c r="U55" s="29">
        <f>$I$13*$U$13</f>
        <v>0</v>
      </c>
      <c r="V55" s="29">
        <f>$I$13*$V$13</f>
        <v>0</v>
      </c>
      <c r="X55" s="29">
        <f>$I$13*$X$13</f>
        <v>0</v>
      </c>
      <c r="Y55" s="29">
        <f>$I$13*$Y$13</f>
        <v>0</v>
      </c>
      <c r="Z55" s="29">
        <f>$I$13*$Z$13</f>
        <v>0</v>
      </c>
      <c r="AA55" s="29">
        <f>$I$13*$AA$13</f>
        <v>0</v>
      </c>
      <c r="AB55" s="29">
        <f>$I$13*$AB$13</f>
        <v>0</v>
      </c>
      <c r="AC55" s="29">
        <f>$I$13*$AC$13</f>
        <v>7488.0096180328637</v>
      </c>
      <c r="AD55" s="29">
        <f>$I$13*$AD$13</f>
        <v>0</v>
      </c>
      <c r="AE55" s="29">
        <f>$I$13*$AE$13</f>
        <v>0</v>
      </c>
      <c r="AF55" s="29">
        <f>$I$13*$AF$13</f>
        <v>0</v>
      </c>
      <c r="AG55" s="29">
        <f>$I$13*$AG$13</f>
        <v>0</v>
      </c>
      <c r="AH55" s="29">
        <f>$I$13*$AH$13</f>
        <v>0</v>
      </c>
    </row>
    <row r="56" spans="1:34" ht="11.25" customHeight="1" x14ac:dyDescent="0.25">
      <c r="A56" s="9" t="s">
        <v>22</v>
      </c>
      <c r="B56" s="9" t="s">
        <v>875</v>
      </c>
      <c r="C56" s="9" t="s">
        <v>876</v>
      </c>
      <c r="D56" s="9" t="s">
        <v>893</v>
      </c>
      <c r="E56" s="9" t="s">
        <v>894</v>
      </c>
      <c r="F56" s="9" t="s">
        <v>895</v>
      </c>
      <c r="G56" s="9" t="s">
        <v>896</v>
      </c>
      <c r="L56" s="29">
        <f>$I$14*$L$14</f>
        <v>0</v>
      </c>
      <c r="M56" s="29">
        <f>$I$14*$M$14</f>
        <v>0</v>
      </c>
      <c r="N56" s="29">
        <f>$I$14*$N$14</f>
        <v>0</v>
      </c>
      <c r="O56" s="29">
        <f>$I$14*$O$14</f>
        <v>0</v>
      </c>
      <c r="P56" s="29">
        <f>$I$14*$P$14</f>
        <v>0</v>
      </c>
      <c r="Q56" s="29">
        <f>$I$14*$Q$14</f>
        <v>3045.5912206211137</v>
      </c>
      <c r="R56" s="29">
        <f>$I$14*$R$14</f>
        <v>0</v>
      </c>
      <c r="S56" s="29">
        <f>$I$14*$S$14</f>
        <v>0</v>
      </c>
      <c r="T56" s="29">
        <f>$I$14*$T$14</f>
        <v>0</v>
      </c>
      <c r="U56" s="29">
        <f>$I$14*$U$14</f>
        <v>0</v>
      </c>
      <c r="V56" s="29">
        <f>$I$14*$V$14</f>
        <v>0</v>
      </c>
      <c r="X56" s="29">
        <f>$I$14*$X$14</f>
        <v>0</v>
      </c>
      <c r="Y56" s="29">
        <f>$I$14*$Y$14</f>
        <v>0</v>
      </c>
      <c r="Z56" s="29">
        <f>$I$14*$Z$14</f>
        <v>0</v>
      </c>
      <c r="AA56" s="29">
        <f>$I$14*$AA$14</f>
        <v>0</v>
      </c>
      <c r="AB56" s="29">
        <f>$I$14*$AB$14</f>
        <v>0</v>
      </c>
      <c r="AC56" s="29">
        <f>$I$14*$AC$14</f>
        <v>3169.2183248973188</v>
      </c>
      <c r="AD56" s="29">
        <f>$I$14*$AD$14</f>
        <v>0</v>
      </c>
      <c r="AE56" s="29">
        <f>$I$14*$AE$14</f>
        <v>0</v>
      </c>
      <c r="AF56" s="29">
        <f>$I$14*$AF$14</f>
        <v>0</v>
      </c>
      <c r="AG56" s="29">
        <f>$I$14*$AG$14</f>
        <v>0</v>
      </c>
      <c r="AH56" s="29">
        <f>$I$14*$AH$14</f>
        <v>0</v>
      </c>
    </row>
    <row r="57" spans="1:34" ht="11.25" customHeight="1" x14ac:dyDescent="0.25">
      <c r="A57" s="9" t="s">
        <v>22</v>
      </c>
      <c r="B57" s="9" t="s">
        <v>897</v>
      </c>
      <c r="C57" s="9" t="s">
        <v>898</v>
      </c>
      <c r="D57" s="9" t="s">
        <v>899</v>
      </c>
      <c r="E57" s="9" t="s">
        <v>900</v>
      </c>
      <c r="F57" s="9" t="s">
        <v>901</v>
      </c>
      <c r="G57" s="9" t="s">
        <v>902</v>
      </c>
      <c r="L57" s="29">
        <f>$I$15*$L$15</f>
        <v>0</v>
      </c>
      <c r="M57" s="29">
        <f>$I$15*$M$15</f>
        <v>0</v>
      </c>
      <c r="N57" s="29">
        <f>$I$15*$N$15</f>
        <v>0</v>
      </c>
      <c r="O57" s="29">
        <f>$I$15*$O$15</f>
        <v>0</v>
      </c>
      <c r="P57" s="29">
        <f>$I$15*$P$15</f>
        <v>0</v>
      </c>
      <c r="Q57" s="29">
        <f>$I$15*$Q$15</f>
        <v>0</v>
      </c>
      <c r="R57" s="29">
        <f>$I$15*$R$15</f>
        <v>0</v>
      </c>
      <c r="S57" s="29">
        <f>$I$15*$S$15</f>
        <v>0</v>
      </c>
      <c r="T57" s="29">
        <f>$I$15*$T$15</f>
        <v>0</v>
      </c>
      <c r="U57" s="29">
        <f>$I$15*$U$15</f>
        <v>0</v>
      </c>
      <c r="V57" s="29">
        <f>$I$15*$V$15</f>
        <v>0</v>
      </c>
      <c r="X57" s="29">
        <f>$I$15*$X$15</f>
        <v>0</v>
      </c>
      <c r="Y57" s="29">
        <f>$I$15*$Y$15</f>
        <v>0</v>
      </c>
      <c r="Z57" s="29">
        <f>$I$15*$Z$15</f>
        <v>0</v>
      </c>
      <c r="AA57" s="29">
        <f>$I$15*$AA$15</f>
        <v>0</v>
      </c>
      <c r="AB57" s="29">
        <f>$I$15*$AB$15</f>
        <v>0</v>
      </c>
      <c r="AC57" s="29">
        <f>$I$15*$AC$15</f>
        <v>0</v>
      </c>
      <c r="AD57" s="29">
        <f>$I$15*$AD$15</f>
        <v>0</v>
      </c>
      <c r="AE57" s="29">
        <f>$I$15*$AE$15</f>
        <v>0</v>
      </c>
      <c r="AF57" s="29">
        <f>$I$15*$AF$15</f>
        <v>0</v>
      </c>
      <c r="AG57" s="29">
        <f>$I$15*$AG$15</f>
        <v>0</v>
      </c>
      <c r="AH57" s="29">
        <f>$I$15*$AH$15</f>
        <v>0</v>
      </c>
    </row>
    <row r="58" spans="1:34" ht="11.25" customHeight="1" x14ac:dyDescent="0.25">
      <c r="A58" s="9" t="s">
        <v>22</v>
      </c>
      <c r="B58" s="9" t="s">
        <v>897</v>
      </c>
      <c r="C58" s="9" t="s">
        <v>898</v>
      </c>
      <c r="D58" s="9" t="s">
        <v>903</v>
      </c>
      <c r="E58" s="9" t="s">
        <v>904</v>
      </c>
      <c r="F58" s="9" t="s">
        <v>905</v>
      </c>
      <c r="G58" s="9" t="s">
        <v>906</v>
      </c>
      <c r="L58" s="29">
        <f>$I$16*$L$16</f>
        <v>0</v>
      </c>
      <c r="M58" s="29">
        <f>$I$16*$M$16</f>
        <v>0</v>
      </c>
      <c r="N58" s="29">
        <f>$I$16*$N$16</f>
        <v>0</v>
      </c>
      <c r="O58" s="29">
        <f>$I$16*$O$16</f>
        <v>0</v>
      </c>
      <c r="P58" s="29">
        <f>$I$16*$P$16</f>
        <v>0</v>
      </c>
      <c r="Q58" s="29">
        <f>$I$16*$Q$16</f>
        <v>0</v>
      </c>
      <c r="R58" s="29">
        <f>$I$16*$R$16</f>
        <v>0</v>
      </c>
      <c r="S58" s="29">
        <f>$I$16*$S$16</f>
        <v>0</v>
      </c>
      <c r="T58" s="29">
        <f>$I$16*$T$16</f>
        <v>0</v>
      </c>
      <c r="U58" s="29">
        <f>$I$16*$U$16</f>
        <v>0</v>
      </c>
      <c r="V58" s="29">
        <f>$I$16*$V$16</f>
        <v>0</v>
      </c>
      <c r="X58" s="29">
        <f>$I$16*$X$16</f>
        <v>0</v>
      </c>
      <c r="Y58" s="29">
        <f>$I$16*$Y$16</f>
        <v>0</v>
      </c>
      <c r="Z58" s="29">
        <f>$I$16*$Z$16</f>
        <v>0</v>
      </c>
      <c r="AA58" s="29">
        <f>$I$16*$AA$16</f>
        <v>0</v>
      </c>
      <c r="AB58" s="29">
        <f>$I$16*$AB$16</f>
        <v>0</v>
      </c>
      <c r="AC58" s="29">
        <f>$I$16*$AC$16</f>
        <v>0</v>
      </c>
      <c r="AD58" s="29">
        <f>$I$16*$AD$16</f>
        <v>0</v>
      </c>
      <c r="AE58" s="29">
        <f>$I$16*$AE$16</f>
        <v>0</v>
      </c>
      <c r="AF58" s="29">
        <f>$I$16*$AF$16</f>
        <v>0</v>
      </c>
      <c r="AG58" s="29">
        <f>$I$16*$AG$16</f>
        <v>0</v>
      </c>
      <c r="AH58" s="29">
        <f>$I$16*$AH$16</f>
        <v>0</v>
      </c>
    </row>
    <row r="59" spans="1:34" ht="11.25" customHeight="1" x14ac:dyDescent="0.25">
      <c r="A59" s="9" t="s">
        <v>22</v>
      </c>
      <c r="B59" s="9" t="s">
        <v>897</v>
      </c>
      <c r="C59" s="9" t="s">
        <v>898</v>
      </c>
      <c r="D59" s="9" t="s">
        <v>907</v>
      </c>
      <c r="E59" s="9" t="s">
        <v>908</v>
      </c>
      <c r="F59" s="9" t="s">
        <v>909</v>
      </c>
      <c r="G59" s="9" t="s">
        <v>910</v>
      </c>
      <c r="L59" s="29">
        <f>$I$17*$L$17</f>
        <v>0</v>
      </c>
      <c r="M59" s="29">
        <f>$I$17*$M$17</f>
        <v>0</v>
      </c>
      <c r="N59" s="29">
        <f>$I$17*$N$17</f>
        <v>0</v>
      </c>
      <c r="O59" s="29">
        <f>$I$17*$O$17</f>
        <v>0</v>
      </c>
      <c r="P59" s="29">
        <f>$I$17*$P$17</f>
        <v>0</v>
      </c>
      <c r="Q59" s="29">
        <f>$I$17*$Q$17</f>
        <v>0</v>
      </c>
      <c r="R59" s="29">
        <f>$I$17*$R$17</f>
        <v>0</v>
      </c>
      <c r="S59" s="29">
        <f>$I$17*$S$17</f>
        <v>0</v>
      </c>
      <c r="T59" s="29">
        <f>$I$17*$T$17</f>
        <v>0</v>
      </c>
      <c r="U59" s="29">
        <f>$I$17*$U$17</f>
        <v>0</v>
      </c>
      <c r="V59" s="29">
        <f>$I$17*$V$17</f>
        <v>0</v>
      </c>
      <c r="X59" s="29">
        <f>$I$17*$X$17</f>
        <v>0</v>
      </c>
      <c r="Y59" s="29">
        <f>$I$17*$Y$17</f>
        <v>0</v>
      </c>
      <c r="Z59" s="29">
        <f>$I$17*$Z$17</f>
        <v>0</v>
      </c>
      <c r="AA59" s="29">
        <f>$I$17*$AA$17</f>
        <v>0</v>
      </c>
      <c r="AB59" s="29">
        <f>$I$17*$AB$17</f>
        <v>0</v>
      </c>
      <c r="AC59" s="29">
        <f>$I$17*$AC$17</f>
        <v>0</v>
      </c>
      <c r="AD59" s="29">
        <f>$I$17*$AD$17</f>
        <v>0</v>
      </c>
      <c r="AE59" s="29">
        <f>$I$17*$AE$17</f>
        <v>0</v>
      </c>
      <c r="AF59" s="29">
        <f>$I$17*$AF$17</f>
        <v>0</v>
      </c>
      <c r="AG59" s="29">
        <f>$I$17*$AG$17</f>
        <v>0</v>
      </c>
      <c r="AH59" s="29">
        <f>$I$17*$AH$17</f>
        <v>0</v>
      </c>
    </row>
    <row r="60" spans="1:34" ht="11.25" customHeight="1" x14ac:dyDescent="0.25">
      <c r="A60" s="9" t="s">
        <v>22</v>
      </c>
      <c r="B60" s="9" t="s">
        <v>897</v>
      </c>
      <c r="C60" s="9" t="s">
        <v>898</v>
      </c>
      <c r="D60" s="9" t="s">
        <v>911</v>
      </c>
      <c r="E60" s="9" t="s">
        <v>912</v>
      </c>
      <c r="F60" s="9" t="s">
        <v>913</v>
      </c>
      <c r="G60" s="9" t="s">
        <v>914</v>
      </c>
      <c r="L60" s="29">
        <f>$I$18*$L$18</f>
        <v>0</v>
      </c>
      <c r="M60" s="29">
        <f>$I$18*$M$18</f>
        <v>0</v>
      </c>
      <c r="N60" s="29">
        <f>$I$18*$N$18</f>
        <v>0</v>
      </c>
      <c r="O60" s="29">
        <f>$I$18*$O$18</f>
        <v>0</v>
      </c>
      <c r="P60" s="29">
        <f>$I$18*$P$18</f>
        <v>0</v>
      </c>
      <c r="Q60" s="29">
        <f>$I$18*$Q$18</f>
        <v>0</v>
      </c>
      <c r="R60" s="29">
        <f>$I$18*$R$18</f>
        <v>0</v>
      </c>
      <c r="S60" s="29">
        <f>$I$18*$S$18</f>
        <v>0</v>
      </c>
      <c r="T60" s="29">
        <f>$I$18*$T$18</f>
        <v>0</v>
      </c>
      <c r="U60" s="29">
        <f>$I$18*$U$18</f>
        <v>0</v>
      </c>
      <c r="V60" s="29">
        <f>$I$18*$V$18</f>
        <v>0</v>
      </c>
      <c r="X60" s="29">
        <f>$I$18*$X$18</f>
        <v>0</v>
      </c>
      <c r="Y60" s="29">
        <f>$I$18*$Y$18</f>
        <v>0</v>
      </c>
      <c r="Z60" s="29">
        <f>$I$18*$Z$18</f>
        <v>0</v>
      </c>
      <c r="AA60" s="29">
        <f>$I$18*$AA$18</f>
        <v>0</v>
      </c>
      <c r="AB60" s="29">
        <f>$I$18*$AB$18</f>
        <v>0</v>
      </c>
      <c r="AC60" s="29">
        <f>$I$18*$AC$18</f>
        <v>0</v>
      </c>
      <c r="AD60" s="29">
        <f>$I$18*$AD$18</f>
        <v>0</v>
      </c>
      <c r="AE60" s="29">
        <f>$I$18*$AE$18</f>
        <v>0</v>
      </c>
      <c r="AF60" s="29">
        <f>$I$18*$AF$18</f>
        <v>0</v>
      </c>
      <c r="AG60" s="29">
        <f>$I$18*$AG$18</f>
        <v>0</v>
      </c>
      <c r="AH60" s="29">
        <f>$I$18*$AH$18</f>
        <v>0</v>
      </c>
    </row>
    <row r="61" spans="1:34" ht="11.25" customHeight="1" x14ac:dyDescent="0.25">
      <c r="A61" s="9" t="s">
        <v>22</v>
      </c>
      <c r="B61" s="9" t="s">
        <v>897</v>
      </c>
      <c r="C61" s="9" t="s">
        <v>898</v>
      </c>
      <c r="D61" s="9" t="s">
        <v>915</v>
      </c>
      <c r="E61" s="9" t="s">
        <v>916</v>
      </c>
      <c r="F61" s="9" t="s">
        <v>917</v>
      </c>
      <c r="G61" s="9" t="s">
        <v>918</v>
      </c>
      <c r="L61" s="29">
        <f>$I$19*$L$19</f>
        <v>0</v>
      </c>
      <c r="M61" s="29">
        <f>$I$19*$M$19</f>
        <v>0</v>
      </c>
      <c r="N61" s="29">
        <f>$I$19*$N$19</f>
        <v>0</v>
      </c>
      <c r="O61" s="29">
        <f>$I$19*$O$19</f>
        <v>0</v>
      </c>
      <c r="P61" s="29">
        <f>$I$19*$P$19</f>
        <v>0</v>
      </c>
      <c r="Q61" s="29">
        <f>$I$19*$Q$19</f>
        <v>0</v>
      </c>
      <c r="R61" s="29">
        <f>$I$19*$R$19</f>
        <v>0</v>
      </c>
      <c r="S61" s="29">
        <f>$I$19*$S$19</f>
        <v>0</v>
      </c>
      <c r="T61" s="29">
        <f>$I$19*$T$19</f>
        <v>0</v>
      </c>
      <c r="U61" s="29">
        <f>$I$19*$U$19</f>
        <v>0</v>
      </c>
      <c r="V61" s="29">
        <f>$I$19*$V$19</f>
        <v>0</v>
      </c>
      <c r="X61" s="29">
        <f>$I$19*$X$19</f>
        <v>0</v>
      </c>
      <c r="Y61" s="29">
        <f>$I$19*$Y$19</f>
        <v>0</v>
      </c>
      <c r="Z61" s="29">
        <f>$I$19*$Z$19</f>
        <v>0</v>
      </c>
      <c r="AA61" s="29">
        <f>$I$19*$AA$19</f>
        <v>0</v>
      </c>
      <c r="AB61" s="29">
        <f>$I$19*$AB$19</f>
        <v>0</v>
      </c>
      <c r="AC61" s="29">
        <f>$I$19*$AC$19</f>
        <v>0</v>
      </c>
      <c r="AD61" s="29">
        <f>$I$19*$AD$19</f>
        <v>0</v>
      </c>
      <c r="AE61" s="29">
        <f>$I$19*$AE$19</f>
        <v>0</v>
      </c>
      <c r="AF61" s="29">
        <f>$I$19*$AF$19</f>
        <v>0</v>
      </c>
      <c r="AG61" s="29">
        <f>$I$19*$AG$19</f>
        <v>0</v>
      </c>
      <c r="AH61" s="29">
        <f>$I$19*$AH$19</f>
        <v>0</v>
      </c>
    </row>
    <row r="62" spans="1:34" ht="11.25" customHeight="1" x14ac:dyDescent="0.25">
      <c r="A62" s="9" t="s">
        <v>40</v>
      </c>
      <c r="B62" s="9" t="s">
        <v>919</v>
      </c>
      <c r="C62" s="9" t="s">
        <v>920</v>
      </c>
      <c r="D62" s="9" t="s">
        <v>921</v>
      </c>
      <c r="E62" s="9" t="s">
        <v>922</v>
      </c>
      <c r="F62" s="9" t="s">
        <v>923</v>
      </c>
      <c r="G62" s="9" t="s">
        <v>924</v>
      </c>
      <c r="L62" s="29">
        <f>$I$20*$L$20</f>
        <v>0</v>
      </c>
      <c r="M62" s="29">
        <f>$I$20*$M$20</f>
        <v>0</v>
      </c>
      <c r="N62" s="29">
        <f>$I$20*$N$20</f>
        <v>0</v>
      </c>
      <c r="O62" s="29">
        <f>$I$20*$O$20</f>
        <v>0</v>
      </c>
      <c r="P62" s="29">
        <f>$I$20*$P$20</f>
        <v>0</v>
      </c>
      <c r="Q62" s="29">
        <f>$I$20*$Q$20</f>
        <v>0</v>
      </c>
      <c r="R62" s="29">
        <f>$I$20*$R$20</f>
        <v>0</v>
      </c>
      <c r="S62" s="29">
        <f>$I$20*$S$20</f>
        <v>0</v>
      </c>
      <c r="T62" s="29">
        <f>$I$20*$T$20</f>
        <v>0</v>
      </c>
      <c r="U62" s="29">
        <f>$I$20*$U$20</f>
        <v>0</v>
      </c>
      <c r="V62" s="29">
        <f>$I$20*$V$20</f>
        <v>0</v>
      </c>
      <c r="X62" s="29">
        <f>$I$20*$X$20</f>
        <v>0</v>
      </c>
      <c r="Y62" s="29">
        <f>$I$20*$Y$20</f>
        <v>0</v>
      </c>
      <c r="Z62" s="29">
        <f>$I$20*$Z$20</f>
        <v>0</v>
      </c>
      <c r="AA62" s="29">
        <f>$I$20*$AA$20</f>
        <v>0</v>
      </c>
      <c r="AB62" s="29">
        <f>$I$20*$AB$20</f>
        <v>0</v>
      </c>
      <c r="AC62" s="29">
        <f>$I$20*$AC$20</f>
        <v>0</v>
      </c>
      <c r="AD62" s="29">
        <f>$I$20*$AD$20</f>
        <v>0</v>
      </c>
      <c r="AE62" s="29">
        <f>$I$20*$AE$20</f>
        <v>0</v>
      </c>
      <c r="AF62" s="29">
        <f>$I$20*$AF$20</f>
        <v>0</v>
      </c>
      <c r="AG62" s="29">
        <f>$I$20*$AG$20</f>
        <v>0</v>
      </c>
      <c r="AH62" s="29">
        <f>$I$20*$AH$20</f>
        <v>0</v>
      </c>
    </row>
    <row r="63" spans="1:34" ht="11.25" customHeight="1" x14ac:dyDescent="0.25">
      <c r="A63" s="9" t="s">
        <v>40</v>
      </c>
      <c r="B63" s="9" t="s">
        <v>919</v>
      </c>
      <c r="C63" s="9" t="s">
        <v>920</v>
      </c>
      <c r="D63" s="9" t="s">
        <v>921</v>
      </c>
      <c r="E63" s="9" t="s">
        <v>922</v>
      </c>
      <c r="F63" s="9" t="s">
        <v>923</v>
      </c>
      <c r="G63" s="9" t="s">
        <v>925</v>
      </c>
      <c r="L63" s="29">
        <f>$I$21*$L$21</f>
        <v>0</v>
      </c>
      <c r="M63" s="29">
        <f>$I$21*$M$21</f>
        <v>0</v>
      </c>
      <c r="N63" s="29">
        <f>$I$21*$N$21</f>
        <v>0</v>
      </c>
      <c r="O63" s="29">
        <f>$I$21*$O$21</f>
        <v>0</v>
      </c>
      <c r="P63" s="29">
        <f>$I$21*$P$21</f>
        <v>0</v>
      </c>
      <c r="Q63" s="29">
        <f>$I$21*$Q$21</f>
        <v>0</v>
      </c>
      <c r="R63" s="29">
        <f>$I$21*$R$21</f>
        <v>0</v>
      </c>
      <c r="S63" s="29">
        <f>$I$21*$S$21</f>
        <v>0</v>
      </c>
      <c r="T63" s="29">
        <f>$I$21*$T$21</f>
        <v>0</v>
      </c>
      <c r="U63" s="29">
        <f>$I$21*$U$21</f>
        <v>0</v>
      </c>
      <c r="V63" s="29">
        <f>$I$21*$V$21</f>
        <v>0</v>
      </c>
      <c r="X63" s="29">
        <f>$I$21*$X$21</f>
        <v>0</v>
      </c>
      <c r="Y63" s="29">
        <f>$I$21*$Y$21</f>
        <v>0</v>
      </c>
      <c r="Z63" s="29">
        <f>$I$21*$Z$21</f>
        <v>0</v>
      </c>
      <c r="AA63" s="29">
        <f>$I$21*$AA$21</f>
        <v>0</v>
      </c>
      <c r="AB63" s="29">
        <f>$I$21*$AB$21</f>
        <v>0</v>
      </c>
      <c r="AC63" s="29">
        <f>$I$21*$AC$21</f>
        <v>0</v>
      </c>
      <c r="AD63" s="29">
        <f>$I$21*$AD$21</f>
        <v>0</v>
      </c>
      <c r="AE63" s="29">
        <f>$I$21*$AE$21</f>
        <v>0</v>
      </c>
      <c r="AF63" s="29">
        <f>$I$21*$AF$21</f>
        <v>0</v>
      </c>
      <c r="AG63" s="29">
        <f>$I$21*$AG$21</f>
        <v>0</v>
      </c>
      <c r="AH63" s="29">
        <f>$I$21*$AH$21</f>
        <v>0</v>
      </c>
    </row>
    <row r="64" spans="1:34" ht="11.25" customHeight="1" x14ac:dyDescent="0.25">
      <c r="A64" s="9" t="s">
        <v>40</v>
      </c>
      <c r="B64" s="9" t="s">
        <v>919</v>
      </c>
      <c r="C64" s="9" t="s">
        <v>920</v>
      </c>
      <c r="D64" s="9" t="s">
        <v>921</v>
      </c>
      <c r="E64" s="9" t="s">
        <v>922</v>
      </c>
      <c r="F64" s="9" t="s">
        <v>923</v>
      </c>
      <c r="G64" s="9" t="s">
        <v>926</v>
      </c>
      <c r="L64" s="29">
        <f>$I$22*$L$22</f>
        <v>0</v>
      </c>
      <c r="M64" s="29">
        <f>$I$22*$M$22</f>
        <v>0</v>
      </c>
      <c r="N64" s="29">
        <f>$I$22*$N$22</f>
        <v>0</v>
      </c>
      <c r="O64" s="29">
        <f>$I$22*$O$22</f>
        <v>0</v>
      </c>
      <c r="P64" s="29">
        <f>$I$22*$P$22</f>
        <v>0</v>
      </c>
      <c r="Q64" s="29">
        <f>$I$22*$Q$22</f>
        <v>0</v>
      </c>
      <c r="R64" s="29">
        <f>$I$22*$R$22</f>
        <v>0</v>
      </c>
      <c r="S64" s="29">
        <f>$I$22*$S$22</f>
        <v>0</v>
      </c>
      <c r="T64" s="29">
        <f>$I$22*$T$22</f>
        <v>0</v>
      </c>
      <c r="U64" s="29">
        <f>$I$22*$U$22</f>
        <v>0</v>
      </c>
      <c r="V64" s="29">
        <f>$I$22*$V$22</f>
        <v>0</v>
      </c>
      <c r="X64" s="29">
        <f>$I$22*$X$22</f>
        <v>0</v>
      </c>
      <c r="Y64" s="29">
        <f>$I$22*$Y$22</f>
        <v>0</v>
      </c>
      <c r="Z64" s="29">
        <f>$I$22*$Z$22</f>
        <v>0</v>
      </c>
      <c r="AA64" s="29">
        <f>$I$22*$AA$22</f>
        <v>0</v>
      </c>
      <c r="AB64" s="29">
        <f>$I$22*$AB$22</f>
        <v>0</v>
      </c>
      <c r="AC64" s="29">
        <f>$I$22*$AC$22</f>
        <v>0</v>
      </c>
      <c r="AD64" s="29">
        <f>$I$22*$AD$22</f>
        <v>0</v>
      </c>
      <c r="AE64" s="29">
        <f>$I$22*$AE$22</f>
        <v>0</v>
      </c>
      <c r="AF64" s="29">
        <f>$I$22*$AF$22</f>
        <v>0</v>
      </c>
      <c r="AG64" s="29">
        <f>$I$22*$AG$22</f>
        <v>0</v>
      </c>
      <c r="AH64" s="29">
        <f>$I$22*$AH$22</f>
        <v>0</v>
      </c>
    </row>
    <row r="65" spans="1:34" ht="11.25" customHeight="1" x14ac:dyDescent="0.25">
      <c r="A65" s="9" t="s">
        <v>40</v>
      </c>
      <c r="B65" s="9" t="s">
        <v>927</v>
      </c>
      <c r="C65" s="9" t="s">
        <v>928</v>
      </c>
      <c r="D65" s="9" t="s">
        <v>929</v>
      </c>
      <c r="E65" s="9" t="s">
        <v>930</v>
      </c>
      <c r="F65" s="9" t="s">
        <v>931</v>
      </c>
      <c r="G65" s="9" t="s">
        <v>932</v>
      </c>
      <c r="L65" s="29">
        <f>$I$23*$L$23</f>
        <v>0</v>
      </c>
      <c r="M65" s="29">
        <f>$I$23*$M$23</f>
        <v>0</v>
      </c>
      <c r="N65" s="29">
        <f>$I$23*$N$23</f>
        <v>0</v>
      </c>
      <c r="O65" s="29">
        <f>$I$23*$O$23</f>
        <v>0</v>
      </c>
      <c r="P65" s="29">
        <f>$I$23*$P$23</f>
        <v>0</v>
      </c>
      <c r="Q65" s="29">
        <f>$I$23*$Q$23</f>
        <v>5113677.207731829</v>
      </c>
      <c r="R65" s="29">
        <f>$I$23*$R$23</f>
        <v>0</v>
      </c>
      <c r="S65" s="29">
        <f>$I$23*$S$23</f>
        <v>0</v>
      </c>
      <c r="T65" s="29">
        <f>$I$23*$T$23</f>
        <v>0</v>
      </c>
      <c r="U65" s="29">
        <f>$I$23*$U$23</f>
        <v>0</v>
      </c>
      <c r="V65" s="29">
        <f>$I$23*$V$23</f>
        <v>0</v>
      </c>
      <c r="X65" s="29">
        <f>$I$23*$X$23</f>
        <v>0</v>
      </c>
      <c r="Y65" s="29">
        <f>$I$23*$Y$23</f>
        <v>0</v>
      </c>
      <c r="Z65" s="29">
        <f>$I$23*$Z$23</f>
        <v>0</v>
      </c>
      <c r="AA65" s="29">
        <f>$I$23*$AA$23</f>
        <v>0</v>
      </c>
      <c r="AB65" s="29">
        <f>$I$23*$AB$23</f>
        <v>0</v>
      </c>
      <c r="AC65" s="29">
        <f>$I$23*$AC$23</f>
        <v>4981597.9675761545</v>
      </c>
      <c r="AD65" s="29">
        <f>$I$23*$AD$23</f>
        <v>0</v>
      </c>
      <c r="AE65" s="29">
        <f>$I$23*$AE$23</f>
        <v>0</v>
      </c>
      <c r="AF65" s="29">
        <f>$I$23*$AF$23</f>
        <v>0</v>
      </c>
      <c r="AG65" s="29">
        <f>$I$23*$AG$23</f>
        <v>0</v>
      </c>
      <c r="AH65" s="29">
        <f>$I$23*$AH$23</f>
        <v>0</v>
      </c>
    </row>
    <row r="66" spans="1:34" ht="11.25" customHeight="1" x14ac:dyDescent="0.25">
      <c r="A66" s="9" t="s">
        <v>40</v>
      </c>
      <c r="B66" s="9" t="s">
        <v>919</v>
      </c>
      <c r="C66" s="9" t="s">
        <v>920</v>
      </c>
      <c r="D66" s="9" t="s">
        <v>933</v>
      </c>
      <c r="E66" s="9" t="s">
        <v>934</v>
      </c>
      <c r="F66" s="9" t="s">
        <v>935</v>
      </c>
      <c r="G66" s="9" t="s">
        <v>936</v>
      </c>
      <c r="L66" s="29">
        <f>$I$24*$L$24</f>
        <v>0</v>
      </c>
      <c r="M66" s="29">
        <f>$I$24*$M$24</f>
        <v>0</v>
      </c>
      <c r="N66" s="29">
        <f>$I$24*$N$24</f>
        <v>0</v>
      </c>
      <c r="O66" s="29">
        <f>$I$24*$O$24</f>
        <v>0</v>
      </c>
      <c r="P66" s="29">
        <f>$I$24*$P$24</f>
        <v>0</v>
      </c>
      <c r="Q66" s="29">
        <f>$I$24*$Q$24</f>
        <v>0</v>
      </c>
      <c r="R66" s="29">
        <f>$I$24*$R$24</f>
        <v>0</v>
      </c>
      <c r="S66" s="29">
        <f>$I$24*$S$24</f>
        <v>0</v>
      </c>
      <c r="T66" s="29">
        <f>$I$24*$T$24</f>
        <v>0</v>
      </c>
      <c r="U66" s="29">
        <f>$I$24*$U$24</f>
        <v>0</v>
      </c>
      <c r="V66" s="29">
        <f>$I$24*$V$24</f>
        <v>0</v>
      </c>
      <c r="X66" s="29">
        <f>$I$24*$X$24</f>
        <v>0</v>
      </c>
      <c r="Y66" s="29">
        <f>$I$24*$Y$24</f>
        <v>0</v>
      </c>
      <c r="Z66" s="29">
        <f>$I$24*$Z$24</f>
        <v>0</v>
      </c>
      <c r="AA66" s="29">
        <f>$I$24*$AA$24</f>
        <v>0</v>
      </c>
      <c r="AB66" s="29">
        <f>$I$24*$AB$24</f>
        <v>0</v>
      </c>
      <c r="AC66" s="29">
        <f>$I$24*$AC$24</f>
        <v>0</v>
      </c>
      <c r="AD66" s="29">
        <f>$I$24*$AD$24</f>
        <v>0</v>
      </c>
      <c r="AE66" s="29">
        <f>$I$24*$AE$24</f>
        <v>0</v>
      </c>
      <c r="AF66" s="29">
        <f>$I$24*$AF$24</f>
        <v>0</v>
      </c>
      <c r="AG66" s="29">
        <f>$I$24*$AG$24</f>
        <v>0</v>
      </c>
      <c r="AH66" s="29">
        <f>$I$24*$AH$24</f>
        <v>0</v>
      </c>
    </row>
    <row r="67" spans="1:34" ht="11.25" customHeight="1" x14ac:dyDescent="0.25">
      <c r="A67" s="9" t="s">
        <v>40</v>
      </c>
      <c r="B67" s="9" t="s">
        <v>919</v>
      </c>
      <c r="C67" s="9" t="s">
        <v>920</v>
      </c>
      <c r="D67" s="9" t="s">
        <v>933</v>
      </c>
      <c r="E67" s="9" t="s">
        <v>934</v>
      </c>
      <c r="F67" s="9" t="s">
        <v>935</v>
      </c>
      <c r="G67" s="9" t="s">
        <v>937</v>
      </c>
      <c r="L67" s="29">
        <f>$I$25*$L$25</f>
        <v>0</v>
      </c>
      <c r="M67" s="29">
        <f>$I$25*$M$25</f>
        <v>0</v>
      </c>
      <c r="N67" s="29">
        <f>$I$25*$N$25</f>
        <v>0</v>
      </c>
      <c r="O67" s="29">
        <f>$I$25*$O$25</f>
        <v>0</v>
      </c>
      <c r="P67" s="29">
        <f>$I$25*$P$25</f>
        <v>0</v>
      </c>
      <c r="Q67" s="29">
        <f>$I$25*$Q$25</f>
        <v>0</v>
      </c>
      <c r="R67" s="29">
        <f>$I$25*$R$25</f>
        <v>0</v>
      </c>
      <c r="S67" s="29">
        <f>$I$25*$S$25</f>
        <v>0</v>
      </c>
      <c r="T67" s="29">
        <f>$I$25*$T$25</f>
        <v>0</v>
      </c>
      <c r="U67" s="29">
        <f>$I$25*$U$25</f>
        <v>0</v>
      </c>
      <c r="V67" s="29">
        <f>$I$25*$V$25</f>
        <v>0</v>
      </c>
      <c r="X67" s="29">
        <f>$I$25*$X$25</f>
        <v>0</v>
      </c>
      <c r="Y67" s="29">
        <f>$I$25*$Y$25</f>
        <v>0</v>
      </c>
      <c r="Z67" s="29">
        <f>$I$25*$Z$25</f>
        <v>0</v>
      </c>
      <c r="AA67" s="29">
        <f>$I$25*$AA$25</f>
        <v>0</v>
      </c>
      <c r="AB67" s="29">
        <f>$I$25*$AB$25</f>
        <v>0</v>
      </c>
      <c r="AC67" s="29">
        <f>$I$25*$AC$25</f>
        <v>0</v>
      </c>
      <c r="AD67" s="29">
        <f>$I$25*$AD$25</f>
        <v>0</v>
      </c>
      <c r="AE67" s="29">
        <f>$I$25*$AE$25</f>
        <v>0</v>
      </c>
      <c r="AF67" s="29">
        <f>$I$25*$AF$25</f>
        <v>0</v>
      </c>
      <c r="AG67" s="29">
        <f>$I$25*$AG$25</f>
        <v>0</v>
      </c>
      <c r="AH67" s="29">
        <f>$I$25*$AH$25</f>
        <v>0</v>
      </c>
    </row>
    <row r="68" spans="1:34" ht="11.25" customHeight="1" x14ac:dyDescent="0.25">
      <c r="A68" s="9" t="s">
        <v>40</v>
      </c>
      <c r="B68" s="9" t="s">
        <v>919</v>
      </c>
      <c r="C68" s="9" t="s">
        <v>920</v>
      </c>
      <c r="D68" s="9" t="s">
        <v>933</v>
      </c>
      <c r="E68" s="9" t="s">
        <v>934</v>
      </c>
      <c r="F68" s="9" t="s">
        <v>935</v>
      </c>
      <c r="G68" s="9" t="s">
        <v>938</v>
      </c>
      <c r="L68" s="29">
        <f>$I$26*$L$26</f>
        <v>0</v>
      </c>
      <c r="M68" s="29">
        <f>$I$26*$M$26</f>
        <v>0</v>
      </c>
      <c r="N68" s="29">
        <f>$I$26*$N$26</f>
        <v>0</v>
      </c>
      <c r="O68" s="29">
        <f>$I$26*$O$26</f>
        <v>0</v>
      </c>
      <c r="P68" s="29">
        <f>$I$26*$P$26</f>
        <v>0</v>
      </c>
      <c r="Q68" s="29">
        <f>$I$26*$Q$26</f>
        <v>0</v>
      </c>
      <c r="R68" s="29">
        <f>$I$26*$R$26</f>
        <v>0</v>
      </c>
      <c r="S68" s="29">
        <f>$I$26*$S$26</f>
        <v>0</v>
      </c>
      <c r="T68" s="29">
        <f>$I$26*$T$26</f>
        <v>0</v>
      </c>
      <c r="U68" s="29">
        <f>$I$26*$U$26</f>
        <v>0</v>
      </c>
      <c r="V68" s="29">
        <f>$I$26*$V$26</f>
        <v>0</v>
      </c>
      <c r="X68" s="29">
        <f>$I$26*$X$26</f>
        <v>0</v>
      </c>
      <c r="Y68" s="29">
        <f>$I$26*$Y$26</f>
        <v>0</v>
      </c>
      <c r="Z68" s="29">
        <f>$I$26*$Z$26</f>
        <v>0</v>
      </c>
      <c r="AA68" s="29">
        <f>$I$26*$AA$26</f>
        <v>0</v>
      </c>
      <c r="AB68" s="29">
        <f>$I$26*$AB$26</f>
        <v>0</v>
      </c>
      <c r="AC68" s="29">
        <f>$I$26*$AC$26</f>
        <v>0</v>
      </c>
      <c r="AD68" s="29">
        <f>$I$26*$AD$26</f>
        <v>0</v>
      </c>
      <c r="AE68" s="29">
        <f>$I$26*$AE$26</f>
        <v>0</v>
      </c>
      <c r="AF68" s="29">
        <f>$I$26*$AF$26</f>
        <v>0</v>
      </c>
      <c r="AG68" s="29">
        <f>$I$26*$AG$26</f>
        <v>0</v>
      </c>
      <c r="AH68" s="29">
        <f>$I$26*$AH$26</f>
        <v>0</v>
      </c>
    </row>
    <row r="69" spans="1:34" ht="11.25" customHeight="1" x14ac:dyDescent="0.25">
      <c r="A69" s="9" t="s">
        <v>40</v>
      </c>
      <c r="B69" s="9" t="s">
        <v>927</v>
      </c>
      <c r="C69" s="9" t="s">
        <v>928</v>
      </c>
      <c r="D69" s="9" t="s">
        <v>939</v>
      </c>
      <c r="E69" s="9" t="s">
        <v>940</v>
      </c>
      <c r="F69" s="9" t="s">
        <v>941</v>
      </c>
      <c r="G69" s="9" t="s">
        <v>942</v>
      </c>
      <c r="L69" s="29">
        <f>$I$27*$L$27</f>
        <v>0</v>
      </c>
      <c r="M69" s="29">
        <f>$I$27*$M$27</f>
        <v>0</v>
      </c>
      <c r="N69" s="29">
        <f>$I$27*$N$27</f>
        <v>0</v>
      </c>
      <c r="O69" s="29">
        <f>$I$27*$O$27</f>
        <v>0</v>
      </c>
      <c r="P69" s="29">
        <f>$I$27*$P$27</f>
        <v>0</v>
      </c>
      <c r="Q69" s="29">
        <f>$I$27*$Q$27</f>
        <v>0</v>
      </c>
      <c r="R69" s="29">
        <f>$I$27*$R$27</f>
        <v>0</v>
      </c>
      <c r="S69" s="29">
        <f>$I$27*$S$27</f>
        <v>0</v>
      </c>
      <c r="T69" s="29">
        <f>$I$27*$T$27</f>
        <v>0</v>
      </c>
      <c r="U69" s="29">
        <f>$I$27*$U$27</f>
        <v>0</v>
      </c>
      <c r="V69" s="29">
        <f>$I$27*$V$27</f>
        <v>0</v>
      </c>
      <c r="X69" s="29">
        <f>$I$27*$X$27</f>
        <v>0</v>
      </c>
      <c r="Y69" s="29">
        <f>$I$27*$Y$27</f>
        <v>0</v>
      </c>
      <c r="Z69" s="29">
        <f>$I$27*$Z$27</f>
        <v>0</v>
      </c>
      <c r="AA69" s="29">
        <f>$I$27*$AA$27</f>
        <v>0</v>
      </c>
      <c r="AB69" s="29">
        <f>$I$27*$AB$27</f>
        <v>0</v>
      </c>
      <c r="AC69" s="29">
        <f>$I$27*$AC$27</f>
        <v>0</v>
      </c>
      <c r="AD69" s="29">
        <f>$I$27*$AD$27</f>
        <v>0</v>
      </c>
      <c r="AE69" s="29">
        <f>$I$27*$AE$27</f>
        <v>0</v>
      </c>
      <c r="AF69" s="29">
        <f>$I$27*$AF$27</f>
        <v>0</v>
      </c>
      <c r="AG69" s="29">
        <f>$I$27*$AG$27</f>
        <v>0</v>
      </c>
      <c r="AH69" s="29">
        <f>$I$27*$AH$27</f>
        <v>0</v>
      </c>
    </row>
    <row r="70" spans="1:34" ht="11.25" customHeight="1" x14ac:dyDescent="0.25">
      <c r="A70" s="9" t="s">
        <v>40</v>
      </c>
      <c r="B70" s="9" t="s">
        <v>919</v>
      </c>
      <c r="C70" s="9" t="s">
        <v>920</v>
      </c>
      <c r="D70" s="9" t="s">
        <v>943</v>
      </c>
      <c r="E70" s="9" t="s">
        <v>944</v>
      </c>
      <c r="F70" s="9" t="s">
        <v>945</v>
      </c>
      <c r="G70" s="9" t="s">
        <v>946</v>
      </c>
      <c r="L70" s="29">
        <f>$I$28*$L$28</f>
        <v>0</v>
      </c>
      <c r="M70" s="29">
        <f>$I$28*$M$28</f>
        <v>0</v>
      </c>
      <c r="N70" s="29">
        <f>$I$28*$N$28</f>
        <v>0</v>
      </c>
      <c r="O70" s="29">
        <f>$I$28*$O$28</f>
        <v>0</v>
      </c>
      <c r="P70" s="29">
        <f>$I$28*$P$28</f>
        <v>0</v>
      </c>
      <c r="Q70" s="29">
        <f>$I$28*$Q$28</f>
        <v>0</v>
      </c>
      <c r="R70" s="29">
        <f>$I$28*$R$28</f>
        <v>0</v>
      </c>
      <c r="S70" s="29">
        <f>$I$28*$S$28</f>
        <v>0</v>
      </c>
      <c r="T70" s="29">
        <f>$I$28*$T$28</f>
        <v>0</v>
      </c>
      <c r="U70" s="29">
        <f>$I$28*$U$28</f>
        <v>0</v>
      </c>
      <c r="V70" s="29">
        <f>$I$28*$V$28</f>
        <v>0</v>
      </c>
      <c r="X70" s="29">
        <f>$I$28*$X$28</f>
        <v>0</v>
      </c>
      <c r="Y70" s="29">
        <f>$I$28*$Y$28</f>
        <v>0</v>
      </c>
      <c r="Z70" s="29">
        <f>$I$28*$Z$28</f>
        <v>0</v>
      </c>
      <c r="AA70" s="29">
        <f>$I$28*$AA$28</f>
        <v>0</v>
      </c>
      <c r="AB70" s="29">
        <f>$I$28*$AB$28</f>
        <v>0</v>
      </c>
      <c r="AC70" s="29">
        <f>$I$28*$AC$28</f>
        <v>0</v>
      </c>
      <c r="AD70" s="29">
        <f>$I$28*$AD$28</f>
        <v>0</v>
      </c>
      <c r="AE70" s="29">
        <f>$I$28*$AE$28</f>
        <v>0</v>
      </c>
      <c r="AF70" s="29">
        <f>$I$28*$AF$28</f>
        <v>0</v>
      </c>
      <c r="AG70" s="29">
        <f>$I$28*$AG$28</f>
        <v>0</v>
      </c>
      <c r="AH70" s="29">
        <f>$I$28*$AH$28</f>
        <v>0</v>
      </c>
    </row>
    <row r="71" spans="1:34" ht="11.25" customHeight="1" x14ac:dyDescent="0.25">
      <c r="A71" s="9" t="s">
        <v>40</v>
      </c>
      <c r="B71" s="9" t="s">
        <v>919</v>
      </c>
      <c r="C71" s="9" t="s">
        <v>920</v>
      </c>
      <c r="D71" s="9" t="s">
        <v>943</v>
      </c>
      <c r="E71" s="9" t="s">
        <v>944</v>
      </c>
      <c r="F71" s="9" t="s">
        <v>945</v>
      </c>
      <c r="G71" s="9" t="s">
        <v>947</v>
      </c>
      <c r="L71" s="29">
        <f>$I$29*$L$29</f>
        <v>0</v>
      </c>
      <c r="M71" s="29">
        <f>$I$29*$M$29</f>
        <v>0</v>
      </c>
      <c r="N71" s="29">
        <f>$I$29*$N$29</f>
        <v>0</v>
      </c>
      <c r="O71" s="29">
        <f>$I$29*$O$29</f>
        <v>0</v>
      </c>
      <c r="P71" s="29">
        <f>$I$29*$P$29</f>
        <v>0</v>
      </c>
      <c r="Q71" s="29">
        <f>$I$29*$Q$29</f>
        <v>0</v>
      </c>
      <c r="R71" s="29">
        <f>$I$29*$R$29</f>
        <v>0</v>
      </c>
      <c r="S71" s="29">
        <f>$I$29*$S$29</f>
        <v>0</v>
      </c>
      <c r="T71" s="29">
        <f>$I$29*$T$29</f>
        <v>0</v>
      </c>
      <c r="U71" s="29">
        <f>$I$29*$U$29</f>
        <v>0</v>
      </c>
      <c r="V71" s="29">
        <f>$I$29*$V$29</f>
        <v>0</v>
      </c>
      <c r="X71" s="29">
        <f>$I$29*$X$29</f>
        <v>0</v>
      </c>
      <c r="Y71" s="29">
        <f>$I$29*$Y$29</f>
        <v>0</v>
      </c>
      <c r="Z71" s="29">
        <f>$I$29*$Z$29</f>
        <v>0</v>
      </c>
      <c r="AA71" s="29">
        <f>$I$29*$AA$29</f>
        <v>0</v>
      </c>
      <c r="AB71" s="29">
        <f>$I$29*$AB$29</f>
        <v>0</v>
      </c>
      <c r="AC71" s="29">
        <f>$I$29*$AC$29</f>
        <v>0</v>
      </c>
      <c r="AD71" s="29">
        <f>$I$29*$AD$29</f>
        <v>0</v>
      </c>
      <c r="AE71" s="29">
        <f>$I$29*$AE$29</f>
        <v>0</v>
      </c>
      <c r="AF71" s="29">
        <f>$I$29*$AF$29</f>
        <v>0</v>
      </c>
      <c r="AG71" s="29">
        <f>$I$29*$AG$29</f>
        <v>0</v>
      </c>
      <c r="AH71" s="29">
        <f>$I$29*$AH$29</f>
        <v>0</v>
      </c>
    </row>
    <row r="72" spans="1:34" ht="11.25" customHeight="1" x14ac:dyDescent="0.25">
      <c r="A72" s="9" t="s">
        <v>40</v>
      </c>
      <c r="B72" s="9" t="s">
        <v>919</v>
      </c>
      <c r="C72" s="9" t="s">
        <v>920</v>
      </c>
      <c r="D72" s="9" t="s">
        <v>943</v>
      </c>
      <c r="E72" s="9" t="s">
        <v>944</v>
      </c>
      <c r="F72" s="9" t="s">
        <v>945</v>
      </c>
      <c r="G72" s="9" t="s">
        <v>948</v>
      </c>
      <c r="L72" s="29">
        <f>$I$30*$L$30</f>
        <v>0</v>
      </c>
      <c r="M72" s="29">
        <f>$I$30*$M$30</f>
        <v>0</v>
      </c>
      <c r="N72" s="29">
        <f>$I$30*$N$30</f>
        <v>0</v>
      </c>
      <c r="O72" s="29">
        <f>$I$30*$O$30</f>
        <v>0</v>
      </c>
      <c r="P72" s="29">
        <f>$I$30*$P$30</f>
        <v>0</v>
      </c>
      <c r="Q72" s="29">
        <f>$I$30*$Q$30</f>
        <v>0</v>
      </c>
      <c r="R72" s="29">
        <f>$I$30*$R$30</f>
        <v>0</v>
      </c>
      <c r="S72" s="29">
        <f>$I$30*$S$30</f>
        <v>0</v>
      </c>
      <c r="T72" s="29">
        <f>$I$30*$T$30</f>
        <v>0</v>
      </c>
      <c r="U72" s="29">
        <f>$I$30*$U$30</f>
        <v>0</v>
      </c>
      <c r="V72" s="29">
        <f>$I$30*$V$30</f>
        <v>0</v>
      </c>
      <c r="X72" s="29">
        <f>$I$30*$X$30</f>
        <v>0</v>
      </c>
      <c r="Y72" s="29">
        <f>$I$30*$Y$30</f>
        <v>0</v>
      </c>
      <c r="Z72" s="29">
        <f>$I$30*$Z$30</f>
        <v>0</v>
      </c>
      <c r="AA72" s="29">
        <f>$I$30*$AA$30</f>
        <v>0</v>
      </c>
      <c r="AB72" s="29">
        <f>$I$30*$AB$30</f>
        <v>0</v>
      </c>
      <c r="AC72" s="29">
        <f>$I$30*$AC$30</f>
        <v>0</v>
      </c>
      <c r="AD72" s="29">
        <f>$I$30*$AD$30</f>
        <v>0</v>
      </c>
      <c r="AE72" s="29">
        <f>$I$30*$AE$30</f>
        <v>0</v>
      </c>
      <c r="AF72" s="29">
        <f>$I$30*$AF$30</f>
        <v>0</v>
      </c>
      <c r="AG72" s="29">
        <f>$I$30*$AG$30</f>
        <v>0</v>
      </c>
      <c r="AH72" s="29">
        <f>$I$30*$AH$30</f>
        <v>0</v>
      </c>
    </row>
    <row r="73" spans="1:34" ht="11.25" customHeight="1" x14ac:dyDescent="0.25">
      <c r="A73" s="9" t="s">
        <v>40</v>
      </c>
      <c r="B73" s="9" t="s">
        <v>927</v>
      </c>
      <c r="C73" s="9" t="s">
        <v>928</v>
      </c>
      <c r="D73" s="9" t="s">
        <v>949</v>
      </c>
      <c r="E73" s="9" t="s">
        <v>950</v>
      </c>
      <c r="F73" s="9" t="s">
        <v>951</v>
      </c>
      <c r="G73" s="9" t="s">
        <v>952</v>
      </c>
      <c r="L73" s="29">
        <f>$I$31*$L$31</f>
        <v>0</v>
      </c>
      <c r="M73" s="29">
        <f>$I$31*$M$31</f>
        <v>0</v>
      </c>
      <c r="N73" s="29">
        <f>$I$31*$N$31</f>
        <v>0</v>
      </c>
      <c r="O73" s="29">
        <f>$I$31*$O$31</f>
        <v>0</v>
      </c>
      <c r="P73" s="29">
        <f>$I$31*$P$31</f>
        <v>0</v>
      </c>
      <c r="Q73" s="29">
        <f>$I$31*$Q$31</f>
        <v>0</v>
      </c>
      <c r="R73" s="29">
        <f>$I$31*$R$31</f>
        <v>0</v>
      </c>
      <c r="S73" s="29">
        <f>$I$31*$S$31</f>
        <v>0</v>
      </c>
      <c r="T73" s="29">
        <f>$I$31*$T$31</f>
        <v>0</v>
      </c>
      <c r="U73" s="29">
        <f>$I$31*$U$31</f>
        <v>0</v>
      </c>
      <c r="V73" s="29">
        <f>$I$31*$V$31</f>
        <v>0</v>
      </c>
      <c r="X73" s="29">
        <f>$I$31*$X$31</f>
        <v>0</v>
      </c>
      <c r="Y73" s="29">
        <f>$I$31*$Y$31</f>
        <v>0</v>
      </c>
      <c r="Z73" s="29">
        <f>$I$31*$Z$31</f>
        <v>0</v>
      </c>
      <c r="AA73" s="29">
        <f>$I$31*$AA$31</f>
        <v>0</v>
      </c>
      <c r="AB73" s="29">
        <f>$I$31*$AB$31</f>
        <v>0</v>
      </c>
      <c r="AC73" s="29">
        <f>$I$31*$AC$31</f>
        <v>0</v>
      </c>
      <c r="AD73" s="29">
        <f>$I$31*$AD$31</f>
        <v>0</v>
      </c>
      <c r="AE73" s="29">
        <f>$I$31*$AE$31</f>
        <v>0</v>
      </c>
      <c r="AF73" s="29">
        <f>$I$31*$AF$31</f>
        <v>0</v>
      </c>
      <c r="AG73" s="29">
        <f>$I$31*$AG$31</f>
        <v>0</v>
      </c>
      <c r="AH73" s="29">
        <f>$I$31*$AH$31</f>
        <v>0</v>
      </c>
    </row>
    <row r="74" spans="1:34" ht="11.25" customHeight="1" x14ac:dyDescent="0.25">
      <c r="A74" s="9" t="s">
        <v>40</v>
      </c>
      <c r="B74" s="9" t="s">
        <v>953</v>
      </c>
      <c r="C74" s="9" t="s">
        <v>954</v>
      </c>
      <c r="D74" s="9" t="s">
        <v>955</v>
      </c>
      <c r="E74" s="9" t="s">
        <v>956</v>
      </c>
      <c r="F74" s="9" t="s">
        <v>957</v>
      </c>
      <c r="G74" s="9" t="s">
        <v>958</v>
      </c>
      <c r="L74" s="29">
        <f>$I$32*$L$32</f>
        <v>0</v>
      </c>
      <c r="M74" s="29">
        <f>$I$32*$M$32</f>
        <v>0</v>
      </c>
      <c r="N74" s="29">
        <f>$I$32*$N$32</f>
        <v>0</v>
      </c>
      <c r="O74" s="29">
        <f>$I$32*$O$32</f>
        <v>0</v>
      </c>
      <c r="P74" s="29">
        <f>$I$32*$P$32</f>
        <v>0</v>
      </c>
      <c r="Q74" s="29">
        <f>$I$32*$Q$32</f>
        <v>0</v>
      </c>
      <c r="R74" s="29">
        <f>$I$32*$R$32</f>
        <v>0</v>
      </c>
      <c r="S74" s="29">
        <f>$I$32*$S$32</f>
        <v>0</v>
      </c>
      <c r="T74" s="29">
        <f>$I$32*$T$32</f>
        <v>0</v>
      </c>
      <c r="U74" s="29">
        <f>$I$32*$U$32</f>
        <v>0</v>
      </c>
      <c r="V74" s="29">
        <f>$I$32*$V$32</f>
        <v>0</v>
      </c>
      <c r="X74" s="29">
        <f>$I$32*$X$32</f>
        <v>0</v>
      </c>
      <c r="Y74" s="29">
        <f>$I$32*$Y$32</f>
        <v>0</v>
      </c>
      <c r="Z74" s="29">
        <f>$I$32*$Z$32</f>
        <v>0</v>
      </c>
      <c r="AA74" s="29">
        <f>$I$32*$AA$32</f>
        <v>0</v>
      </c>
      <c r="AB74" s="29">
        <f>$I$32*$AB$32</f>
        <v>0</v>
      </c>
      <c r="AC74" s="29">
        <f>$I$32*$AC$32</f>
        <v>0</v>
      </c>
      <c r="AD74" s="29">
        <f>$I$32*$AD$32</f>
        <v>0</v>
      </c>
      <c r="AE74" s="29">
        <f>$I$32*$AE$32</f>
        <v>0</v>
      </c>
      <c r="AF74" s="29">
        <f>$I$32*$AF$32</f>
        <v>0</v>
      </c>
      <c r="AG74" s="29">
        <f>$I$32*$AG$32</f>
        <v>0</v>
      </c>
      <c r="AH74" s="29">
        <f>$I$32*$AH$32</f>
        <v>0</v>
      </c>
    </row>
    <row r="75" spans="1:34" ht="11.25" customHeight="1" x14ac:dyDescent="0.25">
      <c r="A75" s="9" t="s">
        <v>40</v>
      </c>
      <c r="B75" s="9" t="s">
        <v>953</v>
      </c>
      <c r="C75" s="9" t="s">
        <v>954</v>
      </c>
      <c r="D75" s="9" t="s">
        <v>959</v>
      </c>
      <c r="E75" s="9" t="s">
        <v>960</v>
      </c>
      <c r="F75" s="9" t="s">
        <v>961</v>
      </c>
      <c r="G75" s="9" t="s">
        <v>962</v>
      </c>
      <c r="L75" s="29">
        <f>$I$33*$L$33</f>
        <v>0</v>
      </c>
      <c r="M75" s="29">
        <f>$I$33*$M$33</f>
        <v>0</v>
      </c>
      <c r="N75" s="29">
        <f>$I$33*$N$33</f>
        <v>0</v>
      </c>
      <c r="O75" s="29">
        <f>$I$33*$O$33</f>
        <v>0</v>
      </c>
      <c r="P75" s="29">
        <f>$I$33*$P$33</f>
        <v>0</v>
      </c>
      <c r="Q75" s="29">
        <f>$I$33*$Q$33</f>
        <v>0</v>
      </c>
      <c r="R75" s="29">
        <f>$I$33*$R$33</f>
        <v>0</v>
      </c>
      <c r="S75" s="29">
        <f>$I$33*$S$33</f>
        <v>0</v>
      </c>
      <c r="T75" s="29">
        <f>$I$33*$T$33</f>
        <v>0</v>
      </c>
      <c r="U75" s="29">
        <f>$I$33*$U$33</f>
        <v>0</v>
      </c>
      <c r="V75" s="29">
        <f>$I$33*$V$33</f>
        <v>0</v>
      </c>
      <c r="X75" s="29">
        <f>$I$33*$X$33</f>
        <v>0</v>
      </c>
      <c r="Y75" s="29">
        <f>$I$33*$Y$33</f>
        <v>0</v>
      </c>
      <c r="Z75" s="29">
        <f>$I$33*$Z$33</f>
        <v>0</v>
      </c>
      <c r="AA75" s="29">
        <f>$I$33*$AA$33</f>
        <v>0</v>
      </c>
      <c r="AB75" s="29">
        <f>$I$33*$AB$33</f>
        <v>0</v>
      </c>
      <c r="AC75" s="29">
        <f>$I$33*$AC$33</f>
        <v>0</v>
      </c>
      <c r="AD75" s="29">
        <f>$I$33*$AD$33</f>
        <v>0</v>
      </c>
      <c r="AE75" s="29">
        <f>$I$33*$AE$33</f>
        <v>0</v>
      </c>
      <c r="AF75" s="29">
        <f>$I$33*$AF$33</f>
        <v>0</v>
      </c>
      <c r="AG75" s="29">
        <f>$I$33*$AG$33</f>
        <v>0</v>
      </c>
      <c r="AH75" s="29">
        <f>$I$33*$AH$33</f>
        <v>0</v>
      </c>
    </row>
    <row r="76" spans="1:34" ht="11.25" customHeight="1" x14ac:dyDescent="0.25">
      <c r="A76" s="9" t="s">
        <v>40</v>
      </c>
      <c r="B76" s="9" t="s">
        <v>953</v>
      </c>
      <c r="C76" s="9" t="s">
        <v>954</v>
      </c>
      <c r="D76" s="9" t="s">
        <v>963</v>
      </c>
      <c r="E76" s="9" t="s">
        <v>964</v>
      </c>
      <c r="F76" s="9" t="s">
        <v>965</v>
      </c>
      <c r="G76" s="9" t="s">
        <v>966</v>
      </c>
      <c r="L76" s="29">
        <f>$I$34*$L$34</f>
        <v>0</v>
      </c>
      <c r="M76" s="29">
        <f>$I$34*$M$34</f>
        <v>0</v>
      </c>
      <c r="N76" s="29">
        <f>$I$34*$N$34</f>
        <v>0</v>
      </c>
      <c r="O76" s="29">
        <f>$I$34*$O$34</f>
        <v>0</v>
      </c>
      <c r="P76" s="29">
        <f>$I$34*$P$34</f>
        <v>0</v>
      </c>
      <c r="Q76" s="29">
        <f>$I$34*$Q$34</f>
        <v>0</v>
      </c>
      <c r="R76" s="29">
        <f>$I$34*$R$34</f>
        <v>0</v>
      </c>
      <c r="S76" s="29">
        <f>$I$34*$S$34</f>
        <v>0</v>
      </c>
      <c r="T76" s="29">
        <f>$I$34*$T$34</f>
        <v>0</v>
      </c>
      <c r="U76" s="29">
        <f>$I$34*$U$34</f>
        <v>0</v>
      </c>
      <c r="V76" s="29">
        <f>$I$34*$V$34</f>
        <v>0</v>
      </c>
      <c r="X76" s="29">
        <f>$I$34*$X$34</f>
        <v>0</v>
      </c>
      <c r="Y76" s="29">
        <f>$I$34*$Y$34</f>
        <v>0</v>
      </c>
      <c r="Z76" s="29">
        <f>$I$34*$Z$34</f>
        <v>0</v>
      </c>
      <c r="AA76" s="29">
        <f>$I$34*$AA$34</f>
        <v>0</v>
      </c>
      <c r="AB76" s="29">
        <f>$I$34*$AB$34</f>
        <v>0</v>
      </c>
      <c r="AC76" s="29">
        <f>$I$34*$AC$34</f>
        <v>0</v>
      </c>
      <c r="AD76" s="29">
        <f>$I$34*$AD$34</f>
        <v>0</v>
      </c>
      <c r="AE76" s="29">
        <f>$I$34*$AE$34</f>
        <v>0</v>
      </c>
      <c r="AF76" s="29">
        <f>$I$34*$AF$34</f>
        <v>0</v>
      </c>
      <c r="AG76" s="29">
        <f>$I$34*$AG$34</f>
        <v>0</v>
      </c>
      <c r="AH76" s="29">
        <f>$I$34*$AH$34</f>
        <v>0</v>
      </c>
    </row>
    <row r="77" spans="1:34" ht="11.25" customHeight="1" x14ac:dyDescent="0.25">
      <c r="A77" s="9" t="s">
        <v>33</v>
      </c>
      <c r="B77" s="9" t="s">
        <v>967</v>
      </c>
      <c r="C77" s="9" t="s">
        <v>968</v>
      </c>
      <c r="D77" s="9" t="s">
        <v>969</v>
      </c>
      <c r="E77" s="9" t="s">
        <v>970</v>
      </c>
      <c r="F77" s="9" t="s">
        <v>971</v>
      </c>
      <c r="G77" s="9" t="s">
        <v>972</v>
      </c>
      <c r="L77" s="29">
        <f>$I$35*$L$35</f>
        <v>0</v>
      </c>
      <c r="M77" s="29">
        <f>$I$35*$M$35</f>
        <v>0</v>
      </c>
      <c r="N77" s="29">
        <f>$I$35*$N$35</f>
        <v>0</v>
      </c>
      <c r="O77" s="29">
        <f>$I$35*$O$35</f>
        <v>0</v>
      </c>
      <c r="P77" s="29">
        <f>$I$35*$P$35</f>
        <v>0</v>
      </c>
      <c r="Q77" s="29">
        <f>$I$35*$Q$35</f>
        <v>0</v>
      </c>
      <c r="R77" s="29">
        <f>$I$35*$R$35</f>
        <v>0</v>
      </c>
      <c r="S77" s="29">
        <f>$I$35*$S$35</f>
        <v>0</v>
      </c>
      <c r="T77" s="29">
        <f>$I$35*$T$35</f>
        <v>0</v>
      </c>
      <c r="U77" s="29">
        <f>$I$35*$U$35</f>
        <v>0</v>
      </c>
      <c r="V77" s="29">
        <f>$I$35*$V$35</f>
        <v>0</v>
      </c>
      <c r="X77" s="29">
        <f>$I$35*$X$35</f>
        <v>0</v>
      </c>
      <c r="Y77" s="29">
        <f>$I$35*$Y$35</f>
        <v>0</v>
      </c>
      <c r="Z77" s="29">
        <f>$I$35*$Z$35</f>
        <v>0</v>
      </c>
      <c r="AA77" s="29">
        <f>$I$35*$AA$35</f>
        <v>0</v>
      </c>
      <c r="AB77" s="29">
        <f>$I$35*$AB$35</f>
        <v>0</v>
      </c>
      <c r="AC77" s="29">
        <f>$I$35*$AC$35</f>
        <v>0</v>
      </c>
      <c r="AD77" s="29">
        <f>$I$35*$AD$35</f>
        <v>0</v>
      </c>
      <c r="AE77" s="29">
        <f>$I$35*$AE$35</f>
        <v>0</v>
      </c>
      <c r="AF77" s="29">
        <f>$I$35*$AF$35</f>
        <v>0</v>
      </c>
      <c r="AG77" s="29">
        <f>$I$35*$AG$35</f>
        <v>0</v>
      </c>
      <c r="AH77" s="29">
        <f>$I$35*$AH$35</f>
        <v>0</v>
      </c>
    </row>
    <row r="78" spans="1:34" ht="11.25" customHeight="1" x14ac:dyDescent="0.25">
      <c r="A78" s="9" t="s">
        <v>33</v>
      </c>
      <c r="B78" s="9" t="s">
        <v>967</v>
      </c>
      <c r="C78" s="9" t="s">
        <v>968</v>
      </c>
      <c r="D78" s="9" t="s">
        <v>969</v>
      </c>
      <c r="E78" s="9" t="s">
        <v>970</v>
      </c>
      <c r="F78" s="9" t="s">
        <v>971</v>
      </c>
      <c r="G78" s="9" t="s">
        <v>973</v>
      </c>
      <c r="L78" s="29">
        <f>$I$36*$L$36</f>
        <v>0</v>
      </c>
      <c r="M78" s="29">
        <f>$I$36*$M$36</f>
        <v>0</v>
      </c>
      <c r="N78" s="29">
        <f>$I$36*$N$36</f>
        <v>0</v>
      </c>
      <c r="O78" s="29">
        <f>$I$36*$O$36</f>
        <v>0</v>
      </c>
      <c r="P78" s="29">
        <f>$I$36*$P$36</f>
        <v>0</v>
      </c>
      <c r="Q78" s="29">
        <f>$I$36*$Q$36</f>
        <v>0</v>
      </c>
      <c r="R78" s="29">
        <f>$I$36*$R$36</f>
        <v>0</v>
      </c>
      <c r="S78" s="29">
        <f>$I$36*$S$36</f>
        <v>0</v>
      </c>
      <c r="T78" s="29">
        <f>$I$36*$T$36</f>
        <v>0</v>
      </c>
      <c r="U78" s="29">
        <f>$I$36*$U$36</f>
        <v>0</v>
      </c>
      <c r="V78" s="29">
        <f>$I$36*$V$36</f>
        <v>0</v>
      </c>
      <c r="X78" s="29">
        <f>$I$36*$X$36</f>
        <v>0</v>
      </c>
      <c r="Y78" s="29">
        <f>$I$36*$Y$36</f>
        <v>0</v>
      </c>
      <c r="Z78" s="29">
        <f>$I$36*$Z$36</f>
        <v>0</v>
      </c>
      <c r="AA78" s="29">
        <f>$I$36*$AA$36</f>
        <v>0</v>
      </c>
      <c r="AB78" s="29">
        <f>$I$36*$AB$36</f>
        <v>0</v>
      </c>
      <c r="AC78" s="29">
        <f>$I$36*$AC$36</f>
        <v>0</v>
      </c>
      <c r="AD78" s="29">
        <f>$I$36*$AD$36</f>
        <v>0</v>
      </c>
      <c r="AE78" s="29">
        <f>$I$36*$AE$36</f>
        <v>0</v>
      </c>
      <c r="AF78" s="29">
        <f>$I$36*$AF$36</f>
        <v>0</v>
      </c>
      <c r="AG78" s="29">
        <f>$I$36*$AG$36</f>
        <v>0</v>
      </c>
      <c r="AH78" s="29">
        <f>$I$36*$AH$36</f>
        <v>0</v>
      </c>
    </row>
    <row r="79" spans="1:34" ht="11.25" customHeight="1" x14ac:dyDescent="0.25">
      <c r="A79" s="9" t="s">
        <v>33</v>
      </c>
      <c r="B79" s="9" t="s">
        <v>967</v>
      </c>
      <c r="C79" s="9" t="s">
        <v>968</v>
      </c>
      <c r="D79" s="9" t="s">
        <v>969</v>
      </c>
      <c r="E79" s="9" t="s">
        <v>970</v>
      </c>
      <c r="F79" s="9" t="s">
        <v>971</v>
      </c>
      <c r="G79" s="9" t="s">
        <v>974</v>
      </c>
      <c r="L79" s="29">
        <f>$I$37*$L$37</f>
        <v>0</v>
      </c>
      <c r="M79" s="29">
        <f>$I$37*$M$37</f>
        <v>0</v>
      </c>
      <c r="N79" s="29">
        <f>$I$37*$N$37</f>
        <v>0</v>
      </c>
      <c r="O79" s="29">
        <f>$I$37*$O$37</f>
        <v>0</v>
      </c>
      <c r="P79" s="29">
        <f>$I$37*$P$37</f>
        <v>0</v>
      </c>
      <c r="Q79" s="29">
        <f>$I$37*$Q$37</f>
        <v>0</v>
      </c>
      <c r="R79" s="29">
        <f>$I$37*$R$37</f>
        <v>0</v>
      </c>
      <c r="S79" s="29">
        <f>$I$37*$S$37</f>
        <v>0</v>
      </c>
      <c r="T79" s="29">
        <f>$I$37*$T$37</f>
        <v>0</v>
      </c>
      <c r="U79" s="29">
        <f>$I$37*$U$37</f>
        <v>0</v>
      </c>
      <c r="V79" s="29">
        <f>$I$37*$V$37</f>
        <v>0</v>
      </c>
      <c r="X79" s="29">
        <f>$I$37*$X$37</f>
        <v>0</v>
      </c>
      <c r="Y79" s="29">
        <f>$I$37*$Y$37</f>
        <v>0</v>
      </c>
      <c r="Z79" s="29">
        <f>$I$37*$Z$37</f>
        <v>0</v>
      </c>
      <c r="AA79" s="29">
        <f>$I$37*$AA$37</f>
        <v>0</v>
      </c>
      <c r="AB79" s="29">
        <f>$I$37*$AB$37</f>
        <v>0</v>
      </c>
      <c r="AC79" s="29">
        <f>$I$37*$AC$37</f>
        <v>0</v>
      </c>
      <c r="AD79" s="29">
        <f>$I$37*$AD$37</f>
        <v>0</v>
      </c>
      <c r="AE79" s="29">
        <f>$I$37*$AE$37</f>
        <v>0</v>
      </c>
      <c r="AF79" s="29">
        <f>$I$37*$AF$37</f>
        <v>0</v>
      </c>
      <c r="AG79" s="29">
        <f>$I$37*$AG$37</f>
        <v>0</v>
      </c>
      <c r="AH79" s="29">
        <f>$I$37*$AH$37</f>
        <v>0</v>
      </c>
    </row>
    <row r="80" spans="1:34" ht="11.25" customHeight="1" x14ac:dyDescent="0.25">
      <c r="A80" s="9" t="s">
        <v>33</v>
      </c>
      <c r="B80" s="9" t="s">
        <v>975</v>
      </c>
      <c r="C80" s="9" t="s">
        <v>976</v>
      </c>
      <c r="D80" s="9" t="s">
        <v>977</v>
      </c>
      <c r="E80" s="9" t="s">
        <v>978</v>
      </c>
      <c r="F80" s="9" t="s">
        <v>979</v>
      </c>
      <c r="G80" s="9" t="s">
        <v>980</v>
      </c>
      <c r="L80" s="29">
        <f>$I$38*$L$38</f>
        <v>0</v>
      </c>
      <c r="M80" s="29">
        <f>$I$38*$M$38</f>
        <v>0</v>
      </c>
      <c r="N80" s="29">
        <f>$I$38*$N$38</f>
        <v>0</v>
      </c>
      <c r="O80" s="29">
        <f>$I$38*$O$38</f>
        <v>0</v>
      </c>
      <c r="P80" s="29">
        <f>$I$38*$P$38</f>
        <v>0</v>
      </c>
      <c r="Q80" s="29">
        <f>$I$38*$Q$38</f>
        <v>899207.20902245364</v>
      </c>
      <c r="R80" s="29">
        <f>$I$38*$R$38</f>
        <v>0</v>
      </c>
      <c r="S80" s="29">
        <f>$I$38*$S$38</f>
        <v>0</v>
      </c>
      <c r="T80" s="29">
        <f>$I$38*$T$38</f>
        <v>0</v>
      </c>
      <c r="U80" s="29">
        <f>$I$38*$U$38</f>
        <v>0</v>
      </c>
      <c r="V80" s="29">
        <f>$I$38*$V$38</f>
        <v>0</v>
      </c>
      <c r="X80" s="29">
        <f>$I$38*$X$38</f>
        <v>0</v>
      </c>
      <c r="Y80" s="29">
        <f>$I$38*$Y$38</f>
        <v>0</v>
      </c>
      <c r="Z80" s="29">
        <f>$I$38*$Z$38</f>
        <v>0</v>
      </c>
      <c r="AA80" s="29">
        <f>$I$38*$AA$38</f>
        <v>0</v>
      </c>
      <c r="AB80" s="29">
        <f>$I$38*$AB$38</f>
        <v>0</v>
      </c>
      <c r="AC80" s="29">
        <f>$I$38*$AC$38</f>
        <v>935707.96547428728</v>
      </c>
      <c r="AD80" s="29">
        <f>$I$38*$AD$38</f>
        <v>0</v>
      </c>
      <c r="AE80" s="29">
        <f>$I$38*$AE$38</f>
        <v>0</v>
      </c>
      <c r="AF80" s="29">
        <f>$I$38*$AF$38</f>
        <v>0</v>
      </c>
      <c r="AG80" s="29">
        <f>$I$38*$AG$38</f>
        <v>0</v>
      </c>
      <c r="AH80" s="29">
        <f>$I$38*$AH$38</f>
        <v>0</v>
      </c>
    </row>
    <row r="81" spans="1:34" ht="11.25" customHeight="1" x14ac:dyDescent="0.25">
      <c r="A81" s="9" t="s">
        <v>33</v>
      </c>
      <c r="B81" s="9" t="s">
        <v>981</v>
      </c>
      <c r="C81" s="9" t="s">
        <v>982</v>
      </c>
      <c r="D81" s="9" t="s">
        <v>983</v>
      </c>
      <c r="E81" s="9" t="s">
        <v>984</v>
      </c>
      <c r="F81" s="9" t="s">
        <v>985</v>
      </c>
      <c r="G81" s="9" t="s">
        <v>986</v>
      </c>
      <c r="L81" s="29">
        <f>$I$39*$L$39</f>
        <v>0</v>
      </c>
      <c r="M81" s="29">
        <f>$I$39*$M$39</f>
        <v>0</v>
      </c>
      <c r="N81" s="29">
        <f>$I$39*$N$39</f>
        <v>0</v>
      </c>
      <c r="O81" s="29">
        <f>$I$39*$O$39</f>
        <v>0</v>
      </c>
      <c r="P81" s="29">
        <f>$I$39*$P$39</f>
        <v>0</v>
      </c>
      <c r="Q81" s="29">
        <f>$I$39*$Q$39</f>
        <v>0</v>
      </c>
      <c r="R81" s="29">
        <f>$I$39*$R$39</f>
        <v>0</v>
      </c>
      <c r="S81" s="29">
        <f>$I$39*$S$39</f>
        <v>0</v>
      </c>
      <c r="T81" s="29">
        <f>$I$39*$T$39</f>
        <v>0</v>
      </c>
      <c r="U81" s="29">
        <f>$I$39*$U$39</f>
        <v>0</v>
      </c>
      <c r="V81" s="29">
        <f>$I$39*$V$39</f>
        <v>0</v>
      </c>
      <c r="X81" s="29">
        <f>$I$39*$X$39</f>
        <v>0</v>
      </c>
      <c r="Y81" s="29">
        <f>$I$39*$Y$39</f>
        <v>0</v>
      </c>
      <c r="Z81" s="29">
        <f>$I$39*$Z$39</f>
        <v>0</v>
      </c>
      <c r="AA81" s="29">
        <f>$I$39*$AA$39</f>
        <v>0</v>
      </c>
      <c r="AB81" s="29">
        <f>$I$39*$AB$39</f>
        <v>0</v>
      </c>
      <c r="AC81" s="29">
        <f>$I$39*$AC$39</f>
        <v>0</v>
      </c>
      <c r="AD81" s="29">
        <f>$I$39*$AD$39</f>
        <v>0</v>
      </c>
      <c r="AE81" s="29">
        <f>$I$39*$AE$39</f>
        <v>0</v>
      </c>
      <c r="AF81" s="29">
        <f>$I$39*$AF$39</f>
        <v>0</v>
      </c>
      <c r="AG81" s="29">
        <f>$I$39*$AG$39</f>
        <v>0</v>
      </c>
      <c r="AH81" s="29">
        <f>$I$39*$AH$39</f>
        <v>0</v>
      </c>
    </row>
    <row r="82" spans="1:34" ht="11.25" customHeight="1" x14ac:dyDescent="0.25">
      <c r="A82" s="9" t="s">
        <v>43</v>
      </c>
      <c r="B82" s="9" t="s">
        <v>987</v>
      </c>
      <c r="C82" s="9" t="s">
        <v>988</v>
      </c>
      <c r="D82" s="9" t="s">
        <v>989</v>
      </c>
      <c r="E82" s="9" t="s">
        <v>990</v>
      </c>
      <c r="F82" s="9" t="s">
        <v>991</v>
      </c>
      <c r="G82" s="9" t="s">
        <v>992</v>
      </c>
      <c r="L82" s="29">
        <f>$I$40*$L$40</f>
        <v>0</v>
      </c>
      <c r="M82" s="29">
        <f>$I$40*$M$40</f>
        <v>0</v>
      </c>
      <c r="N82" s="29">
        <f>$I$40*$N$40</f>
        <v>0</v>
      </c>
      <c r="O82" s="29">
        <f>$I$40*$O$40</f>
        <v>0</v>
      </c>
      <c r="P82" s="29">
        <f>$I$40*$P$40</f>
        <v>0</v>
      </c>
      <c r="Q82" s="29">
        <f>$I$40*$Q$40</f>
        <v>69505.461302315991</v>
      </c>
      <c r="R82" s="29">
        <f>$I$40*$R$40</f>
        <v>0</v>
      </c>
      <c r="S82" s="29">
        <f>$I$40*$S$40</f>
        <v>0</v>
      </c>
      <c r="T82" s="29">
        <f>$I$40*$T$40</f>
        <v>0</v>
      </c>
      <c r="U82" s="29">
        <f>$I$40*$U$40</f>
        <v>0</v>
      </c>
      <c r="V82" s="29">
        <f>$I$40*$V$40</f>
        <v>0</v>
      </c>
      <c r="X82" s="29">
        <f>$I$40*$X$40</f>
        <v>0</v>
      </c>
      <c r="Y82" s="29">
        <f>$I$40*$Y$40</f>
        <v>0</v>
      </c>
      <c r="Z82" s="29">
        <f>$I$40*$Z$40</f>
        <v>0</v>
      </c>
      <c r="AA82" s="29">
        <f>$I$40*$AA$40</f>
        <v>0</v>
      </c>
      <c r="AB82" s="29">
        <f>$I$40*$AB$40</f>
        <v>0</v>
      </c>
      <c r="AC82" s="29">
        <f>$I$40*$AC$40</f>
        <v>72326.837609815004</v>
      </c>
      <c r="AD82" s="29">
        <f>$I$40*$AD$40</f>
        <v>0</v>
      </c>
      <c r="AE82" s="29">
        <f>$I$40*$AE$40</f>
        <v>0</v>
      </c>
      <c r="AF82" s="29">
        <f>$I$40*$AF$40</f>
        <v>0</v>
      </c>
      <c r="AG82" s="29">
        <f>$I$40*$AG$40</f>
        <v>0</v>
      </c>
      <c r="AH82" s="29">
        <f>$I$40*$AH$40</f>
        <v>0</v>
      </c>
    </row>
    <row r="83" spans="1:34" ht="11.25" customHeight="1" x14ac:dyDescent="0.25">
      <c r="A83" s="9" t="s">
        <v>43</v>
      </c>
      <c r="B83" s="9" t="s">
        <v>987</v>
      </c>
      <c r="C83" s="9" t="s">
        <v>988</v>
      </c>
      <c r="D83" s="9" t="s">
        <v>993</v>
      </c>
      <c r="E83" s="9" t="s">
        <v>994</v>
      </c>
      <c r="F83" s="9" t="s">
        <v>995</v>
      </c>
      <c r="G83" s="9" t="s">
        <v>996</v>
      </c>
      <c r="L83" s="29">
        <f>$I$41*$L$41</f>
        <v>0</v>
      </c>
      <c r="M83" s="29">
        <f>$I$41*$M$41</f>
        <v>0</v>
      </c>
      <c r="N83" s="29">
        <f>$I$41*$N$41</f>
        <v>0</v>
      </c>
      <c r="O83" s="29">
        <f>$I$41*$O$41</f>
        <v>0</v>
      </c>
      <c r="P83" s="29">
        <f>$I$41*$P$41</f>
        <v>0</v>
      </c>
      <c r="Q83" s="29">
        <f>$I$41*$Q$41</f>
        <v>0</v>
      </c>
      <c r="R83" s="29">
        <f>$I$41*$R$41</f>
        <v>0</v>
      </c>
      <c r="S83" s="29">
        <f>$I$41*$S$41</f>
        <v>0</v>
      </c>
      <c r="T83" s="29">
        <f>$I$41*$T$41</f>
        <v>0</v>
      </c>
      <c r="U83" s="29">
        <f>$I$41*$U$41</f>
        <v>0</v>
      </c>
      <c r="V83" s="29">
        <f>$I$41*$V$41</f>
        <v>0</v>
      </c>
      <c r="X83" s="29">
        <f>$I$41*$X$41</f>
        <v>0</v>
      </c>
      <c r="Y83" s="29">
        <f>$I$41*$Y$41</f>
        <v>0</v>
      </c>
      <c r="Z83" s="29">
        <f>$I$41*$Z$41</f>
        <v>0</v>
      </c>
      <c r="AA83" s="29">
        <f>$I$41*$AA$41</f>
        <v>0</v>
      </c>
      <c r="AB83" s="29">
        <f>$I$41*$AB$41</f>
        <v>0</v>
      </c>
      <c r="AC83" s="29">
        <f>$I$41*$AC$41</f>
        <v>0</v>
      </c>
      <c r="AD83" s="29">
        <f>$I$41*$AD$41</f>
        <v>0</v>
      </c>
      <c r="AE83" s="29">
        <f>$I$41*$AE$41</f>
        <v>0</v>
      </c>
      <c r="AF83" s="29">
        <f>$I$41*$AF$41</f>
        <v>0</v>
      </c>
      <c r="AG83" s="29">
        <f>$I$41*$AG$41</f>
        <v>0</v>
      </c>
      <c r="AH83" s="29">
        <f>$I$41*$AH$41</f>
        <v>0</v>
      </c>
    </row>
  </sheetData>
  <mergeCells count="69">
    <mergeCell ref="L43:V43"/>
    <mergeCell ref="X43:AH43"/>
    <mergeCell ref="L44:V44"/>
    <mergeCell ref="X44:AH44"/>
    <mergeCell ref="L45:P45"/>
    <mergeCell ref="R45:T45"/>
    <mergeCell ref="X45:AB45"/>
    <mergeCell ref="AD45:AF45"/>
    <mergeCell ref="E35:E37"/>
    <mergeCell ref="F35:F37"/>
    <mergeCell ref="A40:A41"/>
    <mergeCell ref="B40:B41"/>
    <mergeCell ref="C40:C41"/>
    <mergeCell ref="A35:A39"/>
    <mergeCell ref="B35:B37"/>
    <mergeCell ref="C35:C37"/>
    <mergeCell ref="D35:D37"/>
    <mergeCell ref="X1:AH1"/>
    <mergeCell ref="X2:AH2"/>
    <mergeCell ref="X3:AB3"/>
    <mergeCell ref="AD3:AF3"/>
    <mergeCell ref="B32:B34"/>
    <mergeCell ref="C32:C34"/>
    <mergeCell ref="F24:F26"/>
    <mergeCell ref="B28:B30"/>
    <mergeCell ref="C28:C30"/>
    <mergeCell ref="D28:D30"/>
    <mergeCell ref="E28:E30"/>
    <mergeCell ref="F28:F30"/>
    <mergeCell ref="F20:F22"/>
    <mergeCell ref="F7:F9"/>
    <mergeCell ref="F5:F6"/>
    <mergeCell ref="G1:G4"/>
    <mergeCell ref="A20:A34"/>
    <mergeCell ref="B20:B22"/>
    <mergeCell ref="C20:C22"/>
    <mergeCell ref="D20:D22"/>
    <mergeCell ref="E20:E22"/>
    <mergeCell ref="B24:B26"/>
    <mergeCell ref="C24:C26"/>
    <mergeCell ref="D24:D26"/>
    <mergeCell ref="E24:E26"/>
    <mergeCell ref="A7:A19"/>
    <mergeCell ref="B7:B9"/>
    <mergeCell ref="C7:C9"/>
    <mergeCell ref="D7:D9"/>
    <mergeCell ref="E7:E9"/>
    <mergeCell ref="B10:B14"/>
    <mergeCell ref="C10:C14"/>
    <mergeCell ref="B15:B19"/>
    <mergeCell ref="C15:C19"/>
    <mergeCell ref="A5:A6"/>
    <mergeCell ref="B5:B6"/>
    <mergeCell ref="C5:C6"/>
    <mergeCell ref="D5:D6"/>
    <mergeCell ref="E5:E6"/>
    <mergeCell ref="H1:H4"/>
    <mergeCell ref="I1:I4"/>
    <mergeCell ref="J1:J4"/>
    <mergeCell ref="L1:V1"/>
    <mergeCell ref="L2:V2"/>
    <mergeCell ref="L3:P3"/>
    <mergeCell ref="R3:T3"/>
    <mergeCell ref="F1:F4"/>
    <mergeCell ref="A1:A4"/>
    <mergeCell ref="B1:B4"/>
    <mergeCell ref="C1:C4"/>
    <mergeCell ref="D1:D4"/>
    <mergeCell ref="E1:E4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A98E-4C4D-4B64-B117-3D38B41576E6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4" bestFit="1" customWidth="1"/>
    <col min="2" max="2" width="12.42578125" style="14" bestFit="1" customWidth="1"/>
    <col min="3" max="7" width="10.28515625" style="14" bestFit="1" customWidth="1"/>
    <col min="8" max="8" width="10" style="14" bestFit="1" customWidth="1"/>
    <col min="9" max="9" width="8" style="14" bestFit="1" customWidth="1"/>
    <col min="10" max="10" width="7.28515625" style="14" bestFit="1" customWidth="1"/>
    <col min="11" max="11" width="7.140625" style="14" bestFit="1" customWidth="1"/>
    <col min="12" max="12" width="9.5703125" style="14" bestFit="1" customWidth="1"/>
    <col min="13" max="13" width="9.7109375" style="14" bestFit="1" customWidth="1"/>
    <col min="14" max="14" width="10" style="14" bestFit="1" customWidth="1"/>
    <col min="15" max="15" width="7.42578125" style="14" bestFit="1" customWidth="1"/>
    <col min="16" max="16" width="9.7109375" style="14" bestFit="1" customWidth="1"/>
    <col min="17" max="17" width="11" style="14" bestFit="1" customWidth="1"/>
    <col min="18" max="18" width="7.7109375" style="14" bestFit="1" customWidth="1"/>
    <col min="19" max="19" width="7.140625" style="14" bestFit="1" customWidth="1"/>
    <col min="20" max="20" width="14.5703125" style="14" bestFit="1" customWidth="1"/>
    <col min="21" max="21" width="17.7109375" style="14" bestFit="1" customWidth="1"/>
    <col min="22" max="22" width="18.42578125" style="14" bestFit="1" customWidth="1"/>
    <col min="23" max="23" width="6" style="14" bestFit="1" customWidth="1"/>
    <col min="24" max="24" width="10.85546875" style="14" bestFit="1" customWidth="1"/>
    <col min="25" max="26" width="9.140625" style="14"/>
    <col min="27" max="27" width="3" style="14" bestFit="1" customWidth="1"/>
    <col min="28" max="28" width="21.57031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62</v>
      </c>
      <c r="B1" s="14" t="s">
        <v>63</v>
      </c>
      <c r="C1" s="14" t="s">
        <v>64</v>
      </c>
      <c r="D1" s="14" t="s">
        <v>65</v>
      </c>
      <c r="E1" s="14" t="s">
        <v>66</v>
      </c>
      <c r="F1" s="14" t="s">
        <v>15</v>
      </c>
      <c r="G1" s="14" t="s">
        <v>68</v>
      </c>
      <c r="I1" s="14" t="s">
        <v>1004</v>
      </c>
      <c r="AA1" s="14" t="s">
        <v>35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35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80</v>
      </c>
      <c r="AB2" s="14" t="s">
        <v>48</v>
      </c>
      <c r="AC2" s="14" t="s">
        <v>24</v>
      </c>
      <c r="AD2" s="14" t="s">
        <v>24</v>
      </c>
      <c r="AE2" s="14" t="s">
        <v>79</v>
      </c>
      <c r="AG2" s="14" t="s">
        <v>76</v>
      </c>
    </row>
    <row r="3" spans="1:33" x14ac:dyDescent="0.2">
      <c r="AA3" s="14" t="s">
        <v>22</v>
      </c>
      <c r="AB3" s="14" t="s">
        <v>53</v>
      </c>
      <c r="AC3" s="14" t="s">
        <v>41</v>
      </c>
      <c r="AD3" s="14" t="s">
        <v>29</v>
      </c>
      <c r="AE3" s="14" t="s">
        <v>81</v>
      </c>
      <c r="AG3" s="14" t="s">
        <v>77</v>
      </c>
    </row>
    <row r="4" spans="1:33" x14ac:dyDescent="0.2">
      <c r="AA4" s="14" t="s">
        <v>40</v>
      </c>
      <c r="AB4" s="14" t="s">
        <v>36</v>
      </c>
      <c r="AC4" s="14" t="s">
        <v>44</v>
      </c>
      <c r="AD4" s="14" t="s">
        <v>30</v>
      </c>
      <c r="AE4" s="14" t="s">
        <v>82</v>
      </c>
      <c r="AG4" s="14" t="s">
        <v>78</v>
      </c>
    </row>
    <row r="5" spans="1:33" x14ac:dyDescent="0.2">
      <c r="A5" s="14" t="s">
        <v>997</v>
      </c>
      <c r="B5" s="14" t="str">
        <f>TUSD!$AI$4</f>
        <v>CDE Covid TUSD</v>
      </c>
      <c r="C5" s="14" t="str">
        <f>TUSD!$AJ$4</f>
        <v>TFSEE</v>
      </c>
      <c r="D5" s="14" t="str">
        <f>TUSD!$AK$4</f>
        <v>P&amp;D</v>
      </c>
      <c r="E5" s="14" t="str">
        <f>TUSD!$AL$4</f>
        <v>ONS</v>
      </c>
      <c r="F5" s="14" t="str">
        <f>TUSD!$AM$4</f>
        <v>CCC</v>
      </c>
      <c r="G5" s="14" t="str">
        <f>TUSD!$AN$4</f>
        <v>CDE</v>
      </c>
      <c r="H5" s="14" t="str">
        <f>TUSD!$AO$4</f>
        <v>PROINFA</v>
      </c>
      <c r="I5" s="14" t="str">
        <f>TUSD!$AP$4</f>
        <v>LIMINAR 1</v>
      </c>
      <c r="J5" s="14" t="str">
        <f>TUSD!$AQ$4</f>
        <v>TUSD RB</v>
      </c>
      <c r="K5" s="14" t="str">
        <f>TUSD!$AR$4</f>
        <v>TUSD FR</v>
      </c>
      <c r="L5" s="14" t="str">
        <f>TUSD!$AS$4</f>
        <v>CONEXAO T</v>
      </c>
      <c r="M5" s="14" t="str">
        <f>TUSD!$AT$4</f>
        <v>CONEXAO D</v>
      </c>
      <c r="N5" s="14" t="str">
        <f>TUSD!$AU$4</f>
        <v>CUSD</v>
      </c>
      <c r="O5" s="14" t="str">
        <f>TUSD!$AV$4</f>
        <v>TUSDG-T</v>
      </c>
      <c r="P5" s="14" t="str">
        <f>TUSD!$AW$4</f>
        <v>TUSDG-ONS</v>
      </c>
      <c r="Q5" s="14" t="str">
        <f>TUSD!$AX$4</f>
        <v>DISTRIBUICAO</v>
      </c>
      <c r="R5" s="14" t="str">
        <f>TUSD!$AY$4</f>
        <v>SUBSIDIO</v>
      </c>
      <c r="S5" s="14" t="str">
        <f>TUSD!$AZ$4</f>
        <v>OUTROS</v>
      </c>
      <c r="T5" s="14" t="str">
        <f>TUSD!$BA$4</f>
        <v>PERDAS TECNICAS</v>
      </c>
      <c r="U5" s="14" t="str">
        <f>TUSD!$BB$4</f>
        <v>PERDAS RB/ PERDAS D</v>
      </c>
      <c r="V5" s="14" t="str">
        <f>TUSD!$BC$4</f>
        <v>PERDAS NAO TECNICAS</v>
      </c>
      <c r="W5" s="14" t="str">
        <f>TUSD!$BD$4</f>
        <v>RI</v>
      </c>
      <c r="X5" s="14" t="s">
        <v>424</v>
      </c>
      <c r="AA5" s="14" t="s">
        <v>33</v>
      </c>
      <c r="AB5" s="14" t="s">
        <v>85</v>
      </c>
      <c r="AD5" s="14" t="s">
        <v>31</v>
      </c>
      <c r="AG5" s="14" t="s">
        <v>9</v>
      </c>
    </row>
    <row r="6" spans="1:33" x14ac:dyDescent="0.2">
      <c r="A6" s="14" t="s">
        <v>998</v>
      </c>
      <c r="B6" s="48">
        <f>SUM(TUSD!$AI$57:'TUSD'!$AI$103)</f>
        <v>0</v>
      </c>
      <c r="C6" s="48">
        <f>SUM(TUSD!$AJ$57:'TUSD'!$AJ$103)</f>
        <v>90738.771550173304</v>
      </c>
      <c r="D6" s="48">
        <f>SUM(TUSD!$AK$57:'TUSD'!$AK$103)</f>
        <v>0</v>
      </c>
      <c r="E6" s="48">
        <f>SUM(TUSD!$AL$57:'TUSD'!$AL$103)</f>
        <v>0</v>
      </c>
      <c r="F6" s="48">
        <f>SUM(TUSD!$AM$57:'TUSD'!$AM$103)</f>
        <v>0</v>
      </c>
      <c r="G6" s="48">
        <f>SUM(TUSD!$AN$57:'TUSD'!$AN$103)</f>
        <v>4694307.3314828696</v>
      </c>
      <c r="H6" s="48">
        <f>SUM(TUSD!$AO$57:'TUSD'!$AO$103)</f>
        <v>767913.10084750748</v>
      </c>
      <c r="I6" s="48">
        <f>SUM(TUSD!$AP$57:'TUSD'!$AP$103)</f>
        <v>0</v>
      </c>
      <c r="J6" s="48">
        <f>SUM(TUSD!$AQ$57:'TUSD'!$AQ$103)</f>
        <v>0</v>
      </c>
      <c r="K6" s="48">
        <f>SUM(TUSD!$AR$57:'TUSD'!$AR$103)</f>
        <v>0</v>
      </c>
      <c r="L6" s="48">
        <f>SUM(TUSD!$AS$57:'TUSD'!$AS$103)</f>
        <v>0</v>
      </c>
      <c r="M6" s="48">
        <f>SUM(TUSD!$AT$57:'TUSD'!$AT$103)</f>
        <v>0</v>
      </c>
      <c r="N6" s="48">
        <f>SUM(TUSD!$AU$57:'TUSD'!$AU$103)</f>
        <v>8724363.2530767508</v>
      </c>
      <c r="O6" s="48">
        <f>SUM(TUSD!$AV$57:'TUSD'!$AV$103)</f>
        <v>0</v>
      </c>
      <c r="P6" s="48">
        <f>SUM(TUSD!$AW$57:'TUSD'!$AW$103)</f>
        <v>0</v>
      </c>
      <c r="Q6" s="48">
        <f>SUM(TUSD!$AX$57:'TUSD'!$AX$103)</f>
        <v>13183423.242258096</v>
      </c>
      <c r="R6" s="48">
        <f>SUM(TUSD!$AY$57:'TUSD'!$AY$103)</f>
        <v>0</v>
      </c>
      <c r="S6" s="48">
        <f>SUM(TUSD!$AZ$57:'TUSD'!$AZ$103)</f>
        <v>0</v>
      </c>
      <c r="T6" s="48">
        <f>SUM(TUSD!$BA$57:'TUSD'!$BA$103)</f>
        <v>1192207.5456125853</v>
      </c>
      <c r="U6" s="48">
        <f>SUM(TUSD!$BB$57:'TUSD'!$BB$103)</f>
        <v>0</v>
      </c>
      <c r="V6" s="48">
        <f>SUM(TUSD!$BC$57:'TUSD'!$BC$103)</f>
        <v>0</v>
      </c>
      <c r="W6" s="48">
        <f>SUM(TUSD!$BD$57:'TUSD'!$BD$103)</f>
        <v>0</v>
      </c>
      <c r="X6" s="48">
        <f t="shared" ref="X6:X11" si="0">SUM(B6:W6)</f>
        <v>28652953.244827982</v>
      </c>
      <c r="AA6" s="14" t="s">
        <v>43</v>
      </c>
      <c r="AB6" s="14" t="s">
        <v>23</v>
      </c>
      <c r="AD6" s="14" t="s">
        <v>32</v>
      </c>
      <c r="AG6" s="14" t="s">
        <v>73</v>
      </c>
    </row>
    <row r="7" spans="1:33" x14ac:dyDescent="0.2">
      <c r="A7" s="14" t="s">
        <v>999</v>
      </c>
      <c r="B7" s="48">
        <f>SUM(TUSD!$L$57:'TUSD'!$L$103)</f>
        <v>0</v>
      </c>
      <c r="C7" s="48">
        <f>SUM(TUSD!$M$57:'TUSD'!$M$103)</f>
        <v>110366.21377936294</v>
      </c>
      <c r="D7" s="48">
        <f ca="1">SUM(TUSD!$N$57:'TUSD'!$N$103)</f>
        <v>0</v>
      </c>
      <c r="E7" s="48">
        <f>SUM(TUSD!$O$57:'TUSD'!$O$103)</f>
        <v>0</v>
      </c>
      <c r="F7" s="48">
        <f>SUM(TUSD!$P$57:'TUSD'!$P$103)</f>
        <v>0</v>
      </c>
      <c r="G7" s="48">
        <f>SUM(TUSD!$Q$57:'TUSD'!$Q$103)</f>
        <v>7666647.6464308128</v>
      </c>
      <c r="H7" s="48">
        <f>SUM(TUSD!$R$57:'TUSD'!$R$103)</f>
        <v>1283934.656555291</v>
      </c>
      <c r="I7" s="48">
        <f>SUM(TUSD!$S$57:'TUSD'!$S$103)</f>
        <v>0</v>
      </c>
      <c r="J7" s="48">
        <f>SUM(TUSD!$T$57:'TUSD'!$T$103)</f>
        <v>0</v>
      </c>
      <c r="K7" s="48">
        <f>SUM(TUSD!$U$57:'TUSD'!$U$103)</f>
        <v>0</v>
      </c>
      <c r="L7" s="48">
        <f>SUM(TUSD!$V$57:'TUSD'!$V$103)</f>
        <v>0</v>
      </c>
      <c r="M7" s="48">
        <f>SUM(TUSD!$W$57:'TUSD'!$W$103)</f>
        <v>0</v>
      </c>
      <c r="N7" s="48">
        <f>SUM(TUSD!$X$57:'TUSD'!$X$103)</f>
        <v>8573318.2836421393</v>
      </c>
      <c r="O7" s="48">
        <f>SUM(TUSD!$Y$57:'TUSD'!$Y$103)</f>
        <v>0</v>
      </c>
      <c r="P7" s="48">
        <f>SUM(TUSD!$Z$57:'TUSD'!$Z$103)</f>
        <v>0</v>
      </c>
      <c r="Q7" s="48">
        <f>SUM(TUSD!$AA$57:'TUSD'!$AA$103)</f>
        <v>13772922.999222675</v>
      </c>
      <c r="R7" s="48">
        <f ca="1">SUM(TUSD!$AB$57:'TUSD'!$AB$103)</f>
        <v>0</v>
      </c>
      <c r="S7" s="48">
        <f ca="1">SUM(TUSD!$AC$57:'TUSD'!$AC$103)</f>
        <v>0</v>
      </c>
      <c r="T7" s="48">
        <f>SUM(TUSD!$AD$57:'TUSD'!$AD$103)</f>
        <v>1315226.7785178882</v>
      </c>
      <c r="U7" s="48">
        <f>SUM(TUSD!$AE$57:'TUSD'!$AE$103)</f>
        <v>0</v>
      </c>
      <c r="V7" s="48">
        <f ca="1">SUM(TUSD!$AF$57:'TUSD'!$AF$103)</f>
        <v>0</v>
      </c>
      <c r="W7" s="48">
        <f ca="1">SUM(TUSD!$AG$57:'TUSD'!$AG$103)</f>
        <v>0</v>
      </c>
      <c r="X7" s="48">
        <f t="shared" ca="1" si="0"/>
        <v>32722416.578148164</v>
      </c>
      <c r="AB7" s="14" t="s">
        <v>87</v>
      </c>
      <c r="AD7" s="14" t="s">
        <v>88</v>
      </c>
      <c r="AG7" s="14" t="s">
        <v>74</v>
      </c>
    </row>
    <row r="8" spans="1:33" x14ac:dyDescent="0.2">
      <c r="A8" s="14" t="s">
        <v>1002</v>
      </c>
      <c r="B8" s="48">
        <f>IF($G$2&lt;&gt;"Não se aplica",SUMIF(TUSD!$G$57:'TUSD'!$G$103,$I$2,TUSD!$AI$57:'TUSD'!$AI$103),IF($F$2&lt;&gt;"Não se aplica",SUMIF(TUSD!$F$57:'TUSD'!$F$103,$I$2,TUSD!$AI$57:'TUSD'!$AI$103),IF($E$2&lt;&gt;"Não se aplica",SUMIF(TUSD!$E$57:'TUSD'!$E$103,$I$2,TUSD!$AI$57:'TUSD'!$AI$103),IF($D$2&lt;&gt;"Não se aplica",SUMIF(TUSD!$D$57:'TUSD'!$D$103,$I$2,TUSD!$AI$57:'TUSD'!$AI$103),IF($C$2&lt;&gt;"Não se aplica",SUMIF(TUSD!$C$57:'TUSD'!$C$103,$I$2,TUSD!$AI$57:'TUSD'!$AI$103),IF($B$2&lt;&gt;"Não se aplica",SUMIF(TUSD!$B$57:'TUSD'!$B$103,$I$2,TUSD!$AI$57:'TUSD'!$AI$103),SUMIF(TUSD!$A$57:'TUSD'!$A$103,$I$2,TUSD!$AI$57:'TUSD'!$AI$103)))))))</f>
        <v>0</v>
      </c>
      <c r="C8" s="48">
        <f>IF($G$2&lt;&gt;"Não se aplica",SUMIF(TUSD!$G$57:'TUSD'!$G$103,$I$2,TUSD!$AJ$57:'TUSD'!$AJ$103),IF($F$2&lt;&gt;"Não se aplica",SUMIF(TUSD!$F$57:'TUSD'!$F$103,$I$2,TUSD!$AJ$57:'TUSD'!$AJ$103),IF($E$2&lt;&gt;"Não se aplica",SUMIF(TUSD!$E$57:'TUSD'!$E$103,$I$2,TUSD!$AJ$57:'TUSD'!$AJ$103),IF($D$2&lt;&gt;"Não se aplica",SUMIF(TUSD!$D$57:'TUSD'!$D$103,$I$2,TUSD!$AJ$57:'TUSD'!$AJ$103),IF($C$2&lt;&gt;"Não se aplica",SUMIF(TUSD!$C$57:'TUSD'!$C$103,$I$2,TUSD!$AJ$57:'TUSD'!$AJ$103),IF($B$2&lt;&gt;"Não se aplica",SUMIF(TUSD!$B$57:'TUSD'!$B$103,$I$2,TUSD!$AJ$57:'TUSD'!$AJ$103),SUMIF(TUSD!$A$57:'TUSD'!$A$103,$I$2,TUSD!$AJ$57:'TUSD'!$AJ$103)))))))</f>
        <v>18600.016075307522</v>
      </c>
      <c r="D8" s="48">
        <f>IF($G$2&lt;&gt;"Não se aplica",SUMIF(TUSD!$G$57:'TUSD'!$G$103,$I$2,TUSD!$AK$57:'TUSD'!$AK$103),IF($F$2&lt;&gt;"Não se aplica",SUMIF(TUSD!$F$57:'TUSD'!$F$103,$I$2,TUSD!$AK$57:'TUSD'!$AK$103),IF($E$2&lt;&gt;"Não se aplica",SUMIF(TUSD!$E$57:'TUSD'!$E$103,$I$2,TUSD!$AK$57:'TUSD'!$AK$103),IF($D$2&lt;&gt;"Não se aplica",SUMIF(TUSD!$D$57:'TUSD'!$D$103,$I$2,TUSD!$AK$57:'TUSD'!$AK$103),IF($C$2&lt;&gt;"Não se aplica",SUMIF(TUSD!$C$57:'TUSD'!$C$103,$I$2,TUSD!$AK$57:'TUSD'!$AK$103),IF($B$2&lt;&gt;"Não se aplica",SUMIF(TUSD!$B$57:'TUSD'!$B$103,$I$2,TUSD!$AK$57:'TUSD'!$AK$103),SUMIF(TUSD!$A$57:'TUSD'!$A$103,$I$2,TUSD!$AK$57:'TUSD'!$AK$103)))))))</f>
        <v>0</v>
      </c>
      <c r="E8" s="48">
        <f>IF($G$2&lt;&gt;"Não se aplica",SUMIF(TUSD!$G$57:'TUSD'!$G$103,$I$2,TUSD!$AL$57:'TUSD'!$AL$103),IF($F$2&lt;&gt;"Não se aplica",SUMIF(TUSD!$F$57:'TUSD'!$F$103,$I$2,TUSD!$AL$57:'TUSD'!$AL$103),IF($E$2&lt;&gt;"Não se aplica",SUMIF(TUSD!$E$57:'TUSD'!$E$103,$I$2,TUSD!$AL$57:'TUSD'!$AL$103),IF($D$2&lt;&gt;"Não se aplica",SUMIF(TUSD!$D$57:'TUSD'!$D$103,$I$2,TUSD!$AL$57:'TUSD'!$AL$103),IF($C$2&lt;&gt;"Não se aplica",SUMIF(TUSD!$C$57:'TUSD'!$C$103,$I$2,TUSD!$AL$57:'TUSD'!$AL$103),IF($B$2&lt;&gt;"Não se aplica",SUMIF(TUSD!$B$57:'TUSD'!$B$103,$I$2,TUSD!$AL$57:'TUSD'!$AL$103),SUMIF(TUSD!$A$57:'TUSD'!$A$103,$I$2,TUSD!$AL$57:'TUSD'!$AL$103)))))))</f>
        <v>0</v>
      </c>
      <c r="F8" s="48">
        <f>IF($G$2&lt;&gt;"Não se aplica",SUMIF(TUSD!$G$57:'TUSD'!$G$103,$I$2,TUSD!$AM$57:'TUSD'!$AM$103),IF($F$2&lt;&gt;"Não se aplica",SUMIF(TUSD!$F$57:'TUSD'!$F$103,$I$2,TUSD!$AM$57:'TUSD'!$AM$103),IF($E$2&lt;&gt;"Não se aplica",SUMIF(TUSD!$E$57:'TUSD'!$E$103,$I$2,TUSD!$AM$57:'TUSD'!$AM$103),IF($D$2&lt;&gt;"Não se aplica",SUMIF(TUSD!$D$57:'TUSD'!$D$103,$I$2,TUSD!$AM$57:'TUSD'!$AM$103),IF($C$2&lt;&gt;"Não se aplica",SUMIF(TUSD!$C$57:'TUSD'!$C$103,$I$2,TUSD!$AM$57:'TUSD'!$AM$103),IF($B$2&lt;&gt;"Não se aplica",SUMIF(TUSD!$B$57:'TUSD'!$B$103,$I$2,TUSD!$AM$57:'TUSD'!$AM$103),SUMIF(TUSD!$A$57:'TUSD'!$A$103,$I$2,TUSD!$AM$57:'TUSD'!$AM$103)))))))</f>
        <v>0</v>
      </c>
      <c r="G8" s="48">
        <f>IF($G$2&lt;&gt;"Não se aplica",SUMIF(TUSD!$G$57:'TUSD'!$G$103,$I$2,TUSD!$AN$57:'TUSD'!$AN$103),IF($F$2&lt;&gt;"Não se aplica",SUMIF(TUSD!$F$57:'TUSD'!$F$103,$I$2,TUSD!$AN$57:'TUSD'!$AN$103),IF($E$2&lt;&gt;"Não se aplica",SUMIF(TUSD!$E$57:'TUSD'!$E$103,$I$2,TUSD!$AN$57:'TUSD'!$AN$103),IF($D$2&lt;&gt;"Não se aplica",SUMIF(TUSD!$D$57:'TUSD'!$D$103,$I$2,TUSD!$AN$57:'TUSD'!$AN$103),IF($C$2&lt;&gt;"Não se aplica",SUMIF(TUSD!$C$57:'TUSD'!$C$103,$I$2,TUSD!$AN$57:'TUSD'!$AN$103),IF($B$2&lt;&gt;"Não se aplica",SUMIF(TUSD!$B$57:'TUSD'!$B$103,$I$2,TUSD!$AN$57:'TUSD'!$AN$103),SUMIF(TUSD!$A$57:'TUSD'!$A$103,$I$2,TUSD!$AN$57:'TUSD'!$AN$103)))))))</f>
        <v>1597861.7441615853</v>
      </c>
      <c r="H8" s="48">
        <f>IF($G$2&lt;&gt;"Não se aplica",SUMIF(TUSD!$G$57:'TUSD'!$G$103,$I$2,TUSD!$AO$57:'TUSD'!$AO$103),IF($F$2&lt;&gt;"Não se aplica",SUMIF(TUSD!$F$57:'TUSD'!$F$103,$I$2,TUSD!$AO$57:'TUSD'!$AO$103),IF($E$2&lt;&gt;"Não se aplica",SUMIF(TUSD!$E$57:'TUSD'!$E$103,$I$2,TUSD!$AO$57:'TUSD'!$AO$103),IF($D$2&lt;&gt;"Não se aplica",SUMIF(TUSD!$D$57:'TUSD'!$D$103,$I$2,TUSD!$AO$57:'TUSD'!$AO$103),IF($C$2&lt;&gt;"Não se aplica",SUMIF(TUSD!$C$57:'TUSD'!$C$103,$I$2,TUSD!$AO$57:'TUSD'!$AO$103),IF($B$2&lt;&gt;"Não se aplica",SUMIF(TUSD!$B$57:'TUSD'!$B$103,$I$2,TUSD!$AO$57:'TUSD'!$AO$103),SUMIF(TUSD!$A$57:'TUSD'!$A$103,$I$2,TUSD!$AO$57:'TUSD'!$AO$103)))))))</f>
        <v>285900.48785420449</v>
      </c>
      <c r="I8" s="48">
        <f>IF($G$2&lt;&gt;"Não se aplica",SUMIF(TUSD!$G$57:'TUSD'!$G$103,$I$2,TUSD!$AP$57:'TUSD'!$AP$103),IF($F$2&lt;&gt;"Não se aplica",SUMIF(TUSD!$F$57:'TUSD'!$F$103,$I$2,TUSD!$AP$57:'TUSD'!$AP$103),IF($E$2&lt;&gt;"Não se aplica",SUMIF(TUSD!$E$57:'TUSD'!$E$103,$I$2,TUSD!$AP$57:'TUSD'!$AP$103),IF($D$2&lt;&gt;"Não se aplica",SUMIF(TUSD!$D$57:'TUSD'!$D$103,$I$2,TUSD!$AP$57:'TUSD'!$AP$103),IF($C$2&lt;&gt;"Não se aplica",SUMIF(TUSD!$C$57:'TUSD'!$C$103,$I$2,TUSD!$AP$57:'TUSD'!$AP$103),IF($B$2&lt;&gt;"Não se aplica",SUMIF(TUSD!$B$57:'TUSD'!$B$103,$I$2,TUSD!$AP$57:'TUSD'!$AP$103),SUMIF(TUSD!$A$57:'TUSD'!$A$103,$I$2,TUSD!$AP$57:'TUSD'!$AP$103)))))))</f>
        <v>0</v>
      </c>
      <c r="J8" s="48">
        <f>IF($G$2&lt;&gt;"Não se aplica",SUMIF(TUSD!$G$57:'TUSD'!$G$103,$I$2,TUSD!$AQ$57:'TUSD'!$AQ$103),IF($F$2&lt;&gt;"Não se aplica",SUMIF(TUSD!$F$57:'TUSD'!$F$103,$I$2,TUSD!$AQ$57:'TUSD'!$AQ$103),IF($E$2&lt;&gt;"Não se aplica",SUMIF(TUSD!$E$57:'TUSD'!$E$103,$I$2,TUSD!$AQ$57:'TUSD'!$AQ$103),IF($D$2&lt;&gt;"Não se aplica",SUMIF(TUSD!$D$57:'TUSD'!$D$103,$I$2,TUSD!$AQ$57:'TUSD'!$AQ$103),IF($C$2&lt;&gt;"Não se aplica",SUMIF(TUSD!$C$57:'TUSD'!$C$103,$I$2,TUSD!$AQ$57:'TUSD'!$AQ$103),IF($B$2&lt;&gt;"Não se aplica",SUMIF(TUSD!$B$57:'TUSD'!$B$103,$I$2,TUSD!$AQ$57:'TUSD'!$AQ$103),SUMIF(TUSD!$A$57:'TUSD'!$A$103,$I$2,TUSD!$AQ$57:'TUSD'!$AQ$103)))))))</f>
        <v>0</v>
      </c>
      <c r="K8" s="48">
        <f>IF($G$2&lt;&gt;"Não se aplica",SUMIF(TUSD!$G$57:'TUSD'!$G$103,$I$2,TUSD!$AR$57:'TUSD'!$AR$103),IF($F$2&lt;&gt;"Não se aplica",SUMIF(TUSD!$F$57:'TUSD'!$F$103,$I$2,TUSD!$AR$57:'TUSD'!$AR$103),IF($E$2&lt;&gt;"Não se aplica",SUMIF(TUSD!$E$57:'TUSD'!$E$103,$I$2,TUSD!$AR$57:'TUSD'!$AR$103),IF($D$2&lt;&gt;"Não se aplica",SUMIF(TUSD!$D$57:'TUSD'!$D$103,$I$2,TUSD!$AR$57:'TUSD'!$AR$103),IF($C$2&lt;&gt;"Não se aplica",SUMIF(TUSD!$C$57:'TUSD'!$C$103,$I$2,TUSD!$AR$57:'TUSD'!$AR$103),IF($B$2&lt;&gt;"Não se aplica",SUMIF(TUSD!$B$57:'TUSD'!$B$103,$I$2,TUSD!$AR$57:'TUSD'!$AR$103),SUMIF(TUSD!$A$57:'TUSD'!$A$103,$I$2,TUSD!$AR$57:'TUSD'!$AR$103)))))))</f>
        <v>0</v>
      </c>
      <c r="L8" s="48">
        <f>IF($G$2&lt;&gt;"Não se aplica",SUMIF(TUSD!$G$57:'TUSD'!$G$103,$I$2,TUSD!$AS$57:'TUSD'!$AS$103),IF($F$2&lt;&gt;"Não se aplica",SUMIF(TUSD!$F$57:'TUSD'!$F$103,$I$2,TUSD!$AS$57:'TUSD'!$AS$103),IF($E$2&lt;&gt;"Não se aplica",SUMIF(TUSD!$E$57:'TUSD'!$E$103,$I$2,TUSD!$AS$57:'TUSD'!$AS$103),IF($D$2&lt;&gt;"Não se aplica",SUMIF(TUSD!$D$57:'TUSD'!$D$103,$I$2,TUSD!$AS$57:'TUSD'!$AS$103),IF($C$2&lt;&gt;"Não se aplica",SUMIF(TUSD!$C$57:'TUSD'!$C$103,$I$2,TUSD!$AS$57:'TUSD'!$AS$103),IF($B$2&lt;&gt;"Não se aplica",SUMIF(TUSD!$B$57:'TUSD'!$B$103,$I$2,TUSD!$AS$57:'TUSD'!$AS$103),SUMIF(TUSD!$A$57:'TUSD'!$A$103,$I$2,TUSD!$AS$57:'TUSD'!$AS$103)))))))</f>
        <v>0</v>
      </c>
      <c r="M8" s="48">
        <f>IF($G$2&lt;&gt;"Não se aplica",SUMIF(TUSD!$G$57:'TUSD'!$G$103,$I$2,TUSD!$AT$57:'TUSD'!$AT$103),IF($F$2&lt;&gt;"Não se aplica",SUMIF(TUSD!$F$57:'TUSD'!$F$103,$I$2,TUSD!$AT$57:'TUSD'!$AT$103),IF($E$2&lt;&gt;"Não se aplica",SUMIF(TUSD!$E$57:'TUSD'!$E$103,$I$2,TUSD!$AT$57:'TUSD'!$AT$103),IF($D$2&lt;&gt;"Não se aplica",SUMIF(TUSD!$D$57:'TUSD'!$D$103,$I$2,TUSD!$AT$57:'TUSD'!$AT$103),IF($C$2&lt;&gt;"Não se aplica",SUMIF(TUSD!$C$57:'TUSD'!$C$103,$I$2,TUSD!$AT$57:'TUSD'!$AT$103),IF($B$2&lt;&gt;"Não se aplica",SUMIF(TUSD!$B$57:'TUSD'!$B$103,$I$2,TUSD!$AT$57:'TUSD'!$AT$103),SUMIF(TUSD!$A$57:'TUSD'!$A$103,$I$2,TUSD!$AT$57:'TUSD'!$AT$103)))))))</f>
        <v>0</v>
      </c>
      <c r="N8" s="48">
        <f>IF($G$2&lt;&gt;"Não se aplica",SUMIF(TUSD!$G$57:'TUSD'!$G$103,$I$2,TUSD!$AU$57:'TUSD'!$AU$103),IF($F$2&lt;&gt;"Não se aplica",SUMIF(TUSD!$F$57:'TUSD'!$F$103,$I$2,TUSD!$AU$57:'TUSD'!$AU$103),IF($E$2&lt;&gt;"Não se aplica",SUMIF(TUSD!$E$57:'TUSD'!$E$103,$I$2,TUSD!$AU$57:'TUSD'!$AU$103),IF($D$2&lt;&gt;"Não se aplica",SUMIF(TUSD!$D$57:'TUSD'!$D$103,$I$2,TUSD!$AU$57:'TUSD'!$AU$103),IF($C$2&lt;&gt;"Não se aplica",SUMIF(TUSD!$C$57:'TUSD'!$C$103,$I$2,TUSD!$AU$57:'TUSD'!$AU$103),IF($B$2&lt;&gt;"Não se aplica",SUMIF(TUSD!$B$57:'TUSD'!$B$103,$I$2,TUSD!$AU$57:'TUSD'!$AU$103),SUMIF(TUSD!$A$57:'TUSD'!$A$103,$I$2,TUSD!$AU$57:'TUSD'!$AU$103)))))))</f>
        <v>2922583.8187305229</v>
      </c>
      <c r="O8" s="48">
        <f>IF($G$2&lt;&gt;"Não se aplica",SUMIF(TUSD!$G$57:'TUSD'!$G$103,$I$2,TUSD!$AV$57:'TUSD'!$AV$103),IF($F$2&lt;&gt;"Não se aplica",SUMIF(TUSD!$F$57:'TUSD'!$F$103,$I$2,TUSD!$AV$57:'TUSD'!$AV$103),IF($E$2&lt;&gt;"Não se aplica",SUMIF(TUSD!$E$57:'TUSD'!$E$103,$I$2,TUSD!$AV$57:'TUSD'!$AV$103),IF($D$2&lt;&gt;"Não se aplica",SUMIF(TUSD!$D$57:'TUSD'!$D$103,$I$2,TUSD!$AV$57:'TUSD'!$AV$103),IF($C$2&lt;&gt;"Não se aplica",SUMIF(TUSD!$C$57:'TUSD'!$C$103,$I$2,TUSD!$AV$57:'TUSD'!$AV$103),IF($B$2&lt;&gt;"Não se aplica",SUMIF(TUSD!$B$57:'TUSD'!$B$103,$I$2,TUSD!$AV$57:'TUSD'!$AV$103),SUMIF(TUSD!$A$57:'TUSD'!$A$103,$I$2,TUSD!$AV$57:'TUSD'!$AV$103)))))))</f>
        <v>0</v>
      </c>
      <c r="P8" s="48">
        <f>IF($G$2&lt;&gt;"Não se aplica",SUMIF(TUSD!$G$57:'TUSD'!$G$103,$I$2,TUSD!$AW$57:'TUSD'!$AW$103),IF($F$2&lt;&gt;"Não se aplica",SUMIF(TUSD!$F$57:'TUSD'!$F$103,$I$2,TUSD!$AW$57:'TUSD'!$AW$103),IF($E$2&lt;&gt;"Não se aplica",SUMIF(TUSD!$E$57:'TUSD'!$E$103,$I$2,TUSD!$AW$57:'TUSD'!$AW$103),IF($D$2&lt;&gt;"Não se aplica",SUMIF(TUSD!$D$57:'TUSD'!$D$103,$I$2,TUSD!$AW$57:'TUSD'!$AW$103),IF($C$2&lt;&gt;"Não se aplica",SUMIF(TUSD!$C$57:'TUSD'!$C$103,$I$2,TUSD!$AW$57:'TUSD'!$AW$103),IF($B$2&lt;&gt;"Não se aplica",SUMIF(TUSD!$B$57:'TUSD'!$B$103,$I$2,TUSD!$AW$57:'TUSD'!$AW$103),SUMIF(TUSD!$A$57:'TUSD'!$A$103,$I$2,TUSD!$AW$57:'TUSD'!$AW$103)))))))</f>
        <v>0</v>
      </c>
      <c r="Q8" s="48">
        <f>IF($G$2&lt;&gt;"Não se aplica",SUMIF(TUSD!$G$57:'TUSD'!$G$103,$I$2,TUSD!$AX$57:'TUSD'!$AX$103),IF($F$2&lt;&gt;"Não se aplica",SUMIF(TUSD!$F$57:'TUSD'!$F$103,$I$2,TUSD!$AX$57:'TUSD'!$AX$103),IF($E$2&lt;&gt;"Não se aplica",SUMIF(TUSD!$E$57:'TUSD'!$E$103,$I$2,TUSD!$AX$57:'TUSD'!$AX$103),IF($D$2&lt;&gt;"Não se aplica",SUMIF(TUSD!$D$57:'TUSD'!$D$103,$I$2,TUSD!$AX$57:'TUSD'!$AX$103),IF($C$2&lt;&gt;"Não se aplica",SUMIF(TUSD!$C$57:'TUSD'!$C$103,$I$2,TUSD!$AX$57:'TUSD'!$AX$103),IF($B$2&lt;&gt;"Não se aplica",SUMIF(TUSD!$B$57:'TUSD'!$B$103,$I$2,TUSD!$AX$57:'TUSD'!$AX$103),SUMIF(TUSD!$A$57:'TUSD'!$A$103,$I$2,TUSD!$AX$57:'TUSD'!$AX$103)))))))</f>
        <v>3179740.2447944321</v>
      </c>
      <c r="R8" s="48">
        <f>IF($G$2&lt;&gt;"Não se aplica",SUMIF(TUSD!$G$57:'TUSD'!$G$103,$I$2,TUSD!$AY$57:'TUSD'!$AY$103),IF($F$2&lt;&gt;"Não se aplica",SUMIF(TUSD!$F$57:'TUSD'!$F$103,$I$2,TUSD!$AY$57:'TUSD'!$AY$103),IF($E$2&lt;&gt;"Não se aplica",SUMIF(TUSD!$E$57:'TUSD'!$E$103,$I$2,TUSD!$AY$57:'TUSD'!$AY$103),IF($D$2&lt;&gt;"Não se aplica",SUMIF(TUSD!$D$57:'TUSD'!$D$103,$I$2,TUSD!$AY$57:'TUSD'!$AY$103),IF($C$2&lt;&gt;"Não se aplica",SUMIF(TUSD!$C$57:'TUSD'!$C$103,$I$2,TUSD!$AY$57:'TUSD'!$AY$103),IF($B$2&lt;&gt;"Não se aplica",SUMIF(TUSD!$B$57:'TUSD'!$B$103,$I$2,TUSD!$AY$57:'TUSD'!$AY$103),SUMIF(TUSD!$A$57:'TUSD'!$A$103,$I$2,TUSD!$AY$57:'TUSD'!$AY$103)))))))</f>
        <v>0</v>
      </c>
      <c r="S8" s="48">
        <f>IF($G$2&lt;&gt;"Não se aplica",SUMIF(TUSD!$G$57:'TUSD'!$G$103,$I$2,TUSD!$AZ$57:'TUSD'!$AZ$103),IF($F$2&lt;&gt;"Não se aplica",SUMIF(TUSD!$F$57:'TUSD'!$F$103,$I$2,TUSD!$AZ$57:'TUSD'!$AZ$103),IF($E$2&lt;&gt;"Não se aplica",SUMIF(TUSD!$E$57:'TUSD'!$E$103,$I$2,TUSD!$AZ$57:'TUSD'!$AZ$103),IF($D$2&lt;&gt;"Não se aplica",SUMIF(TUSD!$D$57:'TUSD'!$D$103,$I$2,TUSD!$AZ$57:'TUSD'!$AZ$103),IF($C$2&lt;&gt;"Não se aplica",SUMIF(TUSD!$C$57:'TUSD'!$C$103,$I$2,TUSD!$AZ$57:'TUSD'!$AZ$103),IF($B$2&lt;&gt;"Não se aplica",SUMIF(TUSD!$B$57:'TUSD'!$B$103,$I$2,TUSD!$AZ$57:'TUSD'!$AZ$103),SUMIF(TUSD!$A$57:'TUSD'!$A$103,$I$2,TUSD!$AZ$57:'TUSD'!$AZ$103)))))))</f>
        <v>0</v>
      </c>
      <c r="T8" s="48">
        <f>IF($G$2&lt;&gt;"Não se aplica",SUMIF(TUSD!$G$57:'TUSD'!$G$103,$I$2,TUSD!$BA$57:'TUSD'!$BA$103),IF($F$2&lt;&gt;"Não se aplica",SUMIF(TUSD!$F$57:'TUSD'!$F$103,$I$2,TUSD!$BA$57:'TUSD'!$BA$103),IF($E$2&lt;&gt;"Não se aplica",SUMIF(TUSD!$E$57:'TUSD'!$E$103,$I$2,TUSD!$BA$57:'TUSD'!$BA$103),IF($D$2&lt;&gt;"Não se aplica",SUMIF(TUSD!$D$57:'TUSD'!$D$103,$I$2,TUSD!$BA$57:'TUSD'!$BA$103),IF($C$2&lt;&gt;"Não se aplica",SUMIF(TUSD!$C$57:'TUSD'!$C$103,$I$2,TUSD!$BA$57:'TUSD'!$BA$103),IF($B$2&lt;&gt;"Não se aplica",SUMIF(TUSD!$B$57:'TUSD'!$B$103,$I$2,TUSD!$BA$57:'TUSD'!$BA$103),SUMIF(TUSD!$A$57:'TUSD'!$A$103,$I$2,TUSD!$BA$57:'TUSD'!$BA$103)))))))</f>
        <v>221740.80794824532</v>
      </c>
      <c r="U8" s="48">
        <f>IF($G$2&lt;&gt;"Não se aplica",SUMIF(TUSD!$G$57:'TUSD'!$G$103,$I$2,TUSD!$BB$57:'TUSD'!$BB$103),IF($F$2&lt;&gt;"Não se aplica",SUMIF(TUSD!$F$57:'TUSD'!$F$103,$I$2,TUSD!$BB$57:'TUSD'!$BB$103),IF($E$2&lt;&gt;"Não se aplica",SUMIF(TUSD!$E$57:'TUSD'!$E$103,$I$2,TUSD!$BB$57:'TUSD'!$BB$103),IF($D$2&lt;&gt;"Não se aplica",SUMIF(TUSD!$D$57:'TUSD'!$D$103,$I$2,TUSD!$BB$57:'TUSD'!$BB$103),IF($C$2&lt;&gt;"Não se aplica",SUMIF(TUSD!$C$57:'TUSD'!$C$103,$I$2,TUSD!$BB$57:'TUSD'!$BB$103),IF($B$2&lt;&gt;"Não se aplica",SUMIF(TUSD!$B$57:'TUSD'!$B$103,$I$2,TUSD!$BB$57:'TUSD'!$BB$103),SUMIF(TUSD!$A$57:'TUSD'!$A$103,$I$2,TUSD!$BB$57:'TUSD'!$BB$103)))))))</f>
        <v>0</v>
      </c>
      <c r="V8" s="48">
        <f>IF($G$2&lt;&gt;"Não se aplica",SUMIF(TUSD!$G$57:'TUSD'!$G$103,$I$2,TUSD!$BC$57:'TUSD'!$BC$103),IF($F$2&lt;&gt;"Não se aplica",SUMIF(TUSD!$F$57:'TUSD'!$F$103,$I$2,TUSD!$BC$57:'TUSD'!$BC$103),IF($E$2&lt;&gt;"Não se aplica",SUMIF(TUSD!$E$57:'TUSD'!$E$103,$I$2,TUSD!$BC$57:'TUSD'!$BC$103),IF($D$2&lt;&gt;"Não se aplica",SUMIF(TUSD!$D$57:'TUSD'!$D$103,$I$2,TUSD!$BC$57:'TUSD'!$BC$103),IF($C$2&lt;&gt;"Não se aplica",SUMIF(TUSD!$C$57:'TUSD'!$C$103,$I$2,TUSD!$BC$57:'TUSD'!$BC$103),IF($B$2&lt;&gt;"Não se aplica",SUMIF(TUSD!$B$57:'TUSD'!$B$103,$I$2,TUSD!$BC$57:'TUSD'!$BC$103),SUMIF(TUSD!$A$57:'TUSD'!$A$103,$I$2,TUSD!$BC$57:'TUSD'!$BC$103)))))))</f>
        <v>0</v>
      </c>
      <c r="W8" s="48">
        <f>IF($G$2&lt;&gt;"Não se aplica",SUMIF(TUSD!$G$57:'TUSD'!$G$103,$I$2,TUSD!$BD$57:'TUSD'!$BD$103),IF($F$2&lt;&gt;"Não se aplica",SUMIF(TUSD!$F$57:'TUSD'!$F$103,$I$2,TUSD!$BD$57:'TUSD'!$BD$103),IF($E$2&lt;&gt;"Não se aplica",SUMIF(TUSD!$E$57:'TUSD'!$E$103,$I$2,TUSD!$BD$57:'TUSD'!$BD$103),IF($D$2&lt;&gt;"Não se aplica",SUMIF(TUSD!$D$57:'TUSD'!$D$103,$I$2,TUSD!$BD$57:'TUSD'!$BD$103),IF($C$2&lt;&gt;"Não se aplica",SUMIF(TUSD!$C$57:'TUSD'!$C$103,$I$2,TUSD!$BD$57:'TUSD'!$BD$103),IF($B$2&lt;&gt;"Não se aplica",SUMIF(TUSD!$B$57:'TUSD'!$B$103,$I$2,TUSD!$BD$57:'TUSD'!$BD$103),SUMIF(TUSD!$A$57:'TUSD'!$A$103,$I$2,TUSD!$BD$57:'TUSD'!$BD$103)))))))</f>
        <v>0</v>
      </c>
      <c r="X8" s="48">
        <f t="shared" si="0"/>
        <v>8226427.1195642976</v>
      </c>
      <c r="AD8" s="14" t="s">
        <v>89</v>
      </c>
      <c r="AG8" s="14" t="s">
        <v>83</v>
      </c>
    </row>
    <row r="9" spans="1:33" x14ac:dyDescent="0.2">
      <c r="A9" s="14" t="s">
        <v>1003</v>
      </c>
      <c r="B9" s="48">
        <f>IF($G$2&lt;&gt;"Não se aplica",SUMIF(TUSD!$G$57:'TUSD'!$G$103,$I$2,TUSD!$L$57:'TUSD'!$L$103),IF($F$2&lt;&gt;"Não se aplica",SUMIF(TUSD!$F$57:'TUSD'!$F$103,$I$2,TUSD!$L$57:'TUSD'!$L$103),IF($E$2&lt;&gt;"Não se aplica",SUMIF(TUSD!$E$57:'TUSD'!$E$103,$I$2,TUSD!$L$57:'TUSD'!$L$103),IF($D$2&lt;&gt;"Não se aplica",SUMIF(TUSD!$D$57:'TUSD'!$D$103,$I$2,TUSD!$L$57:'TUSD'!$L$103),IF($C$2&lt;&gt;"Não se aplica",SUMIF(TUSD!$C$57:'TUSD'!$C$103,$I$2,TUSD!$L$57:'TUSD'!$L$103),IF($B$2&lt;&gt;"Não se aplica",SUMIF(TUSD!$B$57:'TUSD'!$B$103,$I$2,TUSD!$L$57:'TUSD'!$L$103),SUMIF(TUSD!$A$57:'TUSD'!$A$103,$I$2,TUSD!$L$57:'TUSD'!$L$103)))))))</f>
        <v>0</v>
      </c>
      <c r="C9" s="48">
        <f>IF($G$2&lt;&gt;"Não se aplica",SUMIF(TUSD!$G$57:'TUSD'!$G$103,$I$2,TUSD!$M$57:'TUSD'!$M$103),IF($F$2&lt;&gt;"Não se aplica",SUMIF(TUSD!$F$57:'TUSD'!$F$103,$I$2,TUSD!$M$57:'TUSD'!$M$103),IF($E$2&lt;&gt;"Não se aplica",SUMIF(TUSD!$E$57:'TUSD'!$E$103,$I$2,TUSD!$M$57:'TUSD'!$M$103),IF($D$2&lt;&gt;"Não se aplica",SUMIF(TUSD!$D$57:'TUSD'!$D$103,$I$2,TUSD!$M$57:'TUSD'!$M$103),IF($C$2&lt;&gt;"Não se aplica",SUMIF(TUSD!$C$57:'TUSD'!$C$103,$I$2,TUSD!$M$57:'TUSD'!$M$103),IF($B$2&lt;&gt;"Não se aplica",SUMIF(TUSD!$B$57:'TUSD'!$B$103,$I$2,TUSD!$M$57:'TUSD'!$M$103),SUMIF(TUSD!$A$57:'TUSD'!$A$103,$I$2,TUSD!$M$57:'TUSD'!$M$103)))))))</f>
        <v>25614.589277356092</v>
      </c>
      <c r="D9" s="48">
        <f ca="1">IF($G$2&lt;&gt;"Não se aplica",SUMIF(TUSD!$G$57:'TUSD'!$G$103,$I$2,TUSD!$N$57:'TUSD'!$N$103),IF($F$2&lt;&gt;"Não se aplica",SUMIF(TUSD!$F$57:'TUSD'!$F$103,$I$2,TUSD!$N$57:'TUSD'!$N$103),IF($E$2&lt;&gt;"Não se aplica",SUMIF(TUSD!$E$57:'TUSD'!$E$103,$I$2,TUSD!$N$57:'TUSD'!$N$103),IF($D$2&lt;&gt;"Não se aplica",SUMIF(TUSD!$D$57:'TUSD'!$D$103,$I$2,TUSD!$N$57:'TUSD'!$N$103),IF($C$2&lt;&gt;"Não se aplica",SUMIF(TUSD!$C$57:'TUSD'!$C$103,$I$2,TUSD!$N$57:'TUSD'!$N$103),IF($B$2&lt;&gt;"Não se aplica",SUMIF(TUSD!$B$57:'TUSD'!$B$103,$I$2,TUSD!$N$57:'TUSD'!$N$103),SUMIF(TUSD!$A$57:'TUSD'!$A$103,$I$2,TUSD!$N$57:'TUSD'!$N$103)))))))</f>
        <v>0</v>
      </c>
      <c r="E9" s="48">
        <f>IF($G$2&lt;&gt;"Não se aplica",SUMIF(TUSD!$G$57:'TUSD'!$G$103,$I$2,TUSD!$O$57:'TUSD'!$O$103),IF($F$2&lt;&gt;"Não se aplica",SUMIF(TUSD!$F$57:'TUSD'!$F$103,$I$2,TUSD!$O$57:'TUSD'!$O$103),IF($E$2&lt;&gt;"Não se aplica",SUMIF(TUSD!$E$57:'TUSD'!$E$103,$I$2,TUSD!$O$57:'TUSD'!$O$103),IF($D$2&lt;&gt;"Não se aplica",SUMIF(TUSD!$D$57:'TUSD'!$D$103,$I$2,TUSD!$O$57:'TUSD'!$O$103),IF($C$2&lt;&gt;"Não se aplica",SUMIF(TUSD!$C$57:'TUSD'!$C$103,$I$2,TUSD!$O$57:'TUSD'!$O$103),IF($B$2&lt;&gt;"Não se aplica",SUMIF(TUSD!$B$57:'TUSD'!$B$103,$I$2,TUSD!$O$57:'TUSD'!$O$103),SUMIF(TUSD!$A$57:'TUSD'!$A$103,$I$2,TUSD!$O$57:'TUSD'!$O$103)))))))</f>
        <v>0</v>
      </c>
      <c r="F9" s="48">
        <f>IF($G$2&lt;&gt;"Não se aplica",SUMIF(TUSD!$G$57:'TUSD'!$G$103,$I$2,TUSD!$P$57:'TUSD'!$P$103),IF($F$2&lt;&gt;"Não se aplica",SUMIF(TUSD!$F$57:'TUSD'!$F$103,$I$2,TUSD!$P$57:'TUSD'!$P$103),IF($E$2&lt;&gt;"Não se aplica",SUMIF(TUSD!$E$57:'TUSD'!$E$103,$I$2,TUSD!$P$57:'TUSD'!$P$103),IF($D$2&lt;&gt;"Não se aplica",SUMIF(TUSD!$D$57:'TUSD'!$D$103,$I$2,TUSD!$P$57:'TUSD'!$P$103),IF($C$2&lt;&gt;"Não se aplica",SUMIF(TUSD!$C$57:'TUSD'!$C$103,$I$2,TUSD!$P$57:'TUSD'!$P$103),IF($B$2&lt;&gt;"Não se aplica",SUMIF(TUSD!$B$57:'TUSD'!$B$103,$I$2,TUSD!$P$57:'TUSD'!$P$103),SUMIF(TUSD!$A$57:'TUSD'!$A$103,$I$2,TUSD!$P$57:'TUSD'!$P$103)))))))</f>
        <v>0</v>
      </c>
      <c r="G9" s="48">
        <f>IF($G$2&lt;&gt;"Não se aplica",SUMIF(TUSD!$G$57:'TUSD'!$G$103,$I$2,TUSD!$Q$57:'TUSD'!$Q$103),IF($F$2&lt;&gt;"Não se aplica",SUMIF(TUSD!$F$57:'TUSD'!$F$103,$I$2,TUSD!$Q$57:'TUSD'!$Q$103),IF($E$2&lt;&gt;"Não se aplica",SUMIF(TUSD!$E$57:'TUSD'!$E$103,$I$2,TUSD!$Q$57:'TUSD'!$Q$103),IF($D$2&lt;&gt;"Não se aplica",SUMIF(TUSD!$D$57:'TUSD'!$D$103,$I$2,TUSD!$Q$57:'TUSD'!$Q$103),IF($C$2&lt;&gt;"Não se aplica",SUMIF(TUSD!$C$57:'TUSD'!$C$103,$I$2,TUSD!$Q$57:'TUSD'!$Q$103),IF($B$2&lt;&gt;"Não se aplica",SUMIF(TUSD!$B$57:'TUSD'!$B$103,$I$2,TUSD!$Q$57:'TUSD'!$Q$103),SUMIF(TUSD!$A$57:'TUSD'!$A$103,$I$2,TUSD!$Q$57:'TUSD'!$Q$103)))))))</f>
        <v>2476083.3337509823</v>
      </c>
      <c r="H9" s="48">
        <f>IF($G$2&lt;&gt;"Não se aplica",SUMIF(TUSD!$G$57:'TUSD'!$G$103,$I$2,TUSD!$R$57:'TUSD'!$R$103),IF($F$2&lt;&gt;"Não se aplica",SUMIF(TUSD!$F$57:'TUSD'!$F$103,$I$2,TUSD!$R$57:'TUSD'!$R$103),IF($E$2&lt;&gt;"Não se aplica",SUMIF(TUSD!$E$57:'TUSD'!$E$103,$I$2,TUSD!$R$57:'TUSD'!$R$103),IF($D$2&lt;&gt;"Não se aplica",SUMIF(TUSD!$D$57:'TUSD'!$D$103,$I$2,TUSD!$R$57:'TUSD'!$R$103),IF($C$2&lt;&gt;"Não se aplica",SUMIF(TUSD!$C$57:'TUSD'!$C$103,$I$2,TUSD!$R$57:'TUSD'!$R$103),IF($B$2&lt;&gt;"Não se aplica",SUMIF(TUSD!$B$57:'TUSD'!$B$103,$I$2,TUSD!$R$57:'TUSD'!$R$103),SUMIF(TUSD!$A$57:'TUSD'!$A$103,$I$2,TUSD!$R$57:'TUSD'!$R$103)))))))</f>
        <v>465046.22977184731</v>
      </c>
      <c r="I9" s="48">
        <f>IF($G$2&lt;&gt;"Não se aplica",SUMIF(TUSD!$G$57:'TUSD'!$G$103,$I$2,TUSD!$S$57:'TUSD'!$S$103),IF($F$2&lt;&gt;"Não se aplica",SUMIF(TUSD!$F$57:'TUSD'!$F$103,$I$2,TUSD!$S$57:'TUSD'!$S$103),IF($E$2&lt;&gt;"Não se aplica",SUMIF(TUSD!$E$57:'TUSD'!$E$103,$I$2,TUSD!$S$57:'TUSD'!$S$103),IF($D$2&lt;&gt;"Não se aplica",SUMIF(TUSD!$D$57:'TUSD'!$D$103,$I$2,TUSD!$S$57:'TUSD'!$S$103),IF($C$2&lt;&gt;"Não se aplica",SUMIF(TUSD!$C$57:'TUSD'!$C$103,$I$2,TUSD!$S$57:'TUSD'!$S$103),IF($B$2&lt;&gt;"Não se aplica",SUMIF(TUSD!$B$57:'TUSD'!$B$103,$I$2,TUSD!$S$57:'TUSD'!$S$103),SUMIF(TUSD!$A$57:'TUSD'!$A$103,$I$2,TUSD!$S$57:'TUSD'!$S$103)))))))</f>
        <v>0</v>
      </c>
      <c r="J9" s="48">
        <f>IF($G$2&lt;&gt;"Não se aplica",SUMIF(TUSD!$G$57:'TUSD'!$G$103,$I$2,TUSD!$T$57:'TUSD'!$T$103),IF($F$2&lt;&gt;"Não se aplica",SUMIF(TUSD!$F$57:'TUSD'!$F$103,$I$2,TUSD!$T$57:'TUSD'!$T$103),IF($E$2&lt;&gt;"Não se aplica",SUMIF(TUSD!$E$57:'TUSD'!$E$103,$I$2,TUSD!$T$57:'TUSD'!$T$103),IF($D$2&lt;&gt;"Não se aplica",SUMIF(TUSD!$D$57:'TUSD'!$D$103,$I$2,TUSD!$T$57:'TUSD'!$T$103),IF($C$2&lt;&gt;"Não se aplica",SUMIF(TUSD!$C$57:'TUSD'!$C$103,$I$2,TUSD!$T$57:'TUSD'!$T$103),IF($B$2&lt;&gt;"Não se aplica",SUMIF(TUSD!$B$57:'TUSD'!$B$103,$I$2,TUSD!$T$57:'TUSD'!$T$103),SUMIF(TUSD!$A$57:'TUSD'!$A$103,$I$2,TUSD!$T$57:'TUSD'!$T$103)))))))</f>
        <v>0</v>
      </c>
      <c r="K9" s="48">
        <f>IF($G$2&lt;&gt;"Não se aplica",SUMIF(TUSD!$G$57:'TUSD'!$G$103,$I$2,TUSD!$U$57:'TUSD'!$U$103),IF($F$2&lt;&gt;"Não se aplica",SUMIF(TUSD!$F$57:'TUSD'!$F$103,$I$2,TUSD!$U$57:'TUSD'!$U$103),IF($E$2&lt;&gt;"Não se aplica",SUMIF(TUSD!$E$57:'TUSD'!$E$103,$I$2,TUSD!$U$57:'TUSD'!$U$103),IF($D$2&lt;&gt;"Não se aplica",SUMIF(TUSD!$D$57:'TUSD'!$D$103,$I$2,TUSD!$U$57:'TUSD'!$U$103),IF($C$2&lt;&gt;"Não se aplica",SUMIF(TUSD!$C$57:'TUSD'!$C$103,$I$2,TUSD!$U$57:'TUSD'!$U$103),IF($B$2&lt;&gt;"Não se aplica",SUMIF(TUSD!$B$57:'TUSD'!$B$103,$I$2,TUSD!$U$57:'TUSD'!$U$103),SUMIF(TUSD!$A$57:'TUSD'!$A$103,$I$2,TUSD!$U$57:'TUSD'!$U$103)))))))</f>
        <v>0</v>
      </c>
      <c r="L9" s="48">
        <f>IF($G$2&lt;&gt;"Não se aplica",SUMIF(TUSD!$G$57:'TUSD'!$G$103,$I$2,TUSD!$V$57:'TUSD'!$V$103),IF($F$2&lt;&gt;"Não se aplica",SUMIF(TUSD!$F$57:'TUSD'!$F$103,$I$2,TUSD!$V$57:'TUSD'!$V$103),IF($E$2&lt;&gt;"Não se aplica",SUMIF(TUSD!$E$57:'TUSD'!$E$103,$I$2,TUSD!$V$57:'TUSD'!$V$103),IF($D$2&lt;&gt;"Não se aplica",SUMIF(TUSD!$D$57:'TUSD'!$D$103,$I$2,TUSD!$V$57:'TUSD'!$V$103),IF($C$2&lt;&gt;"Não se aplica",SUMIF(TUSD!$C$57:'TUSD'!$C$103,$I$2,TUSD!$V$57:'TUSD'!$V$103),IF($B$2&lt;&gt;"Não se aplica",SUMIF(TUSD!$B$57:'TUSD'!$B$103,$I$2,TUSD!$V$57:'TUSD'!$V$103),SUMIF(TUSD!$A$57:'TUSD'!$A$103,$I$2,TUSD!$V$57:'TUSD'!$V$103)))))))</f>
        <v>0</v>
      </c>
      <c r="M9" s="48">
        <f>IF($G$2&lt;&gt;"Não se aplica",SUMIF(TUSD!$G$57:'TUSD'!$G$103,$I$2,TUSD!$W$57:'TUSD'!$W$103),IF($F$2&lt;&gt;"Não se aplica",SUMIF(TUSD!$F$57:'TUSD'!$F$103,$I$2,TUSD!$W$57:'TUSD'!$W$103),IF($E$2&lt;&gt;"Não se aplica",SUMIF(TUSD!$E$57:'TUSD'!$E$103,$I$2,TUSD!$W$57:'TUSD'!$W$103),IF($D$2&lt;&gt;"Não se aplica",SUMIF(TUSD!$D$57:'TUSD'!$D$103,$I$2,TUSD!$W$57:'TUSD'!$W$103),IF($C$2&lt;&gt;"Não se aplica",SUMIF(TUSD!$C$57:'TUSD'!$C$103,$I$2,TUSD!$W$57:'TUSD'!$W$103),IF($B$2&lt;&gt;"Não se aplica",SUMIF(TUSD!$B$57:'TUSD'!$B$103,$I$2,TUSD!$W$57:'TUSD'!$W$103),SUMIF(TUSD!$A$57:'TUSD'!$A$103,$I$2,TUSD!$W$57:'TUSD'!$W$103)))))))</f>
        <v>0</v>
      </c>
      <c r="N9" s="48">
        <f>IF($G$2&lt;&gt;"Não se aplica",SUMIF(TUSD!$G$57:'TUSD'!$G$103,$I$2,TUSD!$X$57:'TUSD'!$X$103),IF($F$2&lt;&gt;"Não se aplica",SUMIF(TUSD!$F$57:'TUSD'!$F$103,$I$2,TUSD!$X$57:'TUSD'!$X$103),IF($E$2&lt;&gt;"Não se aplica",SUMIF(TUSD!$E$57:'TUSD'!$E$103,$I$2,TUSD!$X$57:'TUSD'!$X$103),IF($D$2&lt;&gt;"Não se aplica",SUMIF(TUSD!$D$57:'TUSD'!$D$103,$I$2,TUSD!$X$57:'TUSD'!$X$103),IF($C$2&lt;&gt;"Não se aplica",SUMIF(TUSD!$C$57:'TUSD'!$C$103,$I$2,TUSD!$X$57:'TUSD'!$X$103),IF($B$2&lt;&gt;"Não se aplica",SUMIF(TUSD!$B$57:'TUSD'!$B$103,$I$2,TUSD!$X$57:'TUSD'!$X$103),SUMIF(TUSD!$A$57:'TUSD'!$A$103,$I$2,TUSD!$X$57:'TUSD'!$X$103)))))))</f>
        <v>2789722.5812495956</v>
      </c>
      <c r="O9" s="48">
        <f>IF($G$2&lt;&gt;"Não se aplica",SUMIF(TUSD!$G$57:'TUSD'!$G$103,$I$2,TUSD!$Y$57:'TUSD'!$Y$103),IF($F$2&lt;&gt;"Não se aplica",SUMIF(TUSD!$F$57:'TUSD'!$F$103,$I$2,TUSD!$Y$57:'TUSD'!$Y$103),IF($E$2&lt;&gt;"Não se aplica",SUMIF(TUSD!$E$57:'TUSD'!$E$103,$I$2,TUSD!$Y$57:'TUSD'!$Y$103),IF($D$2&lt;&gt;"Não se aplica",SUMIF(TUSD!$D$57:'TUSD'!$D$103,$I$2,TUSD!$Y$57:'TUSD'!$Y$103),IF($C$2&lt;&gt;"Não se aplica",SUMIF(TUSD!$C$57:'TUSD'!$C$103,$I$2,TUSD!$Y$57:'TUSD'!$Y$103),IF($B$2&lt;&gt;"Não se aplica",SUMIF(TUSD!$B$57:'TUSD'!$B$103,$I$2,TUSD!$Y$57:'TUSD'!$Y$103),SUMIF(TUSD!$A$57:'TUSD'!$A$103,$I$2,TUSD!$Y$57:'TUSD'!$Y$103)))))))</f>
        <v>0</v>
      </c>
      <c r="P9" s="48">
        <f>IF($G$2&lt;&gt;"Não se aplica",SUMIF(TUSD!$G$57:'TUSD'!$G$103,$I$2,TUSD!$Z$57:'TUSD'!$Z$103),IF($F$2&lt;&gt;"Não se aplica",SUMIF(TUSD!$F$57:'TUSD'!$F$103,$I$2,TUSD!$Z$57:'TUSD'!$Z$103),IF($E$2&lt;&gt;"Não se aplica",SUMIF(TUSD!$E$57:'TUSD'!$E$103,$I$2,TUSD!$Z$57:'TUSD'!$Z$103),IF($D$2&lt;&gt;"Não se aplica",SUMIF(TUSD!$D$57:'TUSD'!$D$103,$I$2,TUSD!$Z$57:'TUSD'!$Z$103),IF($C$2&lt;&gt;"Não se aplica",SUMIF(TUSD!$C$57:'TUSD'!$C$103,$I$2,TUSD!$Z$57:'TUSD'!$Z$103),IF($B$2&lt;&gt;"Não se aplica",SUMIF(TUSD!$B$57:'TUSD'!$B$103,$I$2,TUSD!$Z$57:'TUSD'!$Z$103),SUMIF(TUSD!$A$57:'TUSD'!$A$103,$I$2,TUSD!$Z$57:'TUSD'!$Z$103)))))))</f>
        <v>0</v>
      </c>
      <c r="Q9" s="48">
        <f>IF($G$2&lt;&gt;"Não se aplica",SUMIF(TUSD!$G$57:'TUSD'!$G$103,$I$2,TUSD!$AA$57:'TUSD'!$AA$103),IF($F$2&lt;&gt;"Não se aplica",SUMIF(TUSD!$F$57:'TUSD'!$F$103,$I$2,TUSD!$AA$57:'TUSD'!$AA$103),IF($E$2&lt;&gt;"Não se aplica",SUMIF(TUSD!$E$57:'TUSD'!$E$103,$I$2,TUSD!$AA$57:'TUSD'!$AA$103),IF($D$2&lt;&gt;"Não se aplica",SUMIF(TUSD!$D$57:'TUSD'!$D$103,$I$2,TUSD!$AA$57:'TUSD'!$AA$103),IF($C$2&lt;&gt;"Não se aplica",SUMIF(TUSD!$C$57:'TUSD'!$C$103,$I$2,TUSD!$AA$57:'TUSD'!$AA$103),IF($B$2&lt;&gt;"Não se aplica",SUMIF(TUSD!$B$57:'TUSD'!$B$103,$I$2,TUSD!$AA$57:'TUSD'!$AA$103),SUMIF(TUSD!$A$57:'TUSD'!$A$103,$I$2,TUSD!$AA$57:'TUSD'!$AA$103)))))))</f>
        <v>3213786.8885707641</v>
      </c>
      <c r="R9" s="48">
        <f ca="1">IF($G$2&lt;&gt;"Não se aplica",SUMIF(TUSD!$G$57:'TUSD'!$G$103,$I$2,TUSD!$AB$57:'TUSD'!$AB$103),IF($F$2&lt;&gt;"Não se aplica",SUMIF(TUSD!$F$57:'TUSD'!$F$103,$I$2,TUSD!$AB$57:'TUSD'!$AB$103),IF($E$2&lt;&gt;"Não se aplica",SUMIF(TUSD!$E$57:'TUSD'!$E$103,$I$2,TUSD!$AB$57:'TUSD'!$AB$103),IF($D$2&lt;&gt;"Não se aplica",SUMIF(TUSD!$D$57:'TUSD'!$D$103,$I$2,TUSD!$AB$57:'TUSD'!$AB$103),IF($C$2&lt;&gt;"Não se aplica",SUMIF(TUSD!$C$57:'TUSD'!$C$103,$I$2,TUSD!$AB$57:'TUSD'!$AB$103),IF($B$2&lt;&gt;"Não se aplica",SUMIF(TUSD!$B$57:'TUSD'!$B$103,$I$2,TUSD!$AB$57:'TUSD'!$AB$103),SUMIF(TUSD!$A$57:'TUSD'!$A$103,$I$2,TUSD!$AB$57:'TUSD'!$AB$103)))))))</f>
        <v>0</v>
      </c>
      <c r="S9" s="48">
        <f ca="1">IF($G$2&lt;&gt;"Não se aplica",SUMIF(TUSD!$G$57:'TUSD'!$G$103,$I$2,TUSD!$AC$57:'TUSD'!$AC$103),IF($F$2&lt;&gt;"Não se aplica",SUMIF(TUSD!$F$57:'TUSD'!$F$103,$I$2,TUSD!$AC$57:'TUSD'!$AC$103),IF($E$2&lt;&gt;"Não se aplica",SUMIF(TUSD!$E$57:'TUSD'!$E$103,$I$2,TUSD!$AC$57:'TUSD'!$AC$103),IF($D$2&lt;&gt;"Não se aplica",SUMIF(TUSD!$D$57:'TUSD'!$D$103,$I$2,TUSD!$AC$57:'TUSD'!$AC$103),IF($C$2&lt;&gt;"Não se aplica",SUMIF(TUSD!$C$57:'TUSD'!$C$103,$I$2,TUSD!$AC$57:'TUSD'!$AC$103),IF($B$2&lt;&gt;"Não se aplica",SUMIF(TUSD!$B$57:'TUSD'!$B$103,$I$2,TUSD!$AC$57:'TUSD'!$AC$103),SUMIF(TUSD!$A$57:'TUSD'!$A$103,$I$2,TUSD!$AC$57:'TUSD'!$AC$103)))))))</f>
        <v>0</v>
      </c>
      <c r="T9" s="48">
        <f>IF($G$2&lt;&gt;"Não se aplica",SUMIF(TUSD!$G$57:'TUSD'!$G$103,$I$2,TUSD!$AD$57:'TUSD'!$AD$103),IF($F$2&lt;&gt;"Não se aplica",SUMIF(TUSD!$F$57:'TUSD'!$F$103,$I$2,TUSD!$AD$57:'TUSD'!$AD$103),IF($E$2&lt;&gt;"Não se aplica",SUMIF(TUSD!$E$57:'TUSD'!$E$103,$I$2,TUSD!$AD$57:'TUSD'!$AD$103),IF($D$2&lt;&gt;"Não se aplica",SUMIF(TUSD!$D$57:'TUSD'!$D$103,$I$2,TUSD!$AD$57:'TUSD'!$AD$103),IF($C$2&lt;&gt;"Não se aplica",SUMIF(TUSD!$C$57:'TUSD'!$C$103,$I$2,TUSD!$AD$57:'TUSD'!$AD$103),IF($B$2&lt;&gt;"Não se aplica",SUMIF(TUSD!$B$57:'TUSD'!$B$103,$I$2,TUSD!$AD$57:'TUSD'!$AD$103),SUMIF(TUSD!$A$57:'TUSD'!$A$103,$I$2,TUSD!$AD$57:'TUSD'!$AD$103)))))))</f>
        <v>236100.32473524689</v>
      </c>
      <c r="U9" s="48">
        <f>IF($G$2&lt;&gt;"Não se aplica",SUMIF(TUSD!$G$57:'TUSD'!$G$103,$I$2,TUSD!$AE$57:'TUSD'!$AE$103),IF($F$2&lt;&gt;"Não se aplica",SUMIF(TUSD!$F$57:'TUSD'!$F$103,$I$2,TUSD!$AE$57:'TUSD'!$AE$103),IF($E$2&lt;&gt;"Não se aplica",SUMIF(TUSD!$E$57:'TUSD'!$E$103,$I$2,TUSD!$AE$57:'TUSD'!$AE$103),IF($D$2&lt;&gt;"Não se aplica",SUMIF(TUSD!$D$57:'TUSD'!$D$103,$I$2,TUSD!$AE$57:'TUSD'!$AE$103),IF($C$2&lt;&gt;"Não se aplica",SUMIF(TUSD!$C$57:'TUSD'!$C$103,$I$2,TUSD!$AE$57:'TUSD'!$AE$103),IF($B$2&lt;&gt;"Não se aplica",SUMIF(TUSD!$B$57:'TUSD'!$B$103,$I$2,TUSD!$AE$57:'TUSD'!$AE$103),SUMIF(TUSD!$A$57:'TUSD'!$A$103,$I$2,TUSD!$AE$57:'TUSD'!$AE$103)))))))</f>
        <v>0</v>
      </c>
      <c r="V9" s="48">
        <f ca="1">IF($G$2&lt;&gt;"Não se aplica",SUMIF(TUSD!$G$57:'TUSD'!$G$103,$I$2,TUSD!$AF$57:'TUSD'!$AF$103),IF($F$2&lt;&gt;"Não se aplica",SUMIF(TUSD!$F$57:'TUSD'!$F$103,$I$2,TUSD!$AF$57:'TUSD'!$AF$103),IF($E$2&lt;&gt;"Não se aplica",SUMIF(TUSD!$E$57:'TUSD'!$E$103,$I$2,TUSD!$AF$57:'TUSD'!$AF$103),IF($D$2&lt;&gt;"Não se aplica",SUMIF(TUSD!$D$57:'TUSD'!$D$103,$I$2,TUSD!$AF$57:'TUSD'!$AF$103),IF($C$2&lt;&gt;"Não se aplica",SUMIF(TUSD!$C$57:'TUSD'!$C$103,$I$2,TUSD!$AF$57:'TUSD'!$AF$103),IF($B$2&lt;&gt;"Não se aplica",SUMIF(TUSD!$B$57:'TUSD'!$B$103,$I$2,TUSD!$AF$57:'TUSD'!$AF$103),SUMIF(TUSD!$A$57:'TUSD'!$A$103,$I$2,TUSD!$AF$57:'TUSD'!$AF$103)))))))</f>
        <v>0</v>
      </c>
      <c r="W9" s="48">
        <f ca="1">IF($G$2&lt;&gt;"Não se aplica",SUMIF(TUSD!$G$57:'TUSD'!$G$103,$I$2,TUSD!$AG$57:'TUSD'!$AG$103),IF($F$2&lt;&gt;"Não se aplica",SUMIF(TUSD!$F$57:'TUSD'!$F$103,$I$2,TUSD!$AG$57:'TUSD'!$AG$103),IF($E$2&lt;&gt;"Não se aplica",SUMIF(TUSD!$E$57:'TUSD'!$E$103,$I$2,TUSD!$AG$57:'TUSD'!$AG$103),IF($D$2&lt;&gt;"Não se aplica",SUMIF(TUSD!$D$57:'TUSD'!$D$103,$I$2,TUSD!$AG$57:'TUSD'!$AG$103),IF($C$2&lt;&gt;"Não se aplica",SUMIF(TUSD!$C$57:'TUSD'!$C$103,$I$2,TUSD!$AG$57:'TUSD'!$AG$103),IF($B$2&lt;&gt;"Não se aplica",SUMIF(TUSD!$B$57:'TUSD'!$B$103,$I$2,TUSD!$AG$57:'TUSD'!$AG$103),SUMIF(TUSD!$A$57:'TUSD'!$A$103,$I$2,TUSD!$AG$57:'TUSD'!$AG$103)))))))</f>
        <v>0</v>
      </c>
      <c r="X9" s="48">
        <f t="shared" ca="1" si="0"/>
        <v>9206353.9473557919</v>
      </c>
      <c r="AD9" s="14" t="s">
        <v>45</v>
      </c>
    </row>
    <row r="10" spans="1:33" x14ac:dyDescent="0.2">
      <c r="A10" s="14" t="s">
        <v>1000</v>
      </c>
      <c r="B10" s="48">
        <f>SUMIF(TUSD!$A$57:'TUSD'!$A$103,$A$2,TUSD!$AI$57:'TUSD'!$AI$103)</f>
        <v>0</v>
      </c>
      <c r="C10" s="48">
        <f>SUMIF(TUSD!$A$57:'TUSD'!$A$103,$A$2,TUSD!$AJ$57:'TUSD'!$AJ$103)</f>
        <v>18600.016075307522</v>
      </c>
      <c r="D10" s="48">
        <f>SUMIF(TUSD!$A$57:'TUSD'!$A$103,$A$2,TUSD!$AK$57:'TUSD'!$AK$103)</f>
        <v>0</v>
      </c>
      <c r="E10" s="48">
        <f>SUMIF(TUSD!$A$57:'TUSD'!$A$103,$A$2,TUSD!$AL$57:'TUSD'!$AL$103)</f>
        <v>0</v>
      </c>
      <c r="F10" s="48">
        <f>SUMIF(TUSD!$A$57:'TUSD'!$A$103,$A$2,TUSD!$AM$57:'TUSD'!$AM$103)</f>
        <v>0</v>
      </c>
      <c r="G10" s="48">
        <f>SUMIF(TUSD!$A$57:'TUSD'!$A$103,$A$2,TUSD!$AN$57:'TUSD'!$AN$103)</f>
        <v>1597861.7441615853</v>
      </c>
      <c r="H10" s="48">
        <f>SUMIF(TUSD!$A$57:'TUSD'!$A$103,$A$2,TUSD!$AO$57:'TUSD'!$AO$103)</f>
        <v>285900.48785420449</v>
      </c>
      <c r="I10" s="48">
        <f>SUMIF(TUSD!$A$57:'TUSD'!$A$103,$A$2,TUSD!$AP$57:'TUSD'!$AP$103)</f>
        <v>0</v>
      </c>
      <c r="J10" s="48">
        <f>SUMIF(TUSD!$A$57:'TUSD'!$A$103,$A$2,TUSD!$AQ$57:'TUSD'!$AQ$103)</f>
        <v>0</v>
      </c>
      <c r="K10" s="48">
        <f>SUMIF(TUSD!$A$57:'TUSD'!$A$103,$A$2,TUSD!$AR$57:'TUSD'!$AR$103)</f>
        <v>0</v>
      </c>
      <c r="L10" s="48">
        <f>SUMIF(TUSD!$A$57:'TUSD'!$A$103,$A$2,TUSD!$AS$57:'TUSD'!$AS$103)</f>
        <v>0</v>
      </c>
      <c r="M10" s="48">
        <f>SUMIF(TUSD!$A$57:'TUSD'!$A$103,$A$2,TUSD!$AT$57:'TUSD'!$AT$103)</f>
        <v>0</v>
      </c>
      <c r="N10" s="48">
        <f>SUMIF(TUSD!$A$57:'TUSD'!$A$103,$A$2,TUSD!$AU$57:'TUSD'!$AU$103)</f>
        <v>2922583.8187305229</v>
      </c>
      <c r="O10" s="48">
        <f>SUMIF(TUSD!$A$57:'TUSD'!$A$103,$A$2,TUSD!$AV$57:'TUSD'!$AV$103)</f>
        <v>0</v>
      </c>
      <c r="P10" s="48">
        <f>SUMIF(TUSD!$A$57:'TUSD'!$A$103,$A$2,TUSD!$AW$57:'TUSD'!$AW$103)</f>
        <v>0</v>
      </c>
      <c r="Q10" s="48">
        <f>SUMIF(TUSD!$A$57:'TUSD'!$A$103,$A$2,TUSD!$AX$57:'TUSD'!$AX$103)</f>
        <v>3179740.2447944321</v>
      </c>
      <c r="R10" s="48">
        <f>SUMIF(TUSD!$A$57:'TUSD'!$A$103,$A$2,TUSD!$AY$57:'TUSD'!$AY$103)</f>
        <v>0</v>
      </c>
      <c r="S10" s="48">
        <f>SUMIF(TUSD!$A$57:'TUSD'!$A$103,$A$2,TUSD!$AZ$57:'TUSD'!$AZ$103)</f>
        <v>0</v>
      </c>
      <c r="T10" s="48">
        <f>SUMIF(TUSD!$A$57:'TUSD'!$A$103,$A$2,TUSD!$BA$57:'TUSD'!$BA$103)</f>
        <v>221740.80794824532</v>
      </c>
      <c r="U10" s="48">
        <f>SUMIF(TUSD!$A$57:'TUSD'!$A$103,$A$2,TUSD!$BB$57:'TUSD'!$BB$103)</f>
        <v>0</v>
      </c>
      <c r="V10" s="48">
        <f>SUMIF(TUSD!$A$57:'TUSD'!$A$103,$A$2,TUSD!$BC$57:'TUSD'!$BC$103)</f>
        <v>0</v>
      </c>
      <c r="W10" s="48">
        <f>SUMIF(TUSD!$A$57:'TUSD'!$A$103,$A$2,TUSD!$BD$57:'TUSD'!$BD$103)</f>
        <v>0</v>
      </c>
      <c r="X10" s="48">
        <f t="shared" si="0"/>
        <v>8226427.1195642976</v>
      </c>
      <c r="AD10" s="14" t="s">
        <v>90</v>
      </c>
    </row>
    <row r="11" spans="1:33" x14ac:dyDescent="0.2">
      <c r="A11" s="14" t="s">
        <v>1001</v>
      </c>
      <c r="B11" s="48">
        <f>SUMIF(TUSD!$A$57:'TUSD'!$A$103,$A$2,TUSD!$L$57:'TUSD'!$L$103)</f>
        <v>0</v>
      </c>
      <c r="C11" s="48">
        <f>SUMIF(TUSD!$A$57:'TUSD'!$A$103,$A$2,TUSD!$M$57:'TUSD'!$M$103)</f>
        <v>25614.589277356092</v>
      </c>
      <c r="D11" s="48">
        <f ca="1">SUMIF(TUSD!$A$57:'TUSD'!$A$103,$A$2,TUSD!$N$57:'TUSD'!$N$103)</f>
        <v>0</v>
      </c>
      <c r="E11" s="48">
        <f>SUMIF(TUSD!$A$57:'TUSD'!$A$103,$A$2,TUSD!$O$57:'TUSD'!$O$103)</f>
        <v>0</v>
      </c>
      <c r="F11" s="48">
        <f>SUMIF(TUSD!$A$57:'TUSD'!$A$103,$A$2,TUSD!$P$57:'TUSD'!$P$103)</f>
        <v>0</v>
      </c>
      <c r="G11" s="48">
        <f>SUMIF(TUSD!$A$57:'TUSD'!$A$103,$A$2,TUSD!$Q$57:'TUSD'!$Q$103)</f>
        <v>2476083.3337509823</v>
      </c>
      <c r="H11" s="48">
        <f>SUMIF(TUSD!$A$57:'TUSD'!$A$103,$A$2,TUSD!$R$57:'TUSD'!$R$103)</f>
        <v>465046.22977184731</v>
      </c>
      <c r="I11" s="48">
        <f>SUMIF(TUSD!$A$57:'TUSD'!$A$103,$A$2,TUSD!$S$57:'TUSD'!$S$103)</f>
        <v>0</v>
      </c>
      <c r="J11" s="48">
        <f>SUMIF(TUSD!$A$57:'TUSD'!$A$103,$A$2,TUSD!$T$57:'TUSD'!$T$103)</f>
        <v>0</v>
      </c>
      <c r="K11" s="48">
        <f>SUMIF(TUSD!$A$57:'TUSD'!$A$103,$A$2,TUSD!$U$57:'TUSD'!$U$103)</f>
        <v>0</v>
      </c>
      <c r="L11" s="48">
        <f>SUMIF(TUSD!$A$57:'TUSD'!$A$103,$A$2,TUSD!$V$57:'TUSD'!$V$103)</f>
        <v>0</v>
      </c>
      <c r="M11" s="48">
        <f>SUMIF(TUSD!$A$57:'TUSD'!$A$103,$A$2,TUSD!$W$57:'TUSD'!$W$103)</f>
        <v>0</v>
      </c>
      <c r="N11" s="48">
        <f>SUMIF(TUSD!$A$57:'TUSD'!$A$103,$A$2,TUSD!$X$57:'TUSD'!$X$103)</f>
        <v>2789722.5812495956</v>
      </c>
      <c r="O11" s="48">
        <f>SUMIF(TUSD!$A$57:'TUSD'!$A$103,$A$2,TUSD!$Y$57:'TUSD'!$Y$103)</f>
        <v>0</v>
      </c>
      <c r="P11" s="48">
        <f>SUMIF(TUSD!$A$57:'TUSD'!$A$103,$A$2,TUSD!$Z$57:'TUSD'!$Z$103)</f>
        <v>0</v>
      </c>
      <c r="Q11" s="48">
        <f>SUMIF(TUSD!$A$57:'TUSD'!$A$103,$A$2,TUSD!$AA$57:'TUSD'!$AA$103)</f>
        <v>3213786.8885707641</v>
      </c>
      <c r="R11" s="48">
        <f ca="1">SUMIF(TUSD!$A$57:'TUSD'!$A$103,$A$2,TUSD!$AB$57:'TUSD'!$AB$103)</f>
        <v>0</v>
      </c>
      <c r="S11" s="48">
        <f ca="1">SUMIF(TUSD!$A$57:'TUSD'!$A$103,$A$2,TUSD!$AC$57:'TUSD'!$AC$103)</f>
        <v>0</v>
      </c>
      <c r="T11" s="48">
        <f>SUMIF(TUSD!$A$57:'TUSD'!$A$103,$A$2,TUSD!$AD$57:'TUSD'!$AD$103)</f>
        <v>236100.32473524689</v>
      </c>
      <c r="U11" s="48">
        <f>SUMIF(TUSD!$A$57:'TUSD'!$A$103,$A$2,TUSD!$AE$57:'TUSD'!$AE$103)</f>
        <v>0</v>
      </c>
      <c r="V11" s="48">
        <f ca="1">SUMIF(TUSD!$A$57:'TUSD'!$A$103,$A$2,TUSD!$AF$57:'TUSD'!$AF$103)</f>
        <v>0</v>
      </c>
      <c r="W11" s="48">
        <f ca="1">SUMIF(TUSD!$A$57:'TUSD'!$A$103,$A$2,TUSD!$AG$57:'TUSD'!$AG$103)</f>
        <v>0</v>
      </c>
      <c r="X11" s="48">
        <f t="shared" ca="1" si="0"/>
        <v>9206353.9473557919</v>
      </c>
    </row>
    <row r="13" spans="1:33" x14ac:dyDescent="0.2">
      <c r="A13" s="14" t="s">
        <v>1005</v>
      </c>
      <c r="B13" s="67">
        <f t="shared" ref="B13:X13" si="1">IF($X$6&lt;&gt;0,(B$7-B$6)/$X$6,0)</f>
        <v>0</v>
      </c>
      <c r="C13" s="67">
        <f t="shared" si="1"/>
        <v>6.8500590712172044E-4</v>
      </c>
      <c r="D13" s="67">
        <f t="shared" ca="1" si="1"/>
        <v>0</v>
      </c>
      <c r="E13" s="67">
        <f t="shared" si="1"/>
        <v>0</v>
      </c>
      <c r="F13" s="67">
        <f t="shared" si="1"/>
        <v>0</v>
      </c>
      <c r="G13" s="67">
        <f t="shared" si="1"/>
        <v>0.10373591474325486</v>
      </c>
      <c r="H13" s="67">
        <f t="shared" si="1"/>
        <v>1.8009367177567581E-2</v>
      </c>
      <c r="I13" s="67">
        <f t="shared" si="1"/>
        <v>0</v>
      </c>
      <c r="J13" s="67">
        <f t="shared" si="1"/>
        <v>0</v>
      </c>
      <c r="K13" s="67">
        <f t="shared" si="1"/>
        <v>0</v>
      </c>
      <c r="L13" s="67">
        <f t="shared" si="1"/>
        <v>0</v>
      </c>
      <c r="M13" s="67">
        <f t="shared" si="1"/>
        <v>0</v>
      </c>
      <c r="N13" s="67">
        <f t="shared" si="1"/>
        <v>-5.2715323319028539E-3</v>
      </c>
      <c r="O13" s="67">
        <f t="shared" si="1"/>
        <v>0</v>
      </c>
      <c r="P13" s="67">
        <f t="shared" si="1"/>
        <v>0</v>
      </c>
      <c r="Q13" s="67">
        <f t="shared" si="1"/>
        <v>2.057378699946007E-2</v>
      </c>
      <c r="R13" s="67">
        <f t="shared" ca="1" si="1"/>
        <v>0</v>
      </c>
      <c r="S13" s="67">
        <f t="shared" ca="1" si="1"/>
        <v>0</v>
      </c>
      <c r="T13" s="67">
        <f t="shared" si="1"/>
        <v>4.2934224564620945E-3</v>
      </c>
      <c r="U13" s="67">
        <f t="shared" si="1"/>
        <v>0</v>
      </c>
      <c r="V13" s="67">
        <f t="shared" ca="1" si="1"/>
        <v>0</v>
      </c>
      <c r="W13" s="67">
        <f t="shared" ca="1" si="1"/>
        <v>0</v>
      </c>
      <c r="X13" s="67">
        <f t="shared" ca="1" si="1"/>
        <v>0.14202596495196329</v>
      </c>
    </row>
    <row r="14" spans="1:33" x14ac:dyDescent="0.2">
      <c r="A14" s="14" t="s">
        <v>1006</v>
      </c>
      <c r="B14" s="67">
        <f t="shared" ref="B14:X14" si="2">IF($X$10&lt;&gt;0,(B$9-B$8)/$X$10,0)</f>
        <v>0</v>
      </c>
      <c r="C14" s="67">
        <f t="shared" si="2"/>
        <v>8.5268769784227884E-4</v>
      </c>
      <c r="D14" s="67">
        <f t="shared" ca="1" si="2"/>
        <v>0</v>
      </c>
      <c r="E14" s="67">
        <f t="shared" si="2"/>
        <v>0</v>
      </c>
      <c r="F14" s="67">
        <f t="shared" si="2"/>
        <v>0</v>
      </c>
      <c r="G14" s="67">
        <f t="shared" si="2"/>
        <v>0.10675613809314473</v>
      </c>
      <c r="H14" s="67">
        <f t="shared" si="2"/>
        <v>2.1776858812933973E-2</v>
      </c>
      <c r="I14" s="67">
        <f t="shared" si="2"/>
        <v>0</v>
      </c>
      <c r="J14" s="67">
        <f t="shared" si="2"/>
        <v>0</v>
      </c>
      <c r="K14" s="67">
        <f t="shared" si="2"/>
        <v>0</v>
      </c>
      <c r="L14" s="67">
        <f t="shared" si="2"/>
        <v>0</v>
      </c>
      <c r="M14" s="67">
        <f t="shared" si="2"/>
        <v>0</v>
      </c>
      <c r="N14" s="67">
        <f t="shared" si="2"/>
        <v>-1.6150539663197561E-2</v>
      </c>
      <c r="O14" s="67">
        <f t="shared" si="2"/>
        <v>0</v>
      </c>
      <c r="P14" s="67">
        <f t="shared" si="2"/>
        <v>0</v>
      </c>
      <c r="Q14" s="67">
        <f t="shared" si="2"/>
        <v>4.1386914734054397E-3</v>
      </c>
      <c r="R14" s="67">
        <f t="shared" ca="1" si="2"/>
        <v>0</v>
      </c>
      <c r="S14" s="67">
        <f t="shared" ca="1" si="2"/>
        <v>0</v>
      </c>
      <c r="T14" s="67">
        <f t="shared" si="2"/>
        <v>1.7455350394889424E-3</v>
      </c>
      <c r="U14" s="67">
        <f t="shared" si="2"/>
        <v>0</v>
      </c>
      <c r="V14" s="67">
        <f t="shared" ca="1" si="2"/>
        <v>0</v>
      </c>
      <c r="W14" s="67">
        <f t="shared" ca="1" si="2"/>
        <v>0</v>
      </c>
      <c r="X14" s="67">
        <f t="shared" ca="1" si="2"/>
        <v>0.11911937145361776</v>
      </c>
    </row>
    <row r="15" spans="1:33" x14ac:dyDescent="0.2">
      <c r="A15" s="14" t="s">
        <v>1007</v>
      </c>
      <c r="B15" s="67">
        <f t="shared" ref="B15:X15" si="3">IF($X$8&lt;&gt;0,(B$9-B$8)/$X$8,0)</f>
        <v>0</v>
      </c>
      <c r="C15" s="67">
        <f t="shared" si="3"/>
        <v>8.5268769784227884E-4</v>
      </c>
      <c r="D15" s="67">
        <f t="shared" ca="1" si="3"/>
        <v>0</v>
      </c>
      <c r="E15" s="67">
        <f t="shared" si="3"/>
        <v>0</v>
      </c>
      <c r="F15" s="67">
        <f t="shared" si="3"/>
        <v>0</v>
      </c>
      <c r="G15" s="67">
        <f t="shared" si="3"/>
        <v>0.10675613809314473</v>
      </c>
      <c r="H15" s="67">
        <f t="shared" si="3"/>
        <v>2.1776858812933973E-2</v>
      </c>
      <c r="I15" s="67">
        <f t="shared" si="3"/>
        <v>0</v>
      </c>
      <c r="J15" s="67">
        <f t="shared" si="3"/>
        <v>0</v>
      </c>
      <c r="K15" s="67">
        <f t="shared" si="3"/>
        <v>0</v>
      </c>
      <c r="L15" s="67">
        <f t="shared" si="3"/>
        <v>0</v>
      </c>
      <c r="M15" s="67">
        <f t="shared" si="3"/>
        <v>0</v>
      </c>
      <c r="N15" s="67">
        <f t="shared" si="3"/>
        <v>-1.6150539663197561E-2</v>
      </c>
      <c r="O15" s="67">
        <f t="shared" si="3"/>
        <v>0</v>
      </c>
      <c r="P15" s="67">
        <f t="shared" si="3"/>
        <v>0</v>
      </c>
      <c r="Q15" s="67">
        <f t="shared" si="3"/>
        <v>4.1386914734054397E-3</v>
      </c>
      <c r="R15" s="67">
        <f t="shared" ca="1" si="3"/>
        <v>0</v>
      </c>
      <c r="S15" s="67">
        <f t="shared" ca="1" si="3"/>
        <v>0</v>
      </c>
      <c r="T15" s="67">
        <f t="shared" si="3"/>
        <v>1.7455350394889424E-3</v>
      </c>
      <c r="U15" s="67">
        <f t="shared" si="3"/>
        <v>0</v>
      </c>
      <c r="V15" s="67">
        <f t="shared" ca="1" si="3"/>
        <v>0</v>
      </c>
      <c r="W15" s="67">
        <f t="shared" ca="1" si="3"/>
        <v>0</v>
      </c>
      <c r="X15" s="67">
        <f t="shared" ca="1" si="3"/>
        <v>0.11911937145361776</v>
      </c>
    </row>
  </sheetData>
  <dataValidations count="6">
    <dataValidation type="list" allowBlank="1" showInputMessage="1" showErrorMessage="1" error="Deve-se selecionar grupo válido" sqref="A2" xr:uid="{BB3A7F2B-B8E1-41E3-BBB7-676FE03A82AD}">
      <formula1>AA1:AA6</formula1>
    </dataValidation>
    <dataValidation type="list" allowBlank="1" showInputMessage="1" showErrorMessage="1" error="Deve-se selecionar grupo válido" sqref="B2" xr:uid="{2CE34407-83A8-4A44-8771-019DC8A929F5}">
      <formula1>AB1:AB7</formula1>
    </dataValidation>
    <dataValidation type="list" allowBlank="1" showInputMessage="1" showErrorMessage="1" error="Deve-se selecionar grupo válido" sqref="C2 E2" xr:uid="{1DD581FE-F7DD-41A8-A9CD-BD4EA68D61C3}">
      <formula1>AC1:AC4</formula1>
    </dataValidation>
    <dataValidation type="list" allowBlank="1" showInputMessage="1" showErrorMessage="1" error="Deve-se selecionar grupo válido" sqref="D2" xr:uid="{408A7F06-F4AF-400E-A133-401715853DE6}">
      <formula1>AD1:AD10</formula1>
    </dataValidation>
    <dataValidation type="list" allowBlank="1" showInputMessage="1" showErrorMessage="1" error="Deve-se selecionar grupo válido" sqref="F2" xr:uid="{66B92BB9-5A08-4BB0-8184-9CBD3B9D9B7A}">
      <formula1>AF1:AF1</formula1>
    </dataValidation>
    <dataValidation type="list" allowBlank="1" showInputMessage="1" showErrorMessage="1" error="Deve-se selecionar grupo válido" sqref="G2" xr:uid="{D88795F3-EEAF-4977-AEBE-05205AB99A3D}">
      <formula1>AG1:AG8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7EA-36B6-4CF7-9D59-70ABB1E2A1E5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4" bestFit="1" customWidth="1"/>
    <col min="2" max="2" width="10.5703125" style="14" bestFit="1" customWidth="1"/>
    <col min="3" max="6" width="10.28515625" style="14" bestFit="1" customWidth="1"/>
    <col min="7" max="7" width="14.85546875" style="14" bestFit="1" customWidth="1"/>
    <col min="8" max="8" width="6" style="14" bestFit="1" customWidth="1"/>
    <col min="9" max="9" width="9.5703125" style="14" bestFit="1" customWidth="1"/>
    <col min="10" max="10" width="6.42578125" style="14" bestFit="1" customWidth="1"/>
    <col min="11" max="11" width="7.7109375" style="14" bestFit="1" customWidth="1"/>
    <col min="12" max="12" width="10.7109375" style="14" bestFit="1" customWidth="1"/>
    <col min="13" max="13" width="10.85546875" style="14" bestFit="1" customWidth="1"/>
    <col min="14" max="26" width="9.140625" style="14"/>
    <col min="27" max="27" width="3" style="14" bestFit="1" customWidth="1"/>
    <col min="28" max="28" width="27.1406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62</v>
      </c>
      <c r="B1" s="14" t="s">
        <v>63</v>
      </c>
      <c r="C1" s="14" t="s">
        <v>64</v>
      </c>
      <c r="D1" s="14" t="s">
        <v>65</v>
      </c>
      <c r="E1" s="14" t="s">
        <v>66</v>
      </c>
      <c r="F1" s="14" t="s">
        <v>15</v>
      </c>
      <c r="G1" s="14" t="s">
        <v>68</v>
      </c>
      <c r="I1" s="14" t="s">
        <v>1004</v>
      </c>
      <c r="AA1" s="14" t="s">
        <v>35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35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22</v>
      </c>
      <c r="AB2" s="14" t="s">
        <v>71</v>
      </c>
      <c r="AC2" s="14" t="s">
        <v>24</v>
      </c>
      <c r="AD2" s="14" t="s">
        <v>24</v>
      </c>
      <c r="AG2" s="14" t="s">
        <v>73</v>
      </c>
    </row>
    <row r="3" spans="1:33" x14ac:dyDescent="0.2">
      <c r="AA3" s="14" t="s">
        <v>40</v>
      </c>
      <c r="AB3" s="14" t="s">
        <v>84</v>
      </c>
      <c r="AC3" s="14" t="s">
        <v>41</v>
      </c>
      <c r="AD3" s="14" t="s">
        <v>29</v>
      </c>
      <c r="AG3" s="14" t="s">
        <v>74</v>
      </c>
    </row>
    <row r="4" spans="1:33" x14ac:dyDescent="0.2">
      <c r="AA4" s="14" t="s">
        <v>33</v>
      </c>
      <c r="AB4" s="14" t="s">
        <v>86</v>
      </c>
      <c r="AC4" s="14" t="s">
        <v>44</v>
      </c>
      <c r="AD4" s="14" t="s">
        <v>30</v>
      </c>
      <c r="AG4" s="14" t="s">
        <v>83</v>
      </c>
    </row>
    <row r="5" spans="1:33" x14ac:dyDescent="0.2">
      <c r="A5" s="14" t="s">
        <v>997</v>
      </c>
      <c r="B5" s="14" t="str">
        <f>TE!$X$4</f>
        <v>P&amp;D</v>
      </c>
      <c r="C5" s="14" t="str">
        <f>TE!$Y$4</f>
        <v>ESS/ERR</v>
      </c>
      <c r="D5" s="14" t="str">
        <f>TE!$Z$4</f>
        <v>CFURH</v>
      </c>
      <c r="E5" s="14" t="str">
        <f>TE!$AA$4</f>
        <v>CDE Covid TE</v>
      </c>
      <c r="F5" s="14" t="str">
        <f>TE!$AB$4</f>
        <v>CDE ELET</v>
      </c>
      <c r="G5" s="14" t="str">
        <f>TE!$AC$4</f>
        <v>ENERGIA REVENDA</v>
      </c>
      <c r="H5" s="14" t="str">
        <f>TE!$AD$4</f>
        <v>ITAIPU</v>
      </c>
      <c r="I5" s="14" t="str">
        <f>TE!$AE$4</f>
        <v>TUST ITAIPU</v>
      </c>
      <c r="J5" s="14" t="str">
        <f>TE!$AF$4</f>
        <v>TUST CI</v>
      </c>
      <c r="K5" s="14" t="str">
        <f>TE!$AG$4</f>
        <v>SUBSIDIO</v>
      </c>
      <c r="L5" s="14" t="str">
        <f>TE!$AH$4</f>
        <v>PERDAS RB/C</v>
      </c>
      <c r="M5" s="14" t="s">
        <v>424</v>
      </c>
      <c r="AA5" s="14" t="s">
        <v>43</v>
      </c>
      <c r="AD5" s="14" t="s">
        <v>31</v>
      </c>
      <c r="AG5" s="14" t="s">
        <v>78</v>
      </c>
    </row>
    <row r="6" spans="1:33" x14ac:dyDescent="0.2">
      <c r="A6" s="14" t="s">
        <v>998</v>
      </c>
      <c r="B6" s="48">
        <f>SUM(TE!$X$47:'TE'!$X$83)</f>
        <v>0</v>
      </c>
      <c r="C6" s="48">
        <f>SUM(TE!$Y$47:'TE'!$Y$83)</f>
        <v>0</v>
      </c>
      <c r="D6" s="48">
        <f>SUM(TE!$Z$47:'TE'!$Z$83)</f>
        <v>0</v>
      </c>
      <c r="E6" s="48">
        <f>SUM(TE!$AA$47:'TE'!$AA$83)</f>
        <v>0</v>
      </c>
      <c r="F6" s="48">
        <f>SUM(TE!$AB$47:'TE'!$AB$83)</f>
        <v>0</v>
      </c>
      <c r="G6" s="48">
        <f>SUM(TE!$AC$47:'TE'!$AC$83)</f>
        <v>12192615.254283022</v>
      </c>
      <c r="H6" s="48">
        <f>SUM(TE!$AD$47:'TE'!$AD$83)</f>
        <v>0</v>
      </c>
      <c r="I6" s="48">
        <f>SUM(TE!$AE$47:'TE'!$AE$83)</f>
        <v>0</v>
      </c>
      <c r="J6" s="48">
        <f>SUM(TE!$AF$47:'TE'!$AF$83)</f>
        <v>0</v>
      </c>
      <c r="K6" s="48">
        <f>SUM(TE!$AG$47:'TE'!$AG$83)</f>
        <v>0</v>
      </c>
      <c r="L6" s="48">
        <f>SUM(TE!$AH$47:'TE'!$AH$83)</f>
        <v>0</v>
      </c>
      <c r="M6" s="48">
        <f t="shared" ref="M6:M11" si="0">SUM(B6:L6)</f>
        <v>12192615.254283022</v>
      </c>
      <c r="AD6" s="14" t="s">
        <v>32</v>
      </c>
    </row>
    <row r="7" spans="1:33" x14ac:dyDescent="0.2">
      <c r="A7" s="14" t="s">
        <v>999</v>
      </c>
      <c r="B7" s="48">
        <f>SUM(TE!$L$47:'TE'!$L$83)</f>
        <v>0</v>
      </c>
      <c r="C7" s="48">
        <f>SUM(TE!$M$47:'TE'!$M$83)</f>
        <v>0</v>
      </c>
      <c r="D7" s="48">
        <f>SUM(TE!$N$47:'TE'!$N$83)</f>
        <v>0</v>
      </c>
      <c r="E7" s="48">
        <f>SUM(TE!$O$47:'TE'!$O$83)</f>
        <v>0</v>
      </c>
      <c r="F7" s="48">
        <f>SUM(TE!$P$47:'TE'!$P$83)</f>
        <v>0</v>
      </c>
      <c r="G7" s="48">
        <f>SUM(TE!$Q$47:'TE'!$Q$83)</f>
        <v>12043402.044802833</v>
      </c>
      <c r="H7" s="48">
        <f>SUM(TE!$R$47:'TE'!$R$83)</f>
        <v>0</v>
      </c>
      <c r="I7" s="48">
        <f>SUM(TE!$S$47:'TE'!$S$83)</f>
        <v>0</v>
      </c>
      <c r="J7" s="48">
        <f>SUM(TE!$T$47:'TE'!$T$83)</f>
        <v>0</v>
      </c>
      <c r="K7" s="48">
        <f>SUM(TE!$U$47:'TE'!$U$83)</f>
        <v>0</v>
      </c>
      <c r="L7" s="48">
        <f>SUM(TE!$V$47:'TE'!$V$83)</f>
        <v>0</v>
      </c>
      <c r="M7" s="48">
        <f t="shared" si="0"/>
        <v>12043402.044802833</v>
      </c>
      <c r="AD7" s="14" t="s">
        <v>88</v>
      </c>
    </row>
    <row r="8" spans="1:33" x14ac:dyDescent="0.2">
      <c r="A8" s="14" t="s">
        <v>1002</v>
      </c>
      <c r="B8" s="48">
        <f>IF($G$2&lt;&gt;"Não se aplica",SUMIF(TE!$G$47:'TE'!$G$83,$I$2,TE!$X$47:'TE'!$X$83),IF($F$2&lt;&gt;"Não se aplica",SUMIF(TE!$F$47:'TE'!$F$83,$I$2,TE!$X$47:'TE'!$X$83),IF($E$2&lt;&gt;"Não se aplica",SUMIF(TE!$E$47:'TE'!$E$83,$I$2,TE!$X$47:'TE'!$X$83),IF($D$2&lt;&gt;"Não se aplica",SUMIF(TE!$D$47:'TE'!$D$83,$I$2,TE!$X$47:'TE'!$X$83),IF($C$2&lt;&gt;"Não se aplica",SUMIF(TE!$C$47:'TE'!$C$83,$I$2,TE!$X$47:'TE'!$X$83),IF($B$2&lt;&gt;"Não se aplica",SUMIF(TE!$B$47:'TE'!$B$83,$I$2,TE!$X$47:'TE'!$X$83),SUMIF(TE!$A$47:'TE'!$A$83,$I$2,TE!$X$47:'TE'!$X$83)))))))</f>
        <v>0</v>
      </c>
      <c r="C8" s="48">
        <f>IF($G$2&lt;&gt;"Não se aplica",SUMIF(TE!$G$47:'TE'!$G$83,$I$2,TE!$Y$47:'TE'!$Y$83),IF($F$2&lt;&gt;"Não se aplica",SUMIF(TE!$F$47:'TE'!$F$83,$I$2,TE!$Y$47:'TE'!$Y$83),IF($E$2&lt;&gt;"Não se aplica",SUMIF(TE!$E$47:'TE'!$E$83,$I$2,TE!$Y$47:'TE'!$Y$83),IF($D$2&lt;&gt;"Não se aplica",SUMIF(TE!$D$47:'TE'!$D$83,$I$2,TE!$Y$47:'TE'!$Y$83),IF($C$2&lt;&gt;"Não se aplica",SUMIF(TE!$C$47:'TE'!$C$83,$I$2,TE!$Y$47:'TE'!$Y$83),IF($B$2&lt;&gt;"Não se aplica",SUMIF(TE!$B$47:'TE'!$B$83,$I$2,TE!$Y$47:'TE'!$Y$83),SUMIF(TE!$A$47:'TE'!$A$83,$I$2,TE!$Y$47:'TE'!$Y$83)))))))</f>
        <v>0</v>
      </c>
      <c r="D8" s="48">
        <f>IF($G$2&lt;&gt;"Não se aplica",SUMIF(TE!$G$47:'TE'!$G$83,$I$2,TE!$Z$47:'TE'!$Z$83),IF($F$2&lt;&gt;"Não se aplica",SUMIF(TE!$F$47:'TE'!$F$83,$I$2,TE!$Z$47:'TE'!$Z$83),IF($E$2&lt;&gt;"Não se aplica",SUMIF(TE!$E$47:'TE'!$E$83,$I$2,TE!$Z$47:'TE'!$Z$83),IF($D$2&lt;&gt;"Não se aplica",SUMIF(TE!$D$47:'TE'!$D$83,$I$2,TE!$Z$47:'TE'!$Z$83),IF($C$2&lt;&gt;"Não se aplica",SUMIF(TE!$C$47:'TE'!$C$83,$I$2,TE!$Z$47:'TE'!$Z$83),IF($B$2&lt;&gt;"Não se aplica",SUMIF(TE!$B$47:'TE'!$B$83,$I$2,TE!$Z$47:'TE'!$Z$83),SUMIF(TE!$A$47:'TE'!$A$83,$I$2,TE!$Z$47:'TE'!$Z$83)))))))</f>
        <v>0</v>
      </c>
      <c r="E8" s="48">
        <f>IF($G$2&lt;&gt;"Não se aplica",SUMIF(TE!$G$47:'TE'!$G$83,$I$2,TE!$AA$47:'TE'!$AA$83),IF($F$2&lt;&gt;"Não se aplica",SUMIF(TE!$F$47:'TE'!$F$83,$I$2,TE!$AA$47:'TE'!$AA$83),IF($E$2&lt;&gt;"Não se aplica",SUMIF(TE!$E$47:'TE'!$E$83,$I$2,TE!$AA$47:'TE'!$AA$83),IF($D$2&lt;&gt;"Não se aplica",SUMIF(TE!$D$47:'TE'!$D$83,$I$2,TE!$AA$47:'TE'!$AA$83),IF($C$2&lt;&gt;"Não se aplica",SUMIF(TE!$C$47:'TE'!$C$83,$I$2,TE!$AA$47:'TE'!$AA$83),IF($B$2&lt;&gt;"Não se aplica",SUMIF(TE!$B$47:'TE'!$B$83,$I$2,TE!$AA$47:'TE'!$AA$83),SUMIF(TE!$A$47:'TE'!$A$83,$I$2,TE!$AA$47:'TE'!$AA$83)))))))</f>
        <v>0</v>
      </c>
      <c r="F8" s="48">
        <f>IF($G$2&lt;&gt;"Não se aplica",SUMIF(TE!$G$47:'TE'!$G$83,$I$2,TE!$AB$47:'TE'!$AB$83),IF($F$2&lt;&gt;"Não se aplica",SUMIF(TE!$F$47:'TE'!$F$83,$I$2,TE!$AB$47:'TE'!$AB$83),IF($E$2&lt;&gt;"Não se aplica",SUMIF(TE!$E$47:'TE'!$E$83,$I$2,TE!$AB$47:'TE'!$AB$83),IF($D$2&lt;&gt;"Não se aplica",SUMIF(TE!$D$47:'TE'!$D$83,$I$2,TE!$AB$47:'TE'!$AB$83),IF($C$2&lt;&gt;"Não se aplica",SUMIF(TE!$C$47:'TE'!$C$83,$I$2,TE!$AB$47:'TE'!$AB$83),IF($B$2&lt;&gt;"Não se aplica",SUMIF(TE!$B$47:'TE'!$B$83,$I$2,TE!$AB$47:'TE'!$AB$83),SUMIF(TE!$A$47:'TE'!$A$83,$I$2,TE!$AB$47:'TE'!$AB$83)))))))</f>
        <v>0</v>
      </c>
      <c r="G8" s="48">
        <f>IF($G$2&lt;&gt;"Não se aplica",SUMIF(TE!$G$47:'TE'!$G$83,$I$2,TE!$AC$47:'TE'!$AC$83),IF($F$2&lt;&gt;"Não se aplica",SUMIF(TE!$F$47:'TE'!$F$83,$I$2,TE!$AC$47:'TE'!$AC$83),IF($E$2&lt;&gt;"Não se aplica",SUMIF(TE!$E$47:'TE'!$E$83,$I$2,TE!$AC$47:'TE'!$AC$83),IF($D$2&lt;&gt;"Não se aplica",SUMIF(TE!$D$47:'TE'!$D$83,$I$2,TE!$AC$47:'TE'!$AC$83),IF($C$2&lt;&gt;"Não se aplica",SUMIF(TE!$C$47:'TE'!$C$83,$I$2,TE!$AC$47:'TE'!$AC$83),IF($B$2&lt;&gt;"Não se aplica",SUMIF(TE!$B$47:'TE'!$B$83,$I$2,TE!$AC$47:'TE'!$AC$83),SUMIF(TE!$A$47:'TE'!$A$83,$I$2,TE!$AC$47:'TE'!$AC$83)))))))</f>
        <v>4532961.4034693576</v>
      </c>
      <c r="H8" s="48">
        <f>IF($G$2&lt;&gt;"Não se aplica",SUMIF(TE!$G$47:'TE'!$G$83,$I$2,TE!$AD$47:'TE'!$AD$83),IF($F$2&lt;&gt;"Não se aplica",SUMIF(TE!$F$47:'TE'!$F$83,$I$2,TE!$AD$47:'TE'!$AD$83),IF($E$2&lt;&gt;"Não se aplica",SUMIF(TE!$E$47:'TE'!$E$83,$I$2,TE!$AD$47:'TE'!$AD$83),IF($D$2&lt;&gt;"Não se aplica",SUMIF(TE!$D$47:'TE'!$D$83,$I$2,TE!$AD$47:'TE'!$AD$83),IF($C$2&lt;&gt;"Não se aplica",SUMIF(TE!$C$47:'TE'!$C$83,$I$2,TE!$AD$47:'TE'!$AD$83),IF($B$2&lt;&gt;"Não se aplica",SUMIF(TE!$B$47:'TE'!$B$83,$I$2,TE!$AD$47:'TE'!$AD$83),SUMIF(TE!$A$47:'TE'!$A$83,$I$2,TE!$AD$47:'TE'!$AD$83)))))))</f>
        <v>0</v>
      </c>
      <c r="I8" s="48">
        <f>IF($G$2&lt;&gt;"Não se aplica",SUMIF(TE!$G$47:'TE'!$G$83,$I$2,TE!$AE$47:'TE'!$AE$83),IF($F$2&lt;&gt;"Não se aplica",SUMIF(TE!$F$47:'TE'!$F$83,$I$2,TE!$AE$47:'TE'!$AE$83),IF($E$2&lt;&gt;"Não se aplica",SUMIF(TE!$E$47:'TE'!$E$83,$I$2,TE!$AE$47:'TE'!$AE$83),IF($D$2&lt;&gt;"Não se aplica",SUMIF(TE!$D$47:'TE'!$D$83,$I$2,TE!$AE$47:'TE'!$AE$83),IF($C$2&lt;&gt;"Não se aplica",SUMIF(TE!$C$47:'TE'!$C$83,$I$2,TE!$AE$47:'TE'!$AE$83),IF($B$2&lt;&gt;"Não se aplica",SUMIF(TE!$B$47:'TE'!$B$83,$I$2,TE!$AE$47:'TE'!$AE$83),SUMIF(TE!$A$47:'TE'!$A$83,$I$2,TE!$AE$47:'TE'!$AE$83)))))))</f>
        <v>0</v>
      </c>
      <c r="J8" s="48">
        <f>IF($G$2&lt;&gt;"Não se aplica",SUMIF(TE!$G$47:'TE'!$G$83,$I$2,TE!$AF$47:'TE'!$AF$83),IF($F$2&lt;&gt;"Não se aplica",SUMIF(TE!$F$47:'TE'!$F$83,$I$2,TE!$AF$47:'TE'!$AF$83),IF($E$2&lt;&gt;"Não se aplica",SUMIF(TE!$E$47:'TE'!$E$83,$I$2,TE!$AF$47:'TE'!$AF$83),IF($D$2&lt;&gt;"Não se aplica",SUMIF(TE!$D$47:'TE'!$D$83,$I$2,TE!$AF$47:'TE'!$AF$83),IF($C$2&lt;&gt;"Não se aplica",SUMIF(TE!$C$47:'TE'!$C$83,$I$2,TE!$AF$47:'TE'!$AF$83),IF($B$2&lt;&gt;"Não se aplica",SUMIF(TE!$B$47:'TE'!$B$83,$I$2,TE!$AF$47:'TE'!$AF$83),SUMIF(TE!$A$47:'TE'!$A$83,$I$2,TE!$AF$47:'TE'!$AF$83)))))))</f>
        <v>0</v>
      </c>
      <c r="K8" s="48">
        <f>IF($G$2&lt;&gt;"Não se aplica",SUMIF(TE!$G$47:'TE'!$G$83,$I$2,TE!$AG$47:'TE'!$AG$83),IF($F$2&lt;&gt;"Não se aplica",SUMIF(TE!$F$47:'TE'!$F$83,$I$2,TE!$AG$47:'TE'!$AG$83),IF($E$2&lt;&gt;"Não se aplica",SUMIF(TE!$E$47:'TE'!$E$83,$I$2,TE!$AG$47:'TE'!$AG$83),IF($D$2&lt;&gt;"Não se aplica",SUMIF(TE!$D$47:'TE'!$D$83,$I$2,TE!$AG$47:'TE'!$AG$83),IF($C$2&lt;&gt;"Não se aplica",SUMIF(TE!$C$47:'TE'!$C$83,$I$2,TE!$AG$47:'TE'!$AG$83),IF($B$2&lt;&gt;"Não se aplica",SUMIF(TE!$B$47:'TE'!$B$83,$I$2,TE!$AG$47:'TE'!$AG$83),SUMIF(TE!$A$47:'TE'!$A$83,$I$2,TE!$AG$47:'TE'!$AG$83)))))))</f>
        <v>0</v>
      </c>
      <c r="L8" s="48">
        <f>IF($G$2&lt;&gt;"Não se aplica",SUMIF(TE!$G$47:'TE'!$G$83,$I$2,TE!$AH$47:'TE'!$AH$83),IF($F$2&lt;&gt;"Não se aplica",SUMIF(TE!$F$47:'TE'!$F$83,$I$2,TE!$AH$47:'TE'!$AH$83),IF($E$2&lt;&gt;"Não se aplica",SUMIF(TE!$E$47:'TE'!$E$83,$I$2,TE!$AH$47:'TE'!$AH$83),IF($D$2&lt;&gt;"Não se aplica",SUMIF(TE!$D$47:'TE'!$D$83,$I$2,TE!$AH$47:'TE'!$AH$83),IF($C$2&lt;&gt;"Não se aplica",SUMIF(TE!$C$47:'TE'!$C$83,$I$2,TE!$AH$47:'TE'!$AH$83),IF($B$2&lt;&gt;"Não se aplica",SUMIF(TE!$B$47:'TE'!$B$83,$I$2,TE!$AH$47:'TE'!$AH$83),SUMIF(TE!$A$47:'TE'!$A$83,$I$2,TE!$AH$47:'TE'!$AH$83)))))))</f>
        <v>0</v>
      </c>
      <c r="M8" s="48">
        <f t="shared" si="0"/>
        <v>4532961.4034693576</v>
      </c>
      <c r="AD8" s="14" t="s">
        <v>89</v>
      </c>
    </row>
    <row r="9" spans="1:33" x14ac:dyDescent="0.2">
      <c r="A9" s="14" t="s">
        <v>1003</v>
      </c>
      <c r="B9" s="48">
        <f>IF($G$2&lt;&gt;"Não se aplica",SUMIF(TE!$G$47:'TE'!$G$83,$I$2,TE!$L$47:'TE'!$L$83),IF($F$2&lt;&gt;"Não se aplica",SUMIF(TE!$F$47:'TE'!$F$83,$I$2,TE!$L$47:'TE'!$L$83),IF($E$2&lt;&gt;"Não se aplica",SUMIF(TE!$E$47:'TE'!$E$83,$I$2,TE!$L$47:'TE'!$L$83),IF($D$2&lt;&gt;"Não se aplica",SUMIF(TE!$D$47:'TE'!$D$83,$I$2,TE!$L$47:'TE'!$L$83),IF($C$2&lt;&gt;"Não se aplica",SUMIF(TE!$C$47:'TE'!$C$83,$I$2,TE!$L$47:'TE'!$L$83),IF($B$2&lt;&gt;"Não se aplica",SUMIF(TE!$B$47:'TE'!$B$83,$I$2,TE!$L$47:'TE'!$L$83),SUMIF(TE!$A$47:'TE'!$A$83,$I$2,TE!$L$47:'TE'!$L$83)))))))</f>
        <v>0</v>
      </c>
      <c r="C9" s="48">
        <f>IF($G$2&lt;&gt;"Não se aplica",SUMIF(TE!$G$47:'TE'!$G$83,$I$2,TE!$M$47:'TE'!$M$83),IF($F$2&lt;&gt;"Não se aplica",SUMIF(TE!$F$47:'TE'!$F$83,$I$2,TE!$M$47:'TE'!$M$83),IF($E$2&lt;&gt;"Não se aplica",SUMIF(TE!$E$47:'TE'!$E$83,$I$2,TE!$M$47:'TE'!$M$83),IF($D$2&lt;&gt;"Não se aplica",SUMIF(TE!$D$47:'TE'!$D$83,$I$2,TE!$M$47:'TE'!$M$83),IF($C$2&lt;&gt;"Não se aplica",SUMIF(TE!$C$47:'TE'!$C$83,$I$2,TE!$M$47:'TE'!$M$83),IF($B$2&lt;&gt;"Não se aplica",SUMIF(TE!$B$47:'TE'!$B$83,$I$2,TE!$M$47:'TE'!$M$83),SUMIF(TE!$A$47:'TE'!$A$83,$I$2,TE!$M$47:'TE'!$M$83)))))))</f>
        <v>0</v>
      </c>
      <c r="D9" s="48">
        <f>IF($G$2&lt;&gt;"Não se aplica",SUMIF(TE!$G$47:'TE'!$G$83,$I$2,TE!$N$47:'TE'!$N$83),IF($F$2&lt;&gt;"Não se aplica",SUMIF(TE!$F$47:'TE'!$F$83,$I$2,TE!$N$47:'TE'!$N$83),IF($E$2&lt;&gt;"Não se aplica",SUMIF(TE!$E$47:'TE'!$E$83,$I$2,TE!$N$47:'TE'!$N$83),IF($D$2&lt;&gt;"Não se aplica",SUMIF(TE!$D$47:'TE'!$D$83,$I$2,TE!$N$47:'TE'!$N$83),IF($C$2&lt;&gt;"Não se aplica",SUMIF(TE!$C$47:'TE'!$C$83,$I$2,TE!$N$47:'TE'!$N$83),IF($B$2&lt;&gt;"Não se aplica",SUMIF(TE!$B$47:'TE'!$B$83,$I$2,TE!$N$47:'TE'!$N$83),SUMIF(TE!$A$47:'TE'!$A$83,$I$2,TE!$N$47:'TE'!$N$83)))))))</f>
        <v>0</v>
      </c>
      <c r="E9" s="48">
        <f>IF($G$2&lt;&gt;"Não se aplica",SUMIF(TE!$G$47:'TE'!$G$83,$I$2,TE!$O$47:'TE'!$O$83),IF($F$2&lt;&gt;"Não se aplica",SUMIF(TE!$F$47:'TE'!$F$83,$I$2,TE!$O$47:'TE'!$O$83),IF($E$2&lt;&gt;"Não se aplica",SUMIF(TE!$E$47:'TE'!$E$83,$I$2,TE!$O$47:'TE'!$O$83),IF($D$2&lt;&gt;"Não se aplica",SUMIF(TE!$D$47:'TE'!$D$83,$I$2,TE!$O$47:'TE'!$O$83),IF($C$2&lt;&gt;"Não se aplica",SUMIF(TE!$C$47:'TE'!$C$83,$I$2,TE!$O$47:'TE'!$O$83),IF($B$2&lt;&gt;"Não se aplica",SUMIF(TE!$B$47:'TE'!$B$83,$I$2,TE!$O$47:'TE'!$O$83),SUMIF(TE!$A$47:'TE'!$A$83,$I$2,TE!$O$47:'TE'!$O$83)))))))</f>
        <v>0</v>
      </c>
      <c r="F9" s="48">
        <f>IF($G$2&lt;&gt;"Não se aplica",SUMIF(TE!$G$47:'TE'!$G$83,$I$2,TE!$P$47:'TE'!$P$83),IF($F$2&lt;&gt;"Não se aplica",SUMIF(TE!$F$47:'TE'!$F$83,$I$2,TE!$P$47:'TE'!$P$83),IF($E$2&lt;&gt;"Não se aplica",SUMIF(TE!$E$47:'TE'!$E$83,$I$2,TE!$P$47:'TE'!$P$83),IF($D$2&lt;&gt;"Não se aplica",SUMIF(TE!$D$47:'TE'!$D$83,$I$2,TE!$P$47:'TE'!$P$83),IF($C$2&lt;&gt;"Não se aplica",SUMIF(TE!$C$47:'TE'!$C$83,$I$2,TE!$P$47:'TE'!$P$83),IF($B$2&lt;&gt;"Não se aplica",SUMIF(TE!$B$47:'TE'!$B$83,$I$2,TE!$P$47:'TE'!$P$83),SUMIF(TE!$A$47:'TE'!$A$83,$I$2,TE!$P$47:'TE'!$P$83)))))))</f>
        <v>0</v>
      </c>
      <c r="G9" s="48">
        <f>IF($G$2&lt;&gt;"Não se aplica",SUMIF(TE!$G$47:'TE'!$G$83,$I$2,TE!$Q$47:'TE'!$Q$83),IF($F$2&lt;&gt;"Não se aplica",SUMIF(TE!$F$47:'TE'!$F$83,$I$2,TE!$Q$47:'TE'!$Q$83),IF($E$2&lt;&gt;"Não se aplica",SUMIF(TE!$E$47:'TE'!$E$83,$I$2,TE!$Q$47:'TE'!$Q$83),IF($D$2&lt;&gt;"Não se aplica",SUMIF(TE!$D$47:'TE'!$D$83,$I$2,TE!$Q$47:'TE'!$Q$83),IF($C$2&lt;&gt;"Não se aplica",SUMIF(TE!$C$47:'TE'!$C$83,$I$2,TE!$Q$47:'TE'!$Q$83),IF($B$2&lt;&gt;"Não se aplica",SUMIF(TE!$B$47:'TE'!$B$83,$I$2,TE!$Q$47:'TE'!$Q$83),SUMIF(TE!$A$47:'TE'!$A$83,$I$2,TE!$Q$47:'TE'!$Q$83)))))))</f>
        <v>4356136.4470741944</v>
      </c>
      <c r="H9" s="48">
        <f>IF($G$2&lt;&gt;"Não se aplica",SUMIF(TE!$G$47:'TE'!$G$83,$I$2,TE!$R$47:'TE'!$R$83),IF($F$2&lt;&gt;"Não se aplica",SUMIF(TE!$F$47:'TE'!$F$83,$I$2,TE!$R$47:'TE'!$R$83),IF($E$2&lt;&gt;"Não se aplica",SUMIF(TE!$E$47:'TE'!$E$83,$I$2,TE!$R$47:'TE'!$R$83),IF($D$2&lt;&gt;"Não se aplica",SUMIF(TE!$D$47:'TE'!$D$83,$I$2,TE!$R$47:'TE'!$R$83),IF($C$2&lt;&gt;"Não se aplica",SUMIF(TE!$C$47:'TE'!$C$83,$I$2,TE!$R$47:'TE'!$R$83),IF($B$2&lt;&gt;"Não se aplica",SUMIF(TE!$B$47:'TE'!$B$83,$I$2,TE!$R$47:'TE'!$R$83),SUMIF(TE!$A$47:'TE'!$A$83,$I$2,TE!$R$47:'TE'!$R$83)))))))</f>
        <v>0</v>
      </c>
      <c r="I9" s="48">
        <f>IF($G$2&lt;&gt;"Não se aplica",SUMIF(TE!$G$47:'TE'!$G$83,$I$2,TE!$S$47:'TE'!$S$83),IF($F$2&lt;&gt;"Não se aplica",SUMIF(TE!$F$47:'TE'!$F$83,$I$2,TE!$S$47:'TE'!$S$83),IF($E$2&lt;&gt;"Não se aplica",SUMIF(TE!$E$47:'TE'!$E$83,$I$2,TE!$S$47:'TE'!$S$83),IF($D$2&lt;&gt;"Não se aplica",SUMIF(TE!$D$47:'TE'!$D$83,$I$2,TE!$S$47:'TE'!$S$83),IF($C$2&lt;&gt;"Não se aplica",SUMIF(TE!$C$47:'TE'!$C$83,$I$2,TE!$S$47:'TE'!$S$83),IF($B$2&lt;&gt;"Não se aplica",SUMIF(TE!$B$47:'TE'!$B$83,$I$2,TE!$S$47:'TE'!$S$83),SUMIF(TE!$A$47:'TE'!$A$83,$I$2,TE!$S$47:'TE'!$S$83)))))))</f>
        <v>0</v>
      </c>
      <c r="J9" s="48">
        <f>IF($G$2&lt;&gt;"Não se aplica",SUMIF(TE!$G$47:'TE'!$G$83,$I$2,TE!$T$47:'TE'!$T$83),IF($F$2&lt;&gt;"Não se aplica",SUMIF(TE!$F$47:'TE'!$F$83,$I$2,TE!$T$47:'TE'!$T$83),IF($E$2&lt;&gt;"Não se aplica",SUMIF(TE!$E$47:'TE'!$E$83,$I$2,TE!$T$47:'TE'!$T$83),IF($D$2&lt;&gt;"Não se aplica",SUMIF(TE!$D$47:'TE'!$D$83,$I$2,TE!$T$47:'TE'!$T$83),IF($C$2&lt;&gt;"Não se aplica",SUMIF(TE!$C$47:'TE'!$C$83,$I$2,TE!$T$47:'TE'!$T$83),IF($B$2&lt;&gt;"Não se aplica",SUMIF(TE!$B$47:'TE'!$B$83,$I$2,TE!$T$47:'TE'!$T$83),SUMIF(TE!$A$47:'TE'!$A$83,$I$2,TE!$T$47:'TE'!$T$83)))))))</f>
        <v>0</v>
      </c>
      <c r="K9" s="48">
        <f>IF($G$2&lt;&gt;"Não se aplica",SUMIF(TE!$G$47:'TE'!$G$83,$I$2,TE!$U$47:'TE'!$U$83),IF($F$2&lt;&gt;"Não se aplica",SUMIF(TE!$F$47:'TE'!$F$83,$I$2,TE!$U$47:'TE'!$U$83),IF($E$2&lt;&gt;"Não se aplica",SUMIF(TE!$E$47:'TE'!$E$83,$I$2,TE!$U$47:'TE'!$U$83),IF($D$2&lt;&gt;"Não se aplica",SUMIF(TE!$D$47:'TE'!$D$83,$I$2,TE!$U$47:'TE'!$U$83),IF($C$2&lt;&gt;"Não se aplica",SUMIF(TE!$C$47:'TE'!$C$83,$I$2,TE!$U$47:'TE'!$U$83),IF($B$2&lt;&gt;"Não se aplica",SUMIF(TE!$B$47:'TE'!$B$83,$I$2,TE!$U$47:'TE'!$U$83),SUMIF(TE!$A$47:'TE'!$A$83,$I$2,TE!$U$47:'TE'!$U$83)))))))</f>
        <v>0</v>
      </c>
      <c r="L9" s="48">
        <f>IF($G$2&lt;&gt;"Não se aplica",SUMIF(TE!$G$47:'TE'!$G$83,$I$2,TE!$V$47:'TE'!$V$83),IF($F$2&lt;&gt;"Não se aplica",SUMIF(TE!$F$47:'TE'!$F$83,$I$2,TE!$V$47:'TE'!$V$83),IF($E$2&lt;&gt;"Não se aplica",SUMIF(TE!$E$47:'TE'!$E$83,$I$2,TE!$V$47:'TE'!$V$83),IF($D$2&lt;&gt;"Não se aplica",SUMIF(TE!$D$47:'TE'!$D$83,$I$2,TE!$V$47:'TE'!$V$83),IF($C$2&lt;&gt;"Não se aplica",SUMIF(TE!$C$47:'TE'!$C$83,$I$2,TE!$V$47:'TE'!$V$83),IF($B$2&lt;&gt;"Não se aplica",SUMIF(TE!$B$47:'TE'!$B$83,$I$2,TE!$V$47:'TE'!$V$83),SUMIF(TE!$A$47:'TE'!$A$83,$I$2,TE!$V$47:'TE'!$V$83)))))))</f>
        <v>0</v>
      </c>
      <c r="M9" s="48">
        <f t="shared" si="0"/>
        <v>4356136.4470741944</v>
      </c>
      <c r="AD9" s="14" t="s">
        <v>45</v>
      </c>
    </row>
    <row r="10" spans="1:33" x14ac:dyDescent="0.2">
      <c r="A10" s="14" t="s">
        <v>1000</v>
      </c>
      <c r="B10" s="48">
        <f>SUMIF(TE!$A$47:'TE'!$A$83,$A$2,TE!$X$47:'TE'!$X$83)</f>
        <v>0</v>
      </c>
      <c r="C10" s="48">
        <f>SUMIF(TE!$A$47:'TE'!$A$83,$A$2,TE!$Y$47:'TE'!$Y$83)</f>
        <v>0</v>
      </c>
      <c r="D10" s="48">
        <f>SUMIF(TE!$A$47:'TE'!$A$83,$A$2,TE!$Z$47:'TE'!$Z$83)</f>
        <v>0</v>
      </c>
      <c r="E10" s="48">
        <f>SUMIF(TE!$A$47:'TE'!$A$83,$A$2,TE!$AA$47:'TE'!$AA$83)</f>
        <v>0</v>
      </c>
      <c r="F10" s="48">
        <f>SUMIF(TE!$A$47:'TE'!$A$83,$A$2,TE!$AB$47:'TE'!$AB$83)</f>
        <v>0</v>
      </c>
      <c r="G10" s="48">
        <f>SUMIF(TE!$A$47:'TE'!$A$83,$A$2,TE!$AC$47:'TE'!$AC$83)</f>
        <v>4532961.4034693576</v>
      </c>
      <c r="H10" s="48">
        <f>SUMIF(TE!$A$47:'TE'!$A$83,$A$2,TE!$AD$47:'TE'!$AD$83)</f>
        <v>0</v>
      </c>
      <c r="I10" s="48">
        <f>SUMIF(TE!$A$47:'TE'!$A$83,$A$2,TE!$AE$47:'TE'!$AE$83)</f>
        <v>0</v>
      </c>
      <c r="J10" s="48">
        <f>SUMIF(TE!$A$47:'TE'!$A$83,$A$2,TE!$AF$47:'TE'!$AF$83)</f>
        <v>0</v>
      </c>
      <c r="K10" s="48">
        <f>SUMIF(TE!$A$47:'TE'!$A$83,$A$2,TE!$AG$47:'TE'!$AG$83)</f>
        <v>0</v>
      </c>
      <c r="L10" s="48">
        <f>SUMIF(TE!$A$47:'TE'!$A$83,$A$2,TE!$AH$47:'TE'!$AH$83)</f>
        <v>0</v>
      </c>
      <c r="M10" s="48">
        <f t="shared" si="0"/>
        <v>4532961.4034693576</v>
      </c>
      <c r="AD10" s="14" t="s">
        <v>90</v>
      </c>
    </row>
    <row r="11" spans="1:33" x14ac:dyDescent="0.2">
      <c r="A11" s="14" t="s">
        <v>1001</v>
      </c>
      <c r="B11" s="48">
        <f>SUMIF(TE!$A$47:'TE'!$A$83,$A$2,TE!$L$47:'TE'!$L$83)</f>
        <v>0</v>
      </c>
      <c r="C11" s="48">
        <f>SUMIF(TE!$A$47:'TE'!$A$83,$A$2,TE!$M$47:'TE'!$M$83)</f>
        <v>0</v>
      </c>
      <c r="D11" s="48">
        <f>SUMIF(TE!$A$47:'TE'!$A$83,$A$2,TE!$N$47:'TE'!$N$83)</f>
        <v>0</v>
      </c>
      <c r="E11" s="48">
        <f>SUMIF(TE!$A$47:'TE'!$A$83,$A$2,TE!$O$47:'TE'!$O$83)</f>
        <v>0</v>
      </c>
      <c r="F11" s="48">
        <f>SUMIF(TE!$A$47:'TE'!$A$83,$A$2,TE!$P$47:'TE'!$P$83)</f>
        <v>0</v>
      </c>
      <c r="G11" s="48">
        <f>SUMIF(TE!$A$47:'TE'!$A$83,$A$2,TE!$Q$47:'TE'!$Q$83)</f>
        <v>4356136.4470741944</v>
      </c>
      <c r="H11" s="48">
        <f>SUMIF(TE!$A$47:'TE'!$A$83,$A$2,TE!$R$47:'TE'!$R$83)</f>
        <v>0</v>
      </c>
      <c r="I11" s="48">
        <f>SUMIF(TE!$A$47:'TE'!$A$83,$A$2,TE!$S$47:'TE'!$S$83)</f>
        <v>0</v>
      </c>
      <c r="J11" s="48">
        <f>SUMIF(TE!$A$47:'TE'!$A$83,$A$2,TE!$T$47:'TE'!$T$83)</f>
        <v>0</v>
      </c>
      <c r="K11" s="48">
        <f>SUMIF(TE!$A$47:'TE'!$A$83,$A$2,TE!$U$47:'TE'!$U$83)</f>
        <v>0</v>
      </c>
      <c r="L11" s="48">
        <f>SUMIF(TE!$A$47:'TE'!$A$83,$A$2,TE!$V$47:'TE'!$V$83)</f>
        <v>0</v>
      </c>
      <c r="M11" s="48">
        <f t="shared" si="0"/>
        <v>4356136.4470741944</v>
      </c>
    </row>
    <row r="13" spans="1:33" x14ac:dyDescent="0.2">
      <c r="A13" s="14" t="s">
        <v>1005</v>
      </c>
      <c r="B13" s="67">
        <f t="shared" ref="B13:M13" si="1">IF($M$6&lt;&gt;0,(B$7-B$6)/$M$6,0)</f>
        <v>0</v>
      </c>
      <c r="C13" s="67">
        <f t="shared" si="1"/>
        <v>0</v>
      </c>
      <c r="D13" s="67">
        <f t="shared" si="1"/>
        <v>0</v>
      </c>
      <c r="E13" s="67">
        <f t="shared" si="1"/>
        <v>0</v>
      </c>
      <c r="F13" s="67">
        <f t="shared" si="1"/>
        <v>0</v>
      </c>
      <c r="G13" s="67">
        <f t="shared" si="1"/>
        <v>-1.2237998687588634E-2</v>
      </c>
      <c r="H13" s="67">
        <f t="shared" si="1"/>
        <v>0</v>
      </c>
      <c r="I13" s="67">
        <f t="shared" si="1"/>
        <v>0</v>
      </c>
      <c r="J13" s="67">
        <f t="shared" si="1"/>
        <v>0</v>
      </c>
      <c r="K13" s="67">
        <f t="shared" si="1"/>
        <v>0</v>
      </c>
      <c r="L13" s="67">
        <f t="shared" si="1"/>
        <v>0</v>
      </c>
      <c r="M13" s="67">
        <f t="shared" si="1"/>
        <v>-1.2237998687588634E-2</v>
      </c>
    </row>
    <row r="14" spans="1:33" x14ac:dyDescent="0.2">
      <c r="A14" s="14" t="s">
        <v>1006</v>
      </c>
      <c r="B14" s="67">
        <f t="shared" ref="B14:M14" si="2">IF($M$10&lt;&gt;0,(B$9-B$8)/$M$10,0)</f>
        <v>0</v>
      </c>
      <c r="C14" s="67">
        <f t="shared" si="2"/>
        <v>0</v>
      </c>
      <c r="D14" s="67">
        <f t="shared" si="2"/>
        <v>0</v>
      </c>
      <c r="E14" s="67">
        <f t="shared" si="2"/>
        <v>0</v>
      </c>
      <c r="F14" s="67">
        <f t="shared" si="2"/>
        <v>0</v>
      </c>
      <c r="G14" s="67">
        <f t="shared" si="2"/>
        <v>-3.9008705492137669E-2</v>
      </c>
      <c r="H14" s="67">
        <f t="shared" si="2"/>
        <v>0</v>
      </c>
      <c r="I14" s="67">
        <f t="shared" si="2"/>
        <v>0</v>
      </c>
      <c r="J14" s="67">
        <f t="shared" si="2"/>
        <v>0</v>
      </c>
      <c r="K14" s="67">
        <f t="shared" si="2"/>
        <v>0</v>
      </c>
      <c r="L14" s="67">
        <f t="shared" si="2"/>
        <v>0</v>
      </c>
      <c r="M14" s="67">
        <f t="shared" si="2"/>
        <v>-3.9008705492137669E-2</v>
      </c>
    </row>
    <row r="15" spans="1:33" x14ac:dyDescent="0.2">
      <c r="A15" s="14" t="s">
        <v>1007</v>
      </c>
      <c r="B15" s="67">
        <f t="shared" ref="B15:M15" si="3">IF($M$8&lt;&gt;0,(B$9-B$8)/$M$8,0)</f>
        <v>0</v>
      </c>
      <c r="C15" s="67">
        <f t="shared" si="3"/>
        <v>0</v>
      </c>
      <c r="D15" s="67">
        <f t="shared" si="3"/>
        <v>0</v>
      </c>
      <c r="E15" s="67">
        <f t="shared" si="3"/>
        <v>0</v>
      </c>
      <c r="F15" s="67">
        <f t="shared" si="3"/>
        <v>0</v>
      </c>
      <c r="G15" s="67">
        <f t="shared" si="3"/>
        <v>-3.9008705492137669E-2</v>
      </c>
      <c r="H15" s="67">
        <f t="shared" si="3"/>
        <v>0</v>
      </c>
      <c r="I15" s="67">
        <f t="shared" si="3"/>
        <v>0</v>
      </c>
      <c r="J15" s="67">
        <f t="shared" si="3"/>
        <v>0</v>
      </c>
      <c r="K15" s="67">
        <f t="shared" si="3"/>
        <v>0</v>
      </c>
      <c r="L15" s="67">
        <f t="shared" si="3"/>
        <v>0</v>
      </c>
      <c r="M15" s="67">
        <f t="shared" si="3"/>
        <v>-3.9008705492137669E-2</v>
      </c>
    </row>
  </sheetData>
  <dataValidations count="4">
    <dataValidation type="list" allowBlank="1" showInputMessage="1" showErrorMessage="1" sqref="A2 G2" xr:uid="{C4D7DCE3-A520-467A-9742-AF300388F396}">
      <formula1>AA1:AA5</formula1>
    </dataValidation>
    <dataValidation type="list" allowBlank="1" showInputMessage="1" showErrorMessage="1" sqref="B2 C2" xr:uid="{5D4E5973-69C8-4FD0-A549-AD5F27237580}">
      <formula1>AB1:AB4</formula1>
    </dataValidation>
    <dataValidation type="list" allowBlank="1" showInputMessage="1" showErrorMessage="1" sqref="D2" xr:uid="{B79122D0-B6C7-4939-B0BF-61AC7D01011F}">
      <formula1>AD1:AD10</formula1>
    </dataValidation>
    <dataValidation type="list" allowBlank="1" showInputMessage="1" showErrorMessage="1" sqref="E2 F2" xr:uid="{99CE6221-2F40-43AF-920B-333B4F7BB289}">
      <formula1>AE1:AE1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7C90-74C9-4287-A99B-43BDB368A987}">
  <sheetPr codeName="Planilha20"/>
  <dimension ref="B1:U16"/>
  <sheetViews>
    <sheetView showGridLines="0" workbookViewId="0">
      <selection activeCell="U1" sqref="U1"/>
    </sheetView>
  </sheetViews>
  <sheetFormatPr defaultRowHeight="15" x14ac:dyDescent="0.25"/>
  <sheetData>
    <row r="1" spans="2:21" x14ac:dyDescent="0.25">
      <c r="B1" s="60" t="s">
        <v>620</v>
      </c>
      <c r="C1" s="60" t="s">
        <v>621</v>
      </c>
      <c r="D1" s="60" t="s">
        <v>622</v>
      </c>
      <c r="E1" s="60" t="s">
        <v>2</v>
      </c>
      <c r="F1" s="60" t="s">
        <v>623</v>
      </c>
      <c r="G1" s="60" t="s">
        <v>529</v>
      </c>
      <c r="H1" s="60" t="s">
        <v>3</v>
      </c>
      <c r="I1" s="60" t="s">
        <v>624</v>
      </c>
      <c r="J1" s="60" t="s">
        <v>5</v>
      </c>
      <c r="K1" s="60" t="s">
        <v>1</v>
      </c>
      <c r="L1" s="60" t="s">
        <v>625</v>
      </c>
      <c r="M1" s="60" t="s">
        <v>626</v>
      </c>
      <c r="N1" s="60" t="s">
        <v>627</v>
      </c>
      <c r="O1" s="60" t="s">
        <v>628</v>
      </c>
      <c r="P1" s="60" t="s">
        <v>629</v>
      </c>
      <c r="Q1" s="60" t="s">
        <v>630</v>
      </c>
      <c r="R1" s="60" t="s">
        <v>631</v>
      </c>
      <c r="S1" s="60" t="s">
        <v>632</v>
      </c>
      <c r="T1" s="60" t="s">
        <v>633</v>
      </c>
      <c r="U1" s="60" t="s">
        <v>634</v>
      </c>
    </row>
    <row r="2" spans="2:21" x14ac:dyDescent="0.25">
      <c r="B2" s="59" t="s">
        <v>605</v>
      </c>
      <c r="C2" s="59">
        <v>7882</v>
      </c>
      <c r="D2" s="59">
        <v>6897</v>
      </c>
      <c r="E2" s="59" t="s">
        <v>48</v>
      </c>
      <c r="F2" s="59">
        <v>1</v>
      </c>
      <c r="G2" s="59" t="s">
        <v>606</v>
      </c>
      <c r="H2" s="59" t="s">
        <v>46</v>
      </c>
      <c r="I2" s="59" t="s">
        <v>47</v>
      </c>
      <c r="J2" s="59" t="s">
        <v>555</v>
      </c>
      <c r="K2" s="59" t="s">
        <v>35</v>
      </c>
      <c r="L2" s="59">
        <v>0.15</v>
      </c>
      <c r="M2" s="59">
        <v>0.12</v>
      </c>
      <c r="N2" s="59">
        <v>0.09</v>
      </c>
      <c r="O2" s="59">
        <v>0.06</v>
      </c>
      <c r="P2" s="59">
        <v>0.03</v>
      </c>
      <c r="Q2" s="59">
        <v>0</v>
      </c>
      <c r="R2" s="59"/>
      <c r="S2" s="59"/>
      <c r="T2" s="59"/>
      <c r="U2" s="59">
        <v>3</v>
      </c>
    </row>
    <row r="3" spans="2:21" x14ac:dyDescent="0.25">
      <c r="B3" s="59" t="s">
        <v>607</v>
      </c>
      <c r="C3" s="59">
        <v>7883</v>
      </c>
      <c r="D3" s="59">
        <v>6897</v>
      </c>
      <c r="E3" s="59" t="s">
        <v>36</v>
      </c>
      <c r="F3" s="59">
        <v>1</v>
      </c>
      <c r="G3" s="59" t="s">
        <v>606</v>
      </c>
      <c r="H3" s="59" t="s">
        <v>46</v>
      </c>
      <c r="I3" s="59" t="s">
        <v>47</v>
      </c>
      <c r="J3" s="59" t="s">
        <v>555</v>
      </c>
      <c r="K3" s="59" t="s">
        <v>35</v>
      </c>
      <c r="L3" s="59">
        <v>0.15</v>
      </c>
      <c r="M3" s="59">
        <v>0.12</v>
      </c>
      <c r="N3" s="59">
        <v>0.09</v>
      </c>
      <c r="O3" s="59">
        <v>0.06</v>
      </c>
      <c r="P3" s="59">
        <v>0.03</v>
      </c>
      <c r="Q3" s="59">
        <v>0</v>
      </c>
      <c r="R3" s="59"/>
      <c r="S3" s="59"/>
      <c r="T3" s="59"/>
      <c r="U3" s="59">
        <v>3</v>
      </c>
    </row>
    <row r="4" spans="2:21" x14ac:dyDescent="0.25">
      <c r="B4" s="59" t="s">
        <v>608</v>
      </c>
      <c r="C4" s="59">
        <v>7884</v>
      </c>
      <c r="D4" s="59">
        <v>6897</v>
      </c>
      <c r="E4" s="59" t="s">
        <v>557</v>
      </c>
      <c r="F4" s="59">
        <v>1</v>
      </c>
      <c r="G4" s="59" t="s">
        <v>606</v>
      </c>
      <c r="H4" s="59" t="s">
        <v>46</v>
      </c>
      <c r="I4" s="59" t="s">
        <v>47</v>
      </c>
      <c r="J4" s="59" t="s">
        <v>555</v>
      </c>
      <c r="K4" s="59" t="s">
        <v>35</v>
      </c>
      <c r="L4" s="59">
        <v>0.15</v>
      </c>
      <c r="M4" s="59">
        <v>0.12</v>
      </c>
      <c r="N4" s="59">
        <v>0.09</v>
      </c>
      <c r="O4" s="59">
        <v>0.06</v>
      </c>
      <c r="P4" s="59">
        <v>0.03</v>
      </c>
      <c r="Q4" s="59">
        <v>0</v>
      </c>
      <c r="R4" s="59"/>
      <c r="S4" s="59"/>
      <c r="T4" s="59"/>
      <c r="U4" s="59">
        <v>3</v>
      </c>
    </row>
    <row r="5" spans="2:21" x14ac:dyDescent="0.25">
      <c r="B5" s="59" t="s">
        <v>609</v>
      </c>
      <c r="C5" s="59">
        <v>7885</v>
      </c>
      <c r="D5" s="59">
        <v>6897</v>
      </c>
      <c r="E5" s="59" t="s">
        <v>23</v>
      </c>
      <c r="F5" s="59">
        <v>1</v>
      </c>
      <c r="G5" s="59" t="s">
        <v>606</v>
      </c>
      <c r="H5" s="59" t="s">
        <v>46</v>
      </c>
      <c r="I5" s="59" t="s">
        <v>47</v>
      </c>
      <c r="J5" s="59" t="s">
        <v>555</v>
      </c>
      <c r="K5" s="59" t="s">
        <v>33</v>
      </c>
      <c r="L5" s="59">
        <v>0.15</v>
      </c>
      <c r="M5" s="59">
        <v>0.12</v>
      </c>
      <c r="N5" s="59">
        <v>0.09</v>
      </c>
      <c r="O5" s="59">
        <v>0.06</v>
      </c>
      <c r="P5" s="59">
        <v>0.03</v>
      </c>
      <c r="Q5" s="59">
        <v>0</v>
      </c>
      <c r="R5" s="59"/>
      <c r="S5" s="59"/>
      <c r="T5" s="59"/>
      <c r="U5" s="59">
        <v>3</v>
      </c>
    </row>
    <row r="6" spans="2:21" x14ac:dyDescent="0.25">
      <c r="B6" s="59" t="s">
        <v>610</v>
      </c>
      <c r="C6" s="59">
        <v>7886</v>
      </c>
      <c r="D6" s="59">
        <v>6897</v>
      </c>
      <c r="E6" s="59" t="s">
        <v>85</v>
      </c>
      <c r="F6" s="59">
        <v>1</v>
      </c>
      <c r="G6" s="59" t="s">
        <v>606</v>
      </c>
      <c r="H6" s="59" t="s">
        <v>46</v>
      </c>
      <c r="I6" s="59" t="s">
        <v>47</v>
      </c>
      <c r="J6" s="59" t="s">
        <v>555</v>
      </c>
      <c r="K6" s="59" t="s">
        <v>33</v>
      </c>
      <c r="L6" s="59">
        <v>0.15</v>
      </c>
      <c r="M6" s="59">
        <v>0.12</v>
      </c>
      <c r="N6" s="59">
        <v>0.09</v>
      </c>
      <c r="O6" s="59">
        <v>0.06</v>
      </c>
      <c r="P6" s="59">
        <v>0.03</v>
      </c>
      <c r="Q6" s="59">
        <v>0</v>
      </c>
      <c r="R6" s="59"/>
      <c r="S6" s="59"/>
      <c r="T6" s="59"/>
      <c r="U6" s="59">
        <v>3</v>
      </c>
    </row>
    <row r="7" spans="2:21" x14ac:dyDescent="0.25">
      <c r="B7" s="59" t="s">
        <v>611</v>
      </c>
      <c r="C7" s="59">
        <v>7887</v>
      </c>
      <c r="D7" s="59">
        <v>6897</v>
      </c>
      <c r="E7" s="59" t="s">
        <v>23</v>
      </c>
      <c r="F7" s="59">
        <v>1</v>
      </c>
      <c r="G7" s="59" t="s">
        <v>606</v>
      </c>
      <c r="H7" s="59" t="s">
        <v>41</v>
      </c>
      <c r="I7" s="59" t="s">
        <v>88</v>
      </c>
      <c r="J7" s="59" t="s">
        <v>555</v>
      </c>
      <c r="K7" s="59" t="s">
        <v>40</v>
      </c>
      <c r="L7" s="59">
        <v>0.3</v>
      </c>
      <c r="M7" s="59">
        <v>0.24</v>
      </c>
      <c r="N7" s="59">
        <v>0.18</v>
      </c>
      <c r="O7" s="59">
        <v>0.12</v>
      </c>
      <c r="P7" s="59">
        <v>0.06</v>
      </c>
      <c r="Q7" s="59">
        <v>0</v>
      </c>
      <c r="R7" s="59"/>
      <c r="S7" s="59"/>
      <c r="T7" s="59"/>
      <c r="U7" s="59">
        <v>3</v>
      </c>
    </row>
    <row r="8" spans="2:21" x14ac:dyDescent="0.25">
      <c r="B8" s="59" t="s">
        <v>612</v>
      </c>
      <c r="C8" s="59">
        <v>7888</v>
      </c>
      <c r="D8" s="59">
        <v>6897</v>
      </c>
      <c r="E8" s="59" t="s">
        <v>556</v>
      </c>
      <c r="F8" s="59">
        <v>1</v>
      </c>
      <c r="G8" s="59" t="s">
        <v>606</v>
      </c>
      <c r="H8" s="59" t="s">
        <v>41</v>
      </c>
      <c r="I8" s="59" t="s">
        <v>88</v>
      </c>
      <c r="J8" s="59" t="s">
        <v>555</v>
      </c>
      <c r="K8" s="59" t="s">
        <v>40</v>
      </c>
      <c r="L8" s="59">
        <v>0.3</v>
      </c>
      <c r="M8" s="59">
        <v>0.24</v>
      </c>
      <c r="N8" s="59">
        <v>0.18</v>
      </c>
      <c r="O8" s="59">
        <v>0.12</v>
      </c>
      <c r="P8" s="59">
        <v>0.06</v>
      </c>
      <c r="Q8" s="59">
        <v>0</v>
      </c>
      <c r="R8" s="59"/>
      <c r="S8" s="59"/>
      <c r="T8" s="59"/>
      <c r="U8" s="59">
        <v>3</v>
      </c>
    </row>
    <row r="9" spans="2:21" x14ac:dyDescent="0.25">
      <c r="B9" s="59" t="s">
        <v>613</v>
      </c>
      <c r="C9" s="59">
        <v>7889</v>
      </c>
      <c r="D9" s="59">
        <v>6897</v>
      </c>
      <c r="E9" s="59" t="s">
        <v>23</v>
      </c>
      <c r="F9" s="59">
        <v>1</v>
      </c>
      <c r="G9" s="59" t="s">
        <v>606</v>
      </c>
      <c r="H9" s="59" t="s">
        <v>41</v>
      </c>
      <c r="I9" s="59" t="s">
        <v>25</v>
      </c>
      <c r="J9" s="59" t="s">
        <v>41</v>
      </c>
      <c r="K9" s="59" t="s">
        <v>40</v>
      </c>
      <c r="L9" s="59">
        <v>0.3</v>
      </c>
      <c r="M9" s="59">
        <v>0.24</v>
      </c>
      <c r="N9" s="59">
        <v>0.18</v>
      </c>
      <c r="O9" s="59">
        <v>0.12</v>
      </c>
      <c r="P9" s="59">
        <v>0.06</v>
      </c>
      <c r="Q9" s="59">
        <v>0</v>
      </c>
      <c r="R9" s="59"/>
      <c r="S9" s="59"/>
      <c r="T9" s="59"/>
      <c r="U9" s="59">
        <v>3</v>
      </c>
    </row>
    <row r="10" spans="2:21" x14ac:dyDescent="0.25">
      <c r="B10" s="59" t="s">
        <v>614</v>
      </c>
      <c r="C10" s="59">
        <v>7890</v>
      </c>
      <c r="D10" s="59">
        <v>6897</v>
      </c>
      <c r="E10" s="59" t="s">
        <v>48</v>
      </c>
      <c r="F10" s="59">
        <v>1</v>
      </c>
      <c r="G10" s="59" t="s">
        <v>606</v>
      </c>
      <c r="H10" s="59" t="s">
        <v>41</v>
      </c>
      <c r="I10" s="59" t="s">
        <v>25</v>
      </c>
      <c r="J10" s="59" t="s">
        <v>554</v>
      </c>
      <c r="K10" s="59" t="s">
        <v>35</v>
      </c>
      <c r="L10" s="59">
        <v>0.1</v>
      </c>
      <c r="M10" s="59">
        <v>0.08</v>
      </c>
      <c r="N10" s="59">
        <v>0.06</v>
      </c>
      <c r="O10" s="59">
        <v>0.04</v>
      </c>
      <c r="P10" s="59">
        <v>0.02</v>
      </c>
      <c r="Q10" s="59">
        <v>0</v>
      </c>
      <c r="R10" s="59"/>
      <c r="S10" s="59"/>
      <c r="T10" s="59"/>
      <c r="U10" s="59">
        <v>3</v>
      </c>
    </row>
    <row r="11" spans="2:21" x14ac:dyDescent="0.25">
      <c r="B11" s="59" t="s">
        <v>615</v>
      </c>
      <c r="C11" s="59">
        <v>7891</v>
      </c>
      <c r="D11" s="59">
        <v>6897</v>
      </c>
      <c r="E11" s="59" t="s">
        <v>36</v>
      </c>
      <c r="F11" s="59">
        <v>1</v>
      </c>
      <c r="G11" s="59" t="s">
        <v>606</v>
      </c>
      <c r="H11" s="59" t="s">
        <v>41</v>
      </c>
      <c r="I11" s="59" t="s">
        <v>25</v>
      </c>
      <c r="J11" s="59" t="s">
        <v>554</v>
      </c>
      <c r="K11" s="59" t="s">
        <v>35</v>
      </c>
      <c r="L11" s="59">
        <v>0.1</v>
      </c>
      <c r="M11" s="59">
        <v>0.08</v>
      </c>
      <c r="N11" s="59">
        <v>0.06</v>
      </c>
      <c r="O11" s="59">
        <v>0.04</v>
      </c>
      <c r="P11" s="59">
        <v>0.02</v>
      </c>
      <c r="Q11" s="59">
        <v>0</v>
      </c>
      <c r="R11" s="59"/>
      <c r="S11" s="59"/>
      <c r="T11" s="59"/>
      <c r="U11" s="59">
        <v>3</v>
      </c>
    </row>
    <row r="12" spans="2:21" x14ac:dyDescent="0.25">
      <c r="B12" s="59" t="s">
        <v>616</v>
      </c>
      <c r="C12" s="59">
        <v>7892</v>
      </c>
      <c r="D12" s="59">
        <v>6897</v>
      </c>
      <c r="E12" s="59" t="s">
        <v>23</v>
      </c>
      <c r="F12" s="59">
        <v>1</v>
      </c>
      <c r="G12" s="59" t="s">
        <v>606</v>
      </c>
      <c r="H12" s="59" t="s">
        <v>41</v>
      </c>
      <c r="I12" s="59" t="s">
        <v>25</v>
      </c>
      <c r="J12" s="59" t="s">
        <v>554</v>
      </c>
      <c r="K12" s="59" t="s">
        <v>35</v>
      </c>
      <c r="L12" s="59">
        <v>0.1</v>
      </c>
      <c r="M12" s="59">
        <v>0.08</v>
      </c>
      <c r="N12" s="59">
        <v>0.06</v>
      </c>
      <c r="O12" s="59">
        <v>0.04</v>
      </c>
      <c r="P12" s="59">
        <v>0.02</v>
      </c>
      <c r="Q12" s="59">
        <v>0</v>
      </c>
      <c r="R12" s="59"/>
      <c r="S12" s="59"/>
      <c r="T12" s="59"/>
      <c r="U12" s="59">
        <v>3</v>
      </c>
    </row>
    <row r="13" spans="2:21" x14ac:dyDescent="0.25">
      <c r="B13" s="59" t="s">
        <v>613</v>
      </c>
      <c r="C13" s="59">
        <v>7893</v>
      </c>
      <c r="D13" s="59">
        <v>6897</v>
      </c>
      <c r="E13" s="59" t="s">
        <v>23</v>
      </c>
      <c r="F13" s="59">
        <v>1</v>
      </c>
      <c r="G13" s="59" t="s">
        <v>606</v>
      </c>
      <c r="H13" s="59" t="s">
        <v>41</v>
      </c>
      <c r="I13" s="59" t="s">
        <v>25</v>
      </c>
      <c r="J13" s="59" t="s">
        <v>41</v>
      </c>
      <c r="K13" s="59" t="s">
        <v>40</v>
      </c>
      <c r="L13" s="59">
        <v>0.3</v>
      </c>
      <c r="M13" s="59">
        <v>0.24</v>
      </c>
      <c r="N13" s="59">
        <v>0.18</v>
      </c>
      <c r="O13" s="59">
        <v>0.12</v>
      </c>
      <c r="P13" s="59">
        <v>0.06</v>
      </c>
      <c r="Q13" s="59">
        <v>0</v>
      </c>
      <c r="R13" s="59"/>
      <c r="S13" s="59"/>
      <c r="T13" s="59"/>
      <c r="U13" s="59">
        <v>3</v>
      </c>
    </row>
    <row r="14" spans="2:21" x14ac:dyDescent="0.25">
      <c r="B14" s="59" t="s">
        <v>617</v>
      </c>
      <c r="C14" s="59">
        <v>7894</v>
      </c>
      <c r="D14" s="59">
        <v>6897</v>
      </c>
      <c r="E14" s="59" t="s">
        <v>85</v>
      </c>
      <c r="F14" s="59">
        <v>1</v>
      </c>
      <c r="G14" s="59" t="s">
        <v>606</v>
      </c>
      <c r="H14" s="59" t="s">
        <v>41</v>
      </c>
      <c r="I14" s="59" t="s">
        <v>25</v>
      </c>
      <c r="J14" s="59" t="s">
        <v>41</v>
      </c>
      <c r="K14" s="59" t="s">
        <v>40</v>
      </c>
      <c r="L14" s="59">
        <v>0.3</v>
      </c>
      <c r="M14" s="59">
        <v>0.24</v>
      </c>
      <c r="N14" s="59">
        <v>0.18</v>
      </c>
      <c r="O14" s="59">
        <v>0.12</v>
      </c>
      <c r="P14" s="59">
        <v>0.06</v>
      </c>
      <c r="Q14" s="59">
        <v>0</v>
      </c>
      <c r="R14" s="59"/>
      <c r="S14" s="59"/>
      <c r="T14" s="59"/>
      <c r="U14" s="59">
        <v>3</v>
      </c>
    </row>
    <row r="15" spans="2:21" x14ac:dyDescent="0.25">
      <c r="B15" s="59" t="s">
        <v>618</v>
      </c>
      <c r="C15" s="59">
        <v>7895</v>
      </c>
      <c r="D15" s="59">
        <v>6897</v>
      </c>
      <c r="E15" s="59" t="s">
        <v>23</v>
      </c>
      <c r="F15" s="59">
        <v>1</v>
      </c>
      <c r="G15" s="59" t="s">
        <v>606</v>
      </c>
      <c r="H15" s="59" t="s">
        <v>41</v>
      </c>
      <c r="I15" s="59" t="s">
        <v>89</v>
      </c>
      <c r="J15" s="59" t="s">
        <v>555</v>
      </c>
      <c r="K15" s="59" t="s">
        <v>40</v>
      </c>
      <c r="L15" s="59">
        <v>0.4</v>
      </c>
      <c r="M15" s="59">
        <v>0.32</v>
      </c>
      <c r="N15" s="59">
        <v>0.24</v>
      </c>
      <c r="O15" s="59">
        <v>0.16</v>
      </c>
      <c r="P15" s="59">
        <v>0.08</v>
      </c>
      <c r="Q15" s="59">
        <v>0</v>
      </c>
      <c r="R15" s="59"/>
      <c r="S15" s="59"/>
      <c r="T15" s="59"/>
      <c r="U15" s="59">
        <v>3</v>
      </c>
    </row>
    <row r="16" spans="2:21" x14ac:dyDescent="0.25">
      <c r="B16" s="59" t="s">
        <v>619</v>
      </c>
      <c r="C16" s="59">
        <v>7896</v>
      </c>
      <c r="D16" s="59">
        <v>6897</v>
      </c>
      <c r="E16" s="59" t="s">
        <v>556</v>
      </c>
      <c r="F16" s="59">
        <v>1</v>
      </c>
      <c r="G16" s="59" t="s">
        <v>606</v>
      </c>
      <c r="H16" s="59" t="s">
        <v>41</v>
      </c>
      <c r="I16" s="59" t="s">
        <v>89</v>
      </c>
      <c r="J16" s="59" t="s">
        <v>555</v>
      </c>
      <c r="K16" s="59" t="s">
        <v>40</v>
      </c>
      <c r="L16" s="59">
        <v>0.4</v>
      </c>
      <c r="M16" s="59">
        <v>0.32</v>
      </c>
      <c r="N16" s="59">
        <v>0.24</v>
      </c>
      <c r="O16" s="59">
        <v>0.16</v>
      </c>
      <c r="P16" s="59">
        <v>0.08</v>
      </c>
      <c r="Q16" s="59">
        <v>0</v>
      </c>
      <c r="R16" s="59"/>
      <c r="S16" s="59"/>
      <c r="T16" s="59"/>
      <c r="U16" s="59">
        <v>3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F8F4-4BCE-4B53-AD9C-636A99C106F5}">
  <dimension ref="A1:L18"/>
  <sheetViews>
    <sheetView showGridLines="0" workbookViewId="0">
      <selection activeCell="F8" sqref="F8"/>
    </sheetView>
  </sheetViews>
  <sheetFormatPr defaultRowHeight="11.25" x14ac:dyDescent="0.2"/>
  <cols>
    <col min="1" max="1" width="31.42578125" style="14" bestFit="1" customWidth="1"/>
    <col min="2" max="2" width="18.42578125" style="14" customWidth="1"/>
    <col min="3" max="12" width="11" style="14" customWidth="1"/>
    <col min="13" max="16384" width="9.140625" style="14"/>
  </cols>
  <sheetData>
    <row r="1" spans="1:12" ht="12" thickBot="1" x14ac:dyDescent="0.25">
      <c r="A1" s="76" t="s">
        <v>1022</v>
      </c>
      <c r="B1" s="76" t="s">
        <v>22</v>
      </c>
      <c r="C1" s="76" t="s">
        <v>1021</v>
      </c>
      <c r="D1" s="76" t="s">
        <v>1020</v>
      </c>
      <c r="E1" s="76" t="s">
        <v>33</v>
      </c>
      <c r="F1" s="76" t="s">
        <v>1019</v>
      </c>
      <c r="G1" s="76" t="s">
        <v>1018</v>
      </c>
      <c r="H1" s="76" t="s">
        <v>516</v>
      </c>
      <c r="I1" s="76" t="s">
        <v>35</v>
      </c>
      <c r="J1" s="76" t="s">
        <v>515</v>
      </c>
      <c r="K1" s="76" t="s">
        <v>514</v>
      </c>
      <c r="L1" s="76" t="s">
        <v>513</v>
      </c>
    </row>
    <row r="2" spans="1:12" x14ac:dyDescent="0.2">
      <c r="A2" s="72" t="s">
        <v>1017</v>
      </c>
      <c r="B2" s="78">
        <f t="shared" ref="B2:L2" si="0">12*B3*(1-$B$10/IF($B$8&lt;&gt;0,$B$8,1))/IF(((((1+$B$6)^(1/IF($B$9&lt;&gt;0,$B$9,1))*$B$6)/(IF((1+$B$6)^(1/IF($B$9&lt;&gt;0,$B$9,1))-1&lt;&gt;0,(1+$B$6)^(1/IF($B$9&lt;&gt;0,$B$9,1))-1,1))))&lt;&gt;0,(((1+$B$6)^(1/IF($B$9&lt;&gt;0,$B$9,1))*$B$6)/(IF((1+$B$6)^(1/IF($B$9&lt;&gt;0,$B$9,1))-1&lt;&gt;0,(1+$B$6)^(1/IF($B$9&lt;&gt;0,$B$9,1))-1,1))),1)</f>
        <v>893.20637182488451</v>
      </c>
      <c r="C2" s="78">
        <f t="shared" si="0"/>
        <v>839.76667436527623</v>
      </c>
      <c r="D2" s="78">
        <f t="shared" si="0"/>
        <v>821.63534844148035</v>
      </c>
      <c r="E2" s="78">
        <f t="shared" si="0"/>
        <v>893.20637182488451</v>
      </c>
      <c r="F2" s="78">
        <f t="shared" si="0"/>
        <v>491.45436056604234</v>
      </c>
      <c r="G2" s="78">
        <f t="shared" si="0"/>
        <v>535.82839506375285</v>
      </c>
      <c r="H2" s="78">
        <f t="shared" si="0"/>
        <v>0</v>
      </c>
      <c r="I2" s="78">
        <f t="shared" si="0"/>
        <v>1091.8668192871087</v>
      </c>
      <c r="J2" s="78">
        <f t="shared" si="0"/>
        <v>0</v>
      </c>
      <c r="K2" s="78">
        <f t="shared" si="0"/>
        <v>0</v>
      </c>
      <c r="L2" s="78">
        <f t="shared" si="0"/>
        <v>0</v>
      </c>
    </row>
    <row r="3" spans="1:12" ht="12" thickBot="1" x14ac:dyDescent="0.25">
      <c r="A3" s="70" t="s">
        <v>1016</v>
      </c>
      <c r="B3" s="77">
        <v>18.72</v>
      </c>
      <c r="C3" s="77">
        <v>17.600000000000001</v>
      </c>
      <c r="D3" s="77">
        <v>17.22</v>
      </c>
      <c r="E3" s="77">
        <v>18.72</v>
      </c>
      <c r="F3" s="77">
        <v>10.3</v>
      </c>
      <c r="G3" s="77">
        <v>11.23</v>
      </c>
      <c r="H3" s="77">
        <v>0</v>
      </c>
      <c r="I3" s="77">
        <f>'TUSD BE'!$AC$6</f>
        <v>22.883565883318553</v>
      </c>
      <c r="J3" s="77">
        <v>0</v>
      </c>
      <c r="K3" s="77">
        <v>0</v>
      </c>
      <c r="L3" s="77">
        <v>0</v>
      </c>
    </row>
    <row r="5" spans="1:12" ht="12" thickBot="1" x14ac:dyDescent="0.25">
      <c r="A5" s="76" t="s">
        <v>1015</v>
      </c>
      <c r="B5" s="76" t="s">
        <v>1014</v>
      </c>
    </row>
    <row r="6" spans="1:12" x14ac:dyDescent="0.2">
      <c r="A6" s="72" t="s">
        <v>1013</v>
      </c>
      <c r="B6" s="75">
        <v>9.9699999999999997E-2</v>
      </c>
    </row>
    <row r="7" spans="1:12" x14ac:dyDescent="0.2">
      <c r="A7" s="74" t="s">
        <v>1012</v>
      </c>
      <c r="B7" s="73">
        <v>0</v>
      </c>
    </row>
    <row r="8" spans="1:12" x14ac:dyDescent="0.2">
      <c r="A8" s="72" t="s">
        <v>1011</v>
      </c>
      <c r="B8" s="71">
        <v>21539153</v>
      </c>
    </row>
    <row r="9" spans="1:12" x14ac:dyDescent="0.2">
      <c r="A9" s="74" t="s">
        <v>1010</v>
      </c>
      <c r="B9" s="73">
        <v>0.04</v>
      </c>
    </row>
    <row r="10" spans="1:12" x14ac:dyDescent="0.2">
      <c r="A10" s="72" t="s">
        <v>1009</v>
      </c>
      <c r="B10" s="71">
        <v>12125752.999999998</v>
      </c>
    </row>
    <row r="11" spans="1:12" ht="12" thickBot="1" x14ac:dyDescent="0.25">
      <c r="A11" s="70" t="s">
        <v>1008</v>
      </c>
      <c r="B11" s="69">
        <f>(1+$B$6)^(1/IF($B$9&lt;&gt;0,$B$9,1))*$B$6/IF((1+$B$6)^(1/IF($B$9&lt;&gt;0,$B$9,1))-1&lt;&gt;0,(1+$B$6)^(1/IF($B$9&lt;&gt;0,$B$9,1))-1,1)</f>
        <v>0.10991403975195672</v>
      </c>
    </row>
    <row r="18" spans="2:2" x14ac:dyDescent="0.2">
      <c r="B18" s="6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27</vt:i4>
      </vt:variant>
    </vt:vector>
  </HeadingPairs>
  <TitlesOfParts>
    <vt:vector size="27" baseType="lpstr">
      <vt:lpstr>Mercado_Receita</vt:lpstr>
      <vt:lpstr>EVENTOS</vt:lpstr>
      <vt:lpstr>TAR FIN</vt:lpstr>
      <vt:lpstr>MERCADO TUSD</vt:lpstr>
      <vt:lpstr>MERCADO TE</vt:lpstr>
      <vt:lpstr>CUSTOS</vt:lpstr>
      <vt:lpstr>TRANSICAO</vt:lpstr>
      <vt:lpstr>TR TUSD</vt:lpstr>
      <vt:lpstr>TUSD BE</vt:lpstr>
      <vt:lpstr>TUSD BF</vt:lpstr>
      <vt:lpstr>TUSD CVA</vt:lpstr>
      <vt:lpstr>TR TE</vt:lpstr>
      <vt:lpstr>TE BE</vt:lpstr>
      <vt:lpstr>TE BF</vt:lpstr>
      <vt:lpstr>TE CVA</vt:lpstr>
      <vt:lpstr>EFEITO</vt:lpstr>
      <vt:lpstr>SUBSIDIO</vt:lpstr>
      <vt:lpstr>TabDinEfeito</vt:lpstr>
      <vt:lpstr>TabDinSubsidio</vt:lpstr>
      <vt:lpstr>TABELAS REH</vt:lpstr>
      <vt:lpstr>CONSISTENCIA</vt:lpstr>
      <vt:lpstr>TUSD</vt:lpstr>
      <vt:lpstr>TE</vt:lpstr>
      <vt:lpstr>RESUMO TUSD</vt:lpstr>
      <vt:lpstr>RESUMO TE</vt:lpstr>
      <vt:lpstr>Descontos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2022-09-14T13:38:57Z</dcterms:created>
  <dcterms:modified xsi:type="dcterms:W3CDTF">2022-09-15T14:58:03Z</dcterms:modified>
</cp:coreProperties>
</file>